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RngQ1_Hi" vbProcedure="false">Alloc!$G$170</definedName>
    <definedName function="false" hidden="false" name="AL_RngQ1_Lo" vbProcedure="false">Alloc!$G$171</definedName>
    <definedName function="false" hidden="false" name="AL_RngRDGW_Hi" vbProcedure="false">Alloc!$F$170</definedName>
    <definedName function="false" hidden="false" name="AL_RngRDGW_Lo" vbProcedure="false">Alloc!$F$171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SoftCapFail" vbProcedure="false">Calib!$C$257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HK_VerifyWarn" vbProcedure="false">Checks!$F$147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SRC_Index!$F$5:$F$1489</definedName>
    <definedName function="false" hidden="false" name="IDX_SrcGrade" vbProcedure="false">SRC_Index!$E$5:$E$1489</definedName>
    <definedName function="false" hidden="false" name="IDX_SrcID" vbProcedure="false">SRC_Index!$A$5:$A$1489</definedName>
    <definedName function="false" hidden="false" name="IDX_SrcStat" vbProcedure="false">SRC_Index!$D$5:$D$1489</definedName>
    <definedName function="false" hidden="false" name="IFC_Conf" vbProcedure="false">Interface!$R$6:$R$344</definedName>
    <definedName function="false" hidden="false" name="IFC_Layer" vbProcedure="false">Interface!$T$6:$T$344</definedName>
    <definedName function="false" hidden="false" name="IFC_Updated" vbProcedure="false">Interface!$U$6:$U$344</definedName>
    <definedName function="false" hidden="false" name="IFC_Use" vbProcedure="false">Interface!$S$6:$S$344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Share" vbProcedure="false">Interface!$C$344:$Q$344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MDefault_Astra" vbProcedure="false">Interface!$C$343:$Q$343</definedName>
    <definedName function="false" hidden="false" name="IF_GMDefault_Luna" vbProcedure="false">Interface!$C$335:$Q$335</definedName>
    <definedName function="false" hidden="false" name="IF_GMDefault_Sol" vbProcedure="false">Interface!$C$339:$Q$339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Mult" vbProcedure="false">Interface!$C$331:$G$331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FLOP_Astra" vbProcedure="false">Interface!$C$341:$Q$341</definedName>
    <definedName function="false" hidden="false" name="IF_TrainFLOP_Luna" vbProcedure="false">Interface!$C$333:$Q$333</definedName>
    <definedName function="false" hidden="false" name="IF_TrainFLOP_Sol" vbProcedure="false">Interface!$C$337:$Q$337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TrainInferShare_Astra" vbProcedure="false">Interface!$C$342:$Q$342</definedName>
    <definedName function="false" hidden="false" name="IF_TrainInferShare_Luna" vbProcedure="false">Interface!$C$334:$Q$334</definedName>
    <definedName function="false" hidden="false" name="IF_TrainInferShare_Sol" vbProcedure="false">Interface!$C$338:$Q$338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JudgeTol" vbProcedure="false">Calib!$C$207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API_Ser" vbProcedure="false">Cap_In!$C$206:$F$206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25Hi" vbProcedure="false">Cap_In!$C$286:$E$286</definedName>
    <definedName function="false" hidden="false" name="L1_MFleet_P25Lo" vbProcedure="false">Cap_In!$C$285:$E$285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Fleet_Ser" vbProcedure="false">Cap_In!$C$223:$F$223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mplied_Ser" vbProcedure="false">Cap_In!$C$209:$F$209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eat_Ser" vbProcedure="false">Cap_In!$C$208:$F$208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MSub_Ser" vbProcedure="false">Cap_In!$C$207:$F$207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Load_Bearing!$N$5:$N$61</definedName>
    <definedName function="false" hidden="false" name="LB_LiveCount" vbProcedure="false">Load_Bearing!$J$63</definedName>
    <definedName function="false" hidden="false" name="LB_Rows" vbProcedure="false">Load_Bearing!$A$5:$A$61</definedName>
    <definedName function="false" hidden="false" name="RNG_Current" vbProcedure="false">Alloc!$C$178</definedName>
    <definedName function="false" hidden="false" name="RNG_IF_AllocImpliedNk_Hi" vbProcedure="false">Alloc!$C$185</definedName>
    <definedName function="false" hidden="false" name="RNG_IF_AllocImpliedNk_Lo" vbProcedure="false">Alloc!$C$183</definedName>
    <definedName function="false" hidden="false" name="RNG_IF_AllocQ1_Hi" vbProcedure="false">Alloc!$C$188</definedName>
    <definedName function="false" hidden="false" name="RNG_IF_AllocQ1_Lo" vbProcedure="false">Alloc!$C$186</definedName>
    <definedName function="false" hidden="false" name="RNG_IF_AllocQ1_R2_Hi" vbProcedure="false">Alloc!$C$191</definedName>
    <definedName function="false" hidden="false" name="RNG_IF_AllocQ1_R2_Lo" vbProcedure="false">Alloc!$C$189</definedName>
    <definedName function="false" hidden="false" name="RNG_IF_AllocQ2_Hi" vbProcedure="false">Alloc!$C$194</definedName>
    <definedName function="false" hidden="false" name="RNG_IF_AllocQ2_Lo" vbProcedure="false">Alloc!$C$192</definedName>
    <definedName function="false" hidden="false" name="RNG_IF_AllocRDGW_Hi" vbProcedure="false">Alloc!$C$197</definedName>
    <definedName function="false" hidden="false" name="RNG_IF_AllocRDGW_Lo" vbProcedure="false">Alloc!$C$195</definedName>
    <definedName function="false" hidden="false" name="RNG_IF_AmortBU_Astra_Hi" vbProcedure="false">Alloc!$C$200:$Q$200</definedName>
    <definedName function="false" hidden="false" name="RNG_IF_AmortBU_Astra_Lo" vbProcedure="false">Alloc!$C$198:$Q$198</definedName>
    <definedName function="false" hidden="false" name="RNG_IF_AmortBU_Luna_Hi" vbProcedure="false">Alloc!$C$203:$Q$203</definedName>
    <definedName function="false" hidden="false" name="RNG_IF_AmortBU_Luna_Lo" vbProcedure="false">Alloc!$C$201:$Q$201</definedName>
    <definedName function="false" hidden="false" name="RNG_IF_AmortBU_Sol_Hi" vbProcedure="false">Alloc!$C$206:$Q$206</definedName>
    <definedName function="false" hidden="false" name="RNG_IF_AmortBU_Sol_Lo" vbProcedure="false">Alloc!$C$204:$Q$204</definedName>
    <definedName function="false" hidden="false" name="RNG_IF_AmortDefault_Astra_Hi" vbProcedure="false">Alloc!$C$209:$Q$209</definedName>
    <definedName function="false" hidden="false" name="RNG_IF_AmortDefault_Astra_Lo" vbProcedure="false">Alloc!$C$207:$Q$207</definedName>
    <definedName function="false" hidden="false" name="RNG_IF_AmortDefault_Luna_Hi" vbProcedure="false">Alloc!$C$212:$Q$212</definedName>
    <definedName function="false" hidden="false" name="RNG_IF_AmortDefault_Luna_Lo" vbProcedure="false">Alloc!$C$210:$Q$210</definedName>
    <definedName function="false" hidden="false" name="RNG_IF_AmortDefault_Sol_Hi" vbProcedure="false">Alloc!$C$215:$Q$215</definedName>
    <definedName function="false" hidden="false" name="RNG_IF_AmortDefault_Sol_Lo" vbProcedure="false">Alloc!$C$213:$Q$213</definedName>
    <definedName function="false" hidden="false" name="RNG_IF_FullCostDefault_Astra_Hi" vbProcedure="false">Alloc!$C$218:$Q$218</definedName>
    <definedName function="false" hidden="false" name="RNG_IF_FullCostDefault_Astra_Lo" vbProcedure="false">Alloc!$C$216:$Q$216</definedName>
    <definedName function="false" hidden="false" name="RNG_IF_FullCostDefault_Luna_Hi" vbProcedure="false">Alloc!$C$221:$Q$221</definedName>
    <definedName function="false" hidden="false" name="RNG_IF_FullCostDefault_Luna_Lo" vbProcedure="false">Alloc!$C$219:$Q$219</definedName>
    <definedName function="false" hidden="false" name="RNG_IF_FullCostDefault_Sol_Hi" vbProcedure="false">Alloc!$C$224:$Q$224</definedName>
    <definedName function="false" hidden="false" name="RNG_IF_FullCostDefault_Sol_Lo" vbProcedure="false">Alloc!$C$222:$Q$222</definedName>
    <definedName function="false" hidden="false" name="RNG_IF_FullCost_Astra_Hi" vbProcedure="false">Alloc!$C$227:$Q$227</definedName>
    <definedName function="false" hidden="false" name="RNG_IF_FullCost_Astra_Lo" vbProcedure="false">Alloc!$C$225:$Q$225</definedName>
    <definedName function="false" hidden="false" name="RNG_IF_FullCost_Astra_Prod_Hi" vbProcedure="false">Alloc!$C$230:$Q$230</definedName>
    <definedName function="false" hidden="false" name="RNG_IF_FullCost_Astra_Prod_Lo" vbProcedure="false">Alloc!$C$228:$Q$228</definedName>
    <definedName function="false" hidden="false" name="RNG_IF_FullCost_Luna_Hi" vbProcedure="false">Alloc!$C$233:$Q$233</definedName>
    <definedName function="false" hidden="false" name="RNG_IF_FullCost_Luna_Lo" vbProcedure="false">Alloc!$C$231:$Q$231</definedName>
    <definedName function="false" hidden="false" name="RNG_IF_FullCost_Luna_Prod_Hi" vbProcedure="false">Alloc!$C$236:$Q$236</definedName>
    <definedName function="false" hidden="false" name="RNG_IF_FullCost_Luna_Prod_Lo" vbProcedure="false">Alloc!$C$234:$Q$234</definedName>
    <definedName function="false" hidden="false" name="RNG_IF_FullCost_Sol_Hi" vbProcedure="false">Alloc!$C$239:$Q$239</definedName>
    <definedName function="false" hidden="false" name="RNG_IF_FullCost_Sol_Lo" vbProcedure="false">Alloc!$C$237:$Q$237</definedName>
    <definedName function="false" hidden="false" name="RNG_IF_FullCost_Sol_Prod_Hi" vbProcedure="false">Alloc!$C$242:$Q$242</definedName>
    <definedName function="false" hidden="false" name="RNG_IF_FullCost_Sol_Prod_Lo" vbProcedure="false">Alloc!$C$240:$Q$240</definedName>
    <definedName function="false" hidden="false" name="RNG_IF_GMDefault_Astra_Hi" vbProcedure="false">Alloc!$C$245:$Q$245</definedName>
    <definedName function="false" hidden="false" name="RNG_IF_GMDefault_Astra_Lo" vbProcedure="false">Alloc!$C$243:$Q$243</definedName>
    <definedName function="false" hidden="false" name="RNG_IF_GMDefault_Luna_Hi" vbProcedure="false">Alloc!$C$248:$Q$248</definedName>
    <definedName function="false" hidden="false" name="RNG_IF_GMDefault_Luna_Lo" vbProcedure="false">Alloc!$C$246:$Q$246</definedName>
    <definedName function="false" hidden="false" name="RNG_IF_GMDefault_Sol_Hi" vbProcedure="false">Alloc!$C$251:$Q$251</definedName>
    <definedName function="false" hidden="false" name="RNG_IF_GMDefault_Sol_Lo" vbProcedure="false">Alloc!$C$249:$Q$249</definedName>
    <definedName function="false" hidden="false" name="RNG_IF_PostShareGPUh_Astra_Hi" vbProcedure="false">Alloc!$C$254:$Q$254</definedName>
    <definedName function="false" hidden="false" name="RNG_IF_PostShareGPUh_Astra_Lo" vbProcedure="false">Alloc!$C$252:$Q$252</definedName>
    <definedName function="false" hidden="false" name="RNG_IF_PostShareGPUh_Luna_Hi" vbProcedure="false">Alloc!$C$257:$Q$257</definedName>
    <definedName function="false" hidden="false" name="RNG_IF_PostShareGPUh_Luna_Lo" vbProcedure="false">Alloc!$C$255:$Q$255</definedName>
    <definedName function="false" hidden="false" name="RNG_IF_PostShareGPUh_Sol_Hi" vbProcedure="false">Alloc!$C$260:$Q$260</definedName>
    <definedName function="false" hidden="false" name="RNG_IF_PostShareGPUh_Sol_Lo" vbProcedure="false">Alloc!$C$258:$Q$258</definedName>
    <definedName function="false" hidden="false" name="RNG_IF_ProgCost_Astra_Hi" vbProcedure="false">Alloc!$C$263:$Q$263</definedName>
    <definedName function="false" hidden="false" name="RNG_IF_ProgCost_Astra_Lo" vbProcedure="false">Alloc!$C$261:$Q$261</definedName>
    <definedName function="false" hidden="false" name="RNG_IF_ProgCost_Luna_Hi" vbProcedure="false">Alloc!$C$266:$Q$266</definedName>
    <definedName function="false" hidden="false" name="RNG_IF_ProgCost_Luna_Lo" vbProcedure="false">Alloc!$C$264:$Q$264</definedName>
    <definedName function="false" hidden="false" name="RNG_IF_ProgCost_Sol_Hi" vbProcedure="false">Alloc!$C$269:$Q$269</definedName>
    <definedName function="false" hidden="false" name="RNG_IF_ProgCost_Sol_Lo" vbProcedure="false">Alloc!$C$267:$Q$267</definedName>
    <definedName function="false" hidden="false" name="RNG_IF_ProgGPUh_Astra_Hi" vbProcedure="false">Alloc!$C$272:$Q$272</definedName>
    <definedName function="false" hidden="false" name="RNG_IF_ProgGPUh_Astra_Lo" vbProcedure="false">Alloc!$C$270:$Q$270</definedName>
    <definedName function="false" hidden="false" name="RNG_IF_ProgGPUh_Luna_Hi" vbProcedure="false">Alloc!$C$275:$Q$275</definedName>
    <definedName function="false" hidden="false" name="RNG_IF_ProgGPUh_Luna_Lo" vbProcedure="false">Alloc!$C$273:$Q$273</definedName>
    <definedName function="false" hidden="false" name="RNG_IF_ProgGPUh_Sol_Hi" vbProcedure="false">Alloc!$C$278:$Q$278</definedName>
    <definedName function="false" hidden="false" name="RNG_IF_ProgGPUh_Sol_Lo" vbProcedure="false">Alloc!$C$276:$Q$276</definedName>
    <definedName function="false" hidden="false" name="RNG_IF_ProgGWyr_Astra_Hi" vbProcedure="false">Alloc!$C$281:$Q$281</definedName>
    <definedName function="false" hidden="false" name="RNG_IF_ProgGWyr_Astra_Lo" vbProcedure="false">Alloc!$C$279:$Q$279</definedName>
    <definedName function="false" hidden="false" name="RNG_IF_ProgGWyr_Luna_Hi" vbProcedure="false">Alloc!$C$284:$Q$284</definedName>
    <definedName function="false" hidden="false" name="RNG_IF_ProgGWyr_Luna_Lo" vbProcedure="false">Alloc!$C$282:$Q$282</definedName>
    <definedName function="false" hidden="false" name="RNG_IF_ProgGWyr_Sol_Hi" vbProcedure="false">Alloc!$C$287:$Q$287</definedName>
    <definedName function="false" hidden="false" name="RNG_IF_ProgGWyr_Sol_Lo" vbProcedure="false">Alloc!$C$285:$Q$285</definedName>
    <definedName function="false" hidden="false" name="RNG_IF_RLMFU_Astra_Hi" vbProcedure="false">Alloc!$C$290:$Q$290</definedName>
    <definedName function="false" hidden="false" name="RNG_IF_RLMFU_Astra_Lo" vbProcedure="false">Alloc!$C$288:$Q$288</definedName>
    <definedName function="false" hidden="false" name="RNG_IF_RLMFU_Luna_Hi" vbProcedure="false">Alloc!$C$293:$Q$293</definedName>
    <definedName function="false" hidden="false" name="RNG_IF_RLMFU_Luna_Lo" vbProcedure="false">Alloc!$C$291:$Q$291</definedName>
    <definedName function="false" hidden="false" name="RNG_IF_RLMFU_Sol_Hi" vbProcedure="false">Alloc!$C$296:$Q$296</definedName>
    <definedName function="false" hidden="false" name="RNG_IF_RLMFU_Sol_Lo" vbProcedure="false">Alloc!$C$294:$Q$294</definedName>
    <definedName function="false" hidden="false" name="RNG_IF_TrainCost_Astra_Hi" vbProcedure="false">Alloc!$C$299:$Q$299</definedName>
    <definedName function="false" hidden="false" name="RNG_IF_TrainCost_Astra_Lo" vbProcedure="false">Alloc!$C$297:$Q$297</definedName>
    <definedName function="false" hidden="false" name="RNG_IF_TrainCost_Luna_Hi" vbProcedure="false">Alloc!$C$302:$Q$302</definedName>
    <definedName function="false" hidden="false" name="RNG_IF_TrainCost_Luna_Lo" vbProcedure="false">Alloc!$C$300:$Q$300</definedName>
    <definedName function="false" hidden="false" name="RNG_IF_TrainCost_Sol_Hi" vbProcedure="false">Alloc!$C$305:$Q$305</definedName>
    <definedName function="false" hidden="false" name="RNG_IF_TrainCost_Sol_Lo" vbProcedure="false">Alloc!$C$303:$Q$303</definedName>
    <definedName function="false" hidden="false" name="RNG_IF_TrainGPUh_Astra_Hi" vbProcedure="false">Alloc!$C$308:$Q$308</definedName>
    <definedName function="false" hidden="false" name="RNG_IF_TrainGPUh_Astra_Lo" vbProcedure="false">Alloc!$C$306:$Q$306</definedName>
    <definedName function="false" hidden="false" name="RNG_IF_TrainGPUh_Luna_Hi" vbProcedure="false">Alloc!$C$311:$Q$311</definedName>
    <definedName function="false" hidden="false" name="RNG_IF_TrainGPUh_Luna_Lo" vbProcedure="false">Alloc!$C$309:$Q$309</definedName>
    <definedName function="false" hidden="false" name="RNG_IF_TrainGPUh_Sol_Hi" vbProcedure="false">Alloc!$C$314:$Q$314</definedName>
    <definedName function="false" hidden="false" name="RNG_IF_TrainGPUh_Sol_Lo" vbProcedure="false">Alloc!$C$312:$Q$312</definedName>
    <definedName function="false" hidden="false" name="RNG_IF_TrainInferShare_Astra_Hi" vbProcedure="false">Alloc!$C$317:$Q$317</definedName>
    <definedName function="false" hidden="false" name="RNG_IF_TrainInferShare_Astra_Lo" vbProcedure="false">Alloc!$C$315:$Q$315</definedName>
    <definedName function="false" hidden="false" name="RNG_IF_TrainInferShare_Luna_Hi" vbProcedure="false">Alloc!$C$320:$Q$320</definedName>
    <definedName function="false" hidden="false" name="RNG_IF_TrainInferShare_Luna_Lo" vbProcedure="false">Alloc!$C$318:$Q$318</definedName>
    <definedName function="false" hidden="false" name="RNG_IF_TrainInferShare_Sol_Hi" vbProcedure="false">Alloc!$C$323:$Q$323</definedName>
    <definedName function="false" hidden="false" name="RNG_IF_TrainInferShare_Sol_Lo" vbProcedure="false">Alloc!$C$321:$Q$321</definedName>
    <definedName function="false" hidden="false" name="RNG_L1_Ans1_Hi" vbProcedure="false">Alloc!$C$326</definedName>
    <definedName function="false" hidden="false" name="RNG_L1_Ans1_Hi_Hi" vbProcedure="false">Alloc!$C$329</definedName>
    <definedName function="false" hidden="false" name="RNG_L1_Ans1_Hi_Lo" vbProcedure="false">Alloc!$C$327</definedName>
    <definedName function="false" hidden="false" name="RNG_L1_Ans1_Lo" vbProcedure="false">Alloc!$C$324</definedName>
    <definedName function="false" hidden="false" name="RNG_L1_Ans1_Lo_Hi" vbProcedure="false">Alloc!$C$332</definedName>
    <definedName function="false" hidden="false" name="RNG_L1_Ans1_Lo_Lo" vbProcedure="false">Alloc!$C$330</definedName>
    <definedName function="false" hidden="false" name="RNG_L1_Ans2_Hi" vbProcedure="false">Alloc!$C$335</definedName>
    <definedName function="false" hidden="false" name="RNG_L1_Ans2_Hi_Hi" vbProcedure="false">Alloc!$C$338</definedName>
    <definedName function="false" hidden="false" name="RNG_L1_Ans2_Hi_Lo" vbProcedure="false">Alloc!$C$336</definedName>
    <definedName function="false" hidden="false" name="RNG_L1_Ans2_Lo" vbProcedure="false">Alloc!$C$333</definedName>
    <definedName function="false" hidden="false" name="RNG_L1_Ans2_Lo_Hi" vbProcedure="false">Alloc!$C$341</definedName>
    <definedName function="false" hidden="false" name="RNG_L1_Ans2_Lo_Lo" vbProcedure="false">Alloc!$C$339</definedName>
    <definedName function="false" hidden="false" name="RNG_L1_Ans3_Hi" vbProcedure="false">Alloc!$C$344</definedName>
    <definedName function="false" hidden="false" name="RNG_L1_Ans3_Hi_Hi" vbProcedure="false">Alloc!$C$347</definedName>
    <definedName function="false" hidden="false" name="RNG_L1_Ans3_Hi_Lo" vbProcedure="false">Alloc!$C$345</definedName>
    <definedName function="false" hidden="false" name="RNG_L1_Ans3_Lo" vbProcedure="false">Alloc!$C$342</definedName>
    <definedName function="false" hidden="false" name="RNG_L1_Ans3_Lo_Hi" vbProcedure="false">Alloc!$C$350</definedName>
    <definedName function="false" hidden="false" name="RNG_L1_Ans3_Lo_Lo" vbProcedure="false">Alloc!$C$348</definedName>
    <definedName function="false" hidden="false" name="RNG_L1_ScaleRD_Hi" vbProcedure="false">Alloc!$C$353</definedName>
    <definedName function="false" hidden="false" name="RNG_L1_ScaleRD_Hi_Hi" vbProcedure="false">Alloc!$C$356</definedName>
    <definedName function="false" hidden="false" name="RNG_L1_ScaleRD_Hi_Lo" vbProcedure="false">Alloc!$C$354</definedName>
    <definedName function="false" hidden="false" name="RNG_L1_ScaleRD_Lo" vbProcedure="false">Alloc!$C$351</definedName>
    <definedName function="false" hidden="false" name="RNG_L1_ScaleRD_Lo_Hi" vbProcedure="false">Alloc!$C$359</definedName>
    <definedName function="false" hidden="false" name="RNG_L1_ScaleRD_Lo_Lo" vbProcedure="false">Alloc!$C$357</definedName>
    <definedName function="false" hidden="false" name="RNG_OutCount" vbProcedure="false">Alloc!$C$179</definedName>
    <definedName function="false" hidden="false" name="RNG_StaleFlag" vbProcedure="false">Alloc!$C$180</definedName>
    <definedName function="false" hidden="false" name="RNG_Version" vbProcedure="false">Alloc!$C$177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C_018" vbProcedure="false">SRC_DC!$C$22</definedName>
    <definedName function="false" hidden="false" name="SRC_DC_019" vbProcedure="false">SRC_DC!$C$23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HW_067" vbProcedure="false">SRC_HW!$C$71</definedName>
    <definedName function="false" hidden="false" name="SRC_HW_068" vbProcedure="false">SRC_HW!$C$72</definedName>
    <definedName function="false" hidden="false" name="SRC_HW_069" vbProcedure="false">SRC_HW!$C$73</definedName>
    <definedName function="false" hidden="false" name="SRC_HW_070" vbProcedure="false">SRC_HW!$C$74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ERF_079" vbProcedure="false">SRC_Perf!$C$83</definedName>
    <definedName function="false" hidden="false" name="SRC_PERF_080" vbProcedure="false">SRC_Perf!$C$84</definedName>
    <definedName function="false" hidden="false" name="SRC_PERF_081" vbProcedure="false">SRC_Perf!$C$85</definedName>
    <definedName function="false" hidden="false" name="SRC_PERF_082" vbProcedure="false">SRC_Perf!$C$86</definedName>
    <definedName function="false" hidden="false" name="SRC_PERF_083" vbProcedure="false">SRC_Perf!$C$87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SRC_PRC_045" vbProcedure="false">SRC_Price!$C$49</definedName>
    <definedName function="false" hidden="false" name="SRC_PRC_046" vbProcedure="false">SRC_Price!$C$50</definedName>
    <definedName function="false" hidden="false" name="SR_RU_PxMultHi" vbProcedure="false">Spec_Rack!$C$50</definedName>
    <definedName function="false" hidden="false" name="SR_RU_PxMultLo" vbProcedure="false">Spec_Rack!$C$49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<sst xmlns="http://schemas.openxmlformats.org/spreadsheetml/2006/main" count="42044" uniqueCount="12745">
  <si>
    <r>
      <rPr>
        <b val="true"/>
        <sz val="13"/>
        <rFont val="Arial"/>
        <family val="0"/>
        <charset val="1"/>
      </rPr>
      <t xml:space="preserve">Tokenomics v14.1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</si>
  <si>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</si>
  <si>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</si>
  <si>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</si>
  <si>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</si>
  <si>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20261017_Tokenomics_v14.1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列各欄＝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列同欄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，基準與高端不變）；</t>
    </r>
    <r>
      <rPr>
        <sz val="10"/>
        <color rgb="FF000000"/>
        <rFont val="Arial"/>
        <family val="0"/>
        <charset val="1"/>
      </rPr>
      <t xml:space="preserve">R2 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標恆等式（驗證計數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列供應商旗標清空；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刪除列的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標籤清空；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格清空；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獨立查核小項（</t>
    </r>
    <r>
      <rPr>
        <sz val="10"/>
        <color rgb="FF000000"/>
        <rFont val="Arial"/>
        <family val="0"/>
        <charset val="1"/>
      </rPr>
      <t xml:space="preserve">GM629 </t>
    </r>
    <r>
      <rPr>
        <sz val="10"/>
        <color rgb="FF000000"/>
        <rFont val="Noto Sans CJK SC"/>
        <family val="2"/>
      </rPr>
      <t xml:space="preserve">註記、三筆用途更正、過時錨點文字）；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docs/workorders/20261017_4-3B.md——4-3 B </t>
    </r>
    <r>
      <rPr>
        <sz val="10"/>
        <color rgb="FF000000"/>
        <rFont val="Noto Sans CJK SC"/>
        <family val="2"/>
      </rPr>
      <t xml:space="preserve">段依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段建議執行瘦身：刪除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列未接線的計算格（</t>
    </r>
    <r>
      <rPr>
        <sz val="10"/>
        <color rgb="FF000000"/>
        <rFont val="Arial"/>
        <family val="0"/>
        <charset val="1"/>
      </rPr>
      <t xml:space="preserve">509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格）與兩個無人使用的名稱；新增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</t>
    </r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IF_TaskTokMult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IF_TrainFLOP_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IF_TrainInferShare_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IF_GMDefault_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IF_AmortRevShare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序列 </t>
    </r>
    <r>
      <rPr>
        <sz val="10"/>
        <color rgb="FF000000"/>
        <rFont val="Arial"/>
        <family val="0"/>
        <charset val="1"/>
      </rPr>
      <t xml:space="preserve">L1_*_Ser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L1_MFleet_P25Lo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 </t>
    </r>
    <r>
      <rPr>
        <sz val="10"/>
        <color rgb="FF000000"/>
        <rFont val="Noto Sans CJK SC"/>
        <family val="2"/>
      </rPr>
      <t xml:space="preserve">並計入驗證項目數、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D140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；保留的顯示用 </t>
    </r>
    <r>
      <rPr>
        <sz val="10"/>
        <color rgb="FF000000"/>
        <rFont val="Arial"/>
        <family val="0"/>
        <charset val="1"/>
      </rPr>
      <t xml:space="preserve">155 </t>
    </r>
    <r>
      <rPr>
        <sz val="10"/>
        <color rgb="FF000000"/>
        <rFont val="Noto Sans CJK SC"/>
        <family val="2"/>
      </rPr>
      <t xml:space="preserve">列與新增死格補用途標記；既有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RNG_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（次版：工作單 </t>
    </r>
    <r>
      <rPr>
        <sz val="10"/>
        <color rgb="FF000000"/>
        <rFont val="Arial"/>
        <family val="0"/>
        <charset val="1"/>
      </rPr>
      <t xml:space="preserve">docs/workorders/20261017_D15_B</t>
    </r>
    <r>
      <rPr>
        <sz val="10"/>
        <color rgb="FF000000"/>
        <rFont val="Noto Sans CJK SC"/>
        <family val="2"/>
      </rPr>
      <t xml:space="preserve">段</t>
    </r>
    <r>
      <rPr>
        <sz val="10"/>
        <color rgb="FF000000"/>
        <rFont val="Arial"/>
        <family val="0"/>
        <charset val="1"/>
      </rPr>
      <t xml:space="preserve">.md——P1 D15 </t>
    </r>
    <r>
      <rPr>
        <sz val="10"/>
        <color rgb="FF000000"/>
        <rFont val="Noto Sans CJK SC"/>
        <family val="2"/>
      </rPr>
      <t xml:space="preserve">來源補齊（</t>
    </r>
    <r>
      <rPr>
        <sz val="10"/>
        <color rgb="FF000000"/>
        <rFont val="Arial"/>
        <family val="0"/>
        <charset val="1"/>
      </rPr>
      <t xml:space="preserve">Gov_Map 312 </t>
    </r>
    <r>
      <rPr>
        <sz val="10"/>
        <color rgb="FF000000"/>
        <rFont val="Noto Sans CJK SC"/>
        <family val="2"/>
      </rPr>
      <t xml:space="preserve">列補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Decisions D15-01…12</t>
    </r>
    <r>
      <rPr>
        <sz val="10"/>
        <color rgb="FF000000"/>
        <rFont val="Noto Sans CJK SC"/>
        <family val="2"/>
      </rPr>
      <t xml:space="preserve">、新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R </t>
    </r>
    <r>
      <rPr>
        <sz val="10"/>
        <color rgb="FF000000"/>
        <rFont val="Noto Sans CJK SC"/>
        <family val="2"/>
      </rPr>
      <t xml:space="preserve">欄與 </t>
    </r>
    <r>
      <rPr>
        <sz val="10"/>
        <color rgb="FF000000"/>
        <rFont val="Arial"/>
        <family val="0"/>
        <charset val="1"/>
      </rPr>
      <t xml:space="preserve">E381–E386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標記更正，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待回查）；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查核 </t>
    </r>
    <r>
      <rPr>
        <sz val="10"/>
        <color rgb="FF000000"/>
        <rFont val="Arial"/>
        <family val="0"/>
        <charset val="1"/>
      </rPr>
      <t xml:space="preserve">#96 </t>
    </r>
    <r>
      <rPr>
        <sz val="10"/>
        <color rgb="FF000000"/>
        <rFont val="Noto Sans CJK SC"/>
        <family val="2"/>
      </rPr>
      <t xml:space="preserve">小項（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欄為點值的說明、區間時效指紋 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O </t>
    </r>
    <r>
      <rPr>
        <sz val="10"/>
        <color rgb="FF000000"/>
        <rFont val="Noto Sans CJK SC"/>
        <family val="2"/>
      </rPr>
      <t xml:space="preserve">欄文字）；數值全部不變）。以下為 </t>
    </r>
    <r>
      <rPr>
        <sz val="10"/>
        <color rgb="FF000000"/>
        <rFont val="Arial"/>
        <family val="0"/>
        <charset val="1"/>
      </rPr>
      <t xml:space="preserve">v13.0</t>
    </r>
    <r>
      <rPr>
        <sz val="10"/>
        <color rgb="FF000000"/>
        <rFont val="Noto Sans CJK SC"/>
        <family val="2"/>
      </rPr>
      <t xml:space="preserve">（主版：工作單 </t>
    </r>
    <r>
      <rPr>
        <sz val="10"/>
        <color rgb="FF000000"/>
        <rFont val="Arial"/>
        <family val="0"/>
        <charset val="1"/>
      </rPr>
      <t xml:space="preserve">docs/workorders/20261017_4-2b.md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批次口徑倍數區間（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區間時效（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逐格重算）；</t>
    </r>
    <r>
      <rPr>
        <sz val="10"/>
        <color rgb="FF000000"/>
        <rFont val="Arial"/>
        <family val="0"/>
        <charset val="1"/>
      </rPr>
      <t xml:space="preserve">K3 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並進入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』標恆等式；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名稱數更正；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v12.0</t>
    </r>
    <r>
      <rPr>
        <sz val="10"/>
        <color rgb="FF000000"/>
        <rFont val="Noto Sans CJK SC"/>
        <family val="2"/>
      </rPr>
      <t xml:space="preserve">（主版：</t>
    </r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修補，工作單 </t>
    </r>
    <r>
      <rPr>
        <sz val="10"/>
        <color rgb="FF000000"/>
        <rFont val="Arial"/>
        <family val="0"/>
        <charset val="1"/>
      </rPr>
      <t xml:space="preserve">docs/workorders/20261016_v11.1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.md——H1 Checks V1–V3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（新契約名稱）；</t>
    </r>
    <r>
      <rPr>
        <sz val="10"/>
        <color rgb="FF000000"/>
        <rFont val="Arial"/>
        <family val="0"/>
        <charset val="1"/>
      </rPr>
      <t xml:space="preserve">H2 CAL_BatchEtaD GB200 2.36</t>
    </r>
    <r>
      <rPr>
        <sz val="10"/>
        <color rgb="FF000000"/>
        <rFont val="Noto Sans CJK SC"/>
        <family val="2"/>
      </rPr>
      <t xml:space="preserve">（兩點幾何平均，區間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改校準相關；</t>
    </r>
    <r>
      <rPr>
        <sz val="10"/>
        <color rgb="FF000000"/>
        <rFont val="Arial"/>
        <family val="0"/>
        <charset val="1"/>
      </rPr>
      <t xml:space="preserve">H3 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（已知低估、無解，區間 </t>
    </r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H4 C68 </t>
    </r>
    <r>
      <rPr>
        <sz val="10"/>
        <color rgb="FF000000"/>
        <rFont val="Noto Sans CJK SC"/>
        <family val="2"/>
      </rPr>
      <t xml:space="preserve">更正註記（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，無來源，區間 </t>
    </r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文字；</t>
    </r>
    <r>
      <rPr>
        <sz val="10"/>
        <color rgb="FF000000"/>
        <rFont val="Arial"/>
        <family val="0"/>
        <charset val="1"/>
      </rPr>
      <t xml:space="preserve">H7 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標恆等式；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（主版：大批次修正，工作單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大批次修正</t>
    </r>
    <r>
      <rPr>
        <sz val="10"/>
        <color rgb="FF000000"/>
        <rFont val="Arial"/>
        <family val="0"/>
        <charset val="1"/>
      </rPr>
      <t xml:space="preserve">.md——G1 C68 </t>
    </r>
    <r>
      <rPr>
        <sz val="10"/>
        <color rgb="FF000000"/>
        <rFont val="Noto Sans CJK SC"/>
        <family val="2"/>
      </rPr>
      <t xml:space="preserve">追查（無法確認重複計算，不改）；</t>
    </r>
    <r>
      <rPr>
        <sz val="10"/>
        <color rgb="FF000000"/>
        <rFont val="Arial"/>
        <family val="0"/>
        <charset val="1"/>
      </rPr>
      <t xml:space="preserve">G2 CAL_BatchEtaD GB200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無解不寫入）、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欄改批次口徑；</t>
    </r>
    <r>
      <rPr>
        <sz val="10"/>
        <color rgb="FF000000"/>
        <rFont val="Arial"/>
        <family val="0"/>
        <charset val="1"/>
      </rPr>
      <t xml:space="preserve">G3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offline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G4 V1–V3 </t>
    </r>
    <r>
      <rPr>
        <sz val="10"/>
        <color rgb="FF000000"/>
        <rFont val="Noto Sans CJK SC"/>
        <family val="2"/>
      </rPr>
      <t xml:space="preserve">改軟上限、新增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v10.3</t>
    </r>
    <r>
      <rPr>
        <sz val="10"/>
        <color rgb="FF000000"/>
        <rFont val="Noto Sans CJK SC"/>
        <family val="2"/>
      </rPr>
      <t xml:space="preserve">（次版：瘦身 </t>
    </r>
    <r>
      <rPr>
        <sz val="10"/>
        <color rgb="FF000000"/>
        <rFont val="Arial"/>
        <family val="0"/>
        <charset val="1"/>
      </rPr>
      <t xml:space="preserve">4-2a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4-2.md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4-2a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F1 </t>
    </r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；物理慣例加註）；</t>
    </r>
    <r>
      <rPr>
        <sz val="10"/>
        <color rgb="FF000000"/>
        <rFont val="Arial"/>
        <family val="0"/>
        <charset val="1"/>
      </rPr>
      <t xml:space="preserve">F2 </t>
    </r>
    <r>
      <rPr>
        <sz val="10"/>
        <color rgb="FF000000"/>
        <rFont val="Noto Sans CJK SC"/>
        <family val="2"/>
      </rPr>
      <t xml:space="preserve">重複定義（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商業壽命、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欄改引用）；</t>
    </r>
    <r>
      <rPr>
        <sz val="10"/>
        <color rgb="FF000000"/>
        <rFont val="Arial"/>
        <family val="0"/>
        <charset val="1"/>
      </rPr>
      <t xml:space="preserve">F3 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Checks 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F4 </t>
    </r>
    <r>
      <rPr>
        <sz val="10"/>
        <color rgb="FF000000"/>
        <rFont val="Noto Sans CJK SC"/>
        <family val="2"/>
      </rPr>
      <t xml:space="preserve">用途標記；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名稱數值不變，只有 </t>
    </r>
    <r>
      <rPr>
        <sz val="10"/>
        <color rgb="FF000000"/>
        <rFont val="Arial"/>
        <family val="0"/>
        <charset val="1"/>
      </rPr>
      <t xml:space="preserve">CHK_Verify* </t>
    </r>
    <r>
      <rPr>
        <sz val="10"/>
        <color rgb="FF000000"/>
        <rFont val="Noto Sans CJK SC"/>
        <family val="2"/>
      </rPr>
      <t xml:space="preserve">變動）。以下為 </t>
    </r>
    <r>
      <rPr>
        <sz val="10"/>
        <color rgb="FF000000"/>
        <rFont val="Arial"/>
        <family val="0"/>
        <charset val="1"/>
      </rPr>
      <t xml:space="preserve">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</si>
  <si>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</si>
  <si>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</si>
  <si>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</si>
  <si>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</si>
  <si>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</si>
  <si>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</si>
  <si>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</si>
  <si>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</si>
  <si>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</si>
  <si>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</si>
  <si>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</si>
  <si>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</si>
  <si>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</si>
  <si>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</si>
  <si>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</si>
  <si>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</si>
  <si>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</si>
  <si>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</si>
  <si>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</si>
  <si>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</si>
  <si>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</si>
  <si>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</si>
  <si>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</si>
  <si>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</si>
  <si>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</si>
  <si>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</si>
  <si>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</si>
  <si>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</si>
  <si>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</si>
  <si>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</si>
  <si>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</si>
  <si>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</si>
  <si>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</si>
  <si>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</si>
  <si>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</si>
  <si>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</si>
  <si>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</si>
  <si>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</si>
  <si>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</si>
  <si>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</si>
  <si>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</si>
  <si>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</si>
  <si>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</si>
  <si>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</si>
  <si>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</si>
  <si>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</si>
  <si>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</si>
  <si>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</si>
  <si>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</si>
  <si>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</si>
  <si>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</si>
  <si>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</si>
  <si>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</si>
  <si>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</si>
  <si>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</si>
  <si>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</si>
  <si>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</si>
  <si>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</si>
  <si>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</si>
  <si>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</si>
  <si>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</si>
  <si>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</si>
  <si>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</si>
  <si>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</si>
  <si>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</si>
  <si>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</si>
  <si>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</si>
  <si>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</si>
  <si>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</si>
  <si>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</si>
  <si>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</si>
  <si>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</si>
  <si>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</si>
  <si>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</si>
  <si>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</si>
  <si>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</si>
  <si>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</si>
  <si>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</si>
  <si>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</si>
  <si>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</si>
  <si>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</si>
  <si>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</si>
  <si>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</si>
  <si>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</si>
  <si>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</si>
  <si>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</si>
  <si>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4-2a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</si>
  <si>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寫死參數外露（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判讀容差、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價格倍數）；重複定義改引用（商業壽命、</t>
    </r>
    <r>
      <rPr>
        <sz val="10"/>
        <color rgb="FF000000"/>
        <rFont val="Arial"/>
        <family val="0"/>
        <charset val="1"/>
      </rPr>
      <t xml:space="preserve">Cap_In 2025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進驗證計數；死格與無人引用輸入填用途。細節見 </t>
    </r>
    <r>
      <rPr>
        <sz val="10"/>
        <color rgb="FF000000"/>
        <rFont val="Arial"/>
        <family val="0"/>
        <charset val="1"/>
      </rPr>
      <t xml:space="preserve">Decisions SL42-*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</si>
  <si>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大批次修正（</t>
    </r>
    <r>
      <rPr>
        <b val="true"/>
        <sz val="10"/>
        <rFont val="Arial"/>
        <family val="0"/>
        <charset val="1"/>
      </rPr>
      <t xml:space="preserve">v11.0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</si>
  <si>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追查（不改）；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無解未寫入）；新增驗證 </t>
    </r>
    <r>
      <rPr>
        <sz val="10"/>
        <color rgb="FF000000"/>
        <rFont val="Arial"/>
        <family val="0"/>
        <charset val="1"/>
      </rPr>
      <t xml:space="preserve">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MLPerf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V1–V3</t>
    </r>
    <r>
      <rPr>
        <sz val="10"/>
        <color rgb="FF000000"/>
        <rFont val="Noto Sans CJK SC"/>
        <family val="2"/>
      </rPr>
      <t xml:space="preserve">）改軟上限，新增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</si>
  <si>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v11.1 </t>
    </r>
    <r>
      <rPr>
        <b val="true"/>
        <sz val="10"/>
        <rFont val="Noto Sans CJK SC"/>
        <family val="2"/>
      </rPr>
      <t xml:space="preserve">修補（</t>
    </r>
    <r>
      <rPr>
        <b val="true"/>
        <sz val="10"/>
        <rFont val="Arial"/>
        <family val="0"/>
        <charset val="1"/>
      </rPr>
      <t xml:space="preserve">v12.0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</si>
  <si>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驗證軟上限加失敗門檻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批次倍數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（兩點幾何平均）、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（已知低估、無解）；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更正註記；研發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重算比對、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移出驗證計數。細節見 </t>
    </r>
    <r>
      <rPr>
        <sz val="10"/>
        <color rgb="FF000000"/>
        <rFont val="Arial"/>
        <family val="0"/>
        <charset val="1"/>
      </rPr>
      <t xml:space="preserve">Decisions BB2-*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</si>
  <si>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區間完整化與時效（</t>
    </r>
    <r>
      <rPr>
        <b val="true"/>
        <sz val="10"/>
        <rFont val="Arial"/>
        <family val="0"/>
        <charset val="1"/>
      </rPr>
      <t xml:space="preserve">v13.0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</si>
  <si>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全部隨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批次倍數變動的契約名稱補低／高端（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節）；區間時效旗標 </t>
    </r>
    <r>
      <rPr>
        <sz val="10"/>
        <color rgb="FF000000"/>
        <rFont val="Arial"/>
        <family val="0"/>
        <charset val="1"/>
      </rPr>
      <t xml:space="preserve">RNG_StaleFlag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BB3-*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</si>
  <si>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D15 </t>
    </r>
    <r>
      <rPr>
        <b val="true"/>
        <sz val="10"/>
        <rFont val="Noto Sans CJK SC"/>
        <family val="2"/>
      </rPr>
      <t xml:space="preserve">來源補齊與區間時效指紋（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</si>
  <si>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無來源無決策列補登決策編號與來源；新增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筆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積壓 </t>
    </r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Noto Sans CJK SC"/>
        <family val="2"/>
      </rPr>
      <t xml:space="preserve">列加建議處置欄；區間時效旗標加上游輸入指紋（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RG3</t>
    </r>
    <r>
      <rPr>
        <sz val="10"/>
        <color rgb="FF000000"/>
        <rFont val="Noto Sans CJK SC"/>
        <family val="2"/>
      </rPr>
      <t xml:space="preserve">）。數值不變。細節見 </t>
    </r>
    <r>
      <rPr>
        <sz val="10"/>
        <color rgb="FF000000"/>
        <rFont val="Arial"/>
        <family val="0"/>
        <charset val="1"/>
      </rPr>
      <t xml:space="preserve">Decisions D15-*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</si>
  <si>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4-3B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</si>
  <si>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刪除未接線的計算格；新增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個契約名稱（層級與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類型標明）；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V23–V26</t>
    </r>
    <r>
      <rPr>
        <sz val="10"/>
        <color rgb="FF000000"/>
        <rFont val="Noto Sans CJK SC"/>
        <family val="2"/>
      </rPr>
      <t xml:space="preserve">；用途標記補齊。既有名稱的數值不變。細節見 </t>
    </r>
    <r>
      <rPr>
        <sz val="10"/>
        <color rgb="FF000000"/>
        <rFont val="Arial"/>
        <family val="0"/>
        <charset val="1"/>
      </rPr>
      <t xml:space="preserve">Decisions SL43-*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</si>
  <si>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v14.1 </t>
    </r>
    <r>
      <rPr>
        <b val="true"/>
        <sz val="10"/>
        <rFont val="Noto Sans CJK SC"/>
        <family val="2"/>
      </rPr>
      <t xml:space="preserve">修補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</si>
  <si>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低端改用同欄下限（</t>
    </r>
    <r>
      <rPr>
        <sz val="10"/>
        <color rgb="FF000000"/>
        <rFont val="Arial"/>
        <family val="0"/>
        <charset val="1"/>
      </rPr>
      <t xml:space="preserve">L1_MFleet_Lo 0.184 → 0.215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標恆等式；清空無人讀取的旗標與標籤；用途標記與過時文字更正。細節見 </t>
    </r>
    <r>
      <rPr>
        <sz val="10"/>
        <color rgb="FF000000"/>
        <rFont val="Arial"/>
        <family val="0"/>
        <charset val="1"/>
      </rPr>
      <t xml:space="preserve">Decisions SL44-*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</si>
  <si>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</si>
  <si>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</si>
  <si>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</si>
  <si>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</si>
  <si>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</si>
  <si>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</si>
  <si>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</si>
  <si>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</si>
  <si>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</si>
  <si>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</si>
  <si>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</si>
  <si>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</si>
  <si>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</si>
  <si>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</si>
  <si>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</si>
  <si>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</si>
  <si>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</si>
  <si>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</si>
  <si>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</si>
  <si>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</si>
  <si>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</si>
  <si>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</si>
  <si>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</si>
  <si>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</si>
  <si>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</si>
  <si>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</si>
  <si>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</si>
  <si>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</si>
  <si>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</si>
  <si>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</si>
  <si>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</si>
  <si>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</si>
  <si>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</si>
  <si>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</si>
  <si>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</si>
  <si>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</si>
  <si>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</si>
  <si>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</si>
  <si>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</si>
  <si>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</si>
  <si>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</si>
  <si>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</si>
  <si>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</si>
  <si>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</si>
  <si>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</si>
  <si>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</si>
  <si>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</si>
  <si>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</si>
  <si>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</si>
  <si>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</si>
  <si>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</si>
  <si>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</si>
  <si>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</si>
  <si>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</si>
  <si>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</si>
  <si>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</si>
  <si>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</si>
  <si>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</si>
  <si>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</si>
  <si>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</si>
  <si>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</si>
  <si>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</si>
  <si>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</si>
  <si>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</si>
  <si>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</si>
  <si>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</si>
  <si>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</si>
  <si>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</si>
  <si>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</si>
  <si>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</si>
  <si>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</si>
  <si>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</si>
  <si>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</si>
  <si>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</si>
  <si>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</si>
  <si>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</si>
  <si>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</si>
  <si>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</si>
  <si>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</si>
  <si>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</si>
  <si>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</si>
  <si>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</si>
  <si>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</si>
  <si>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</si>
  <si>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</si>
  <si>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</si>
  <si>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</si>
  <si>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</si>
  <si>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</si>
  <si>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</si>
  <si>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</si>
  <si>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</si>
  <si>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</si>
  <si>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</si>
  <si>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</si>
  <si>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</si>
  <si>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</si>
  <si>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</si>
  <si>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</si>
  <si>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</si>
  <si>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</si>
  <si>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</si>
  <si>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</si>
  <si>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</si>
  <si>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</si>
  <si>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</si>
  <si>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</si>
  <si>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</si>
  <si>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</si>
  <si>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</si>
  <si>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</si>
  <si>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</si>
  <si>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</si>
  <si>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</si>
  <si>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</si>
  <si>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</si>
  <si>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</si>
  <si>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</si>
  <si>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</si>
  <si>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</si>
  <si>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</si>
  <si>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</si>
  <si>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</t>
    </r>
    <r>
      <rPr>
        <sz val="10"/>
        <color rgb="FF808080"/>
        <rFont val="Noto Sans CJK SC"/>
        <family val="2"/>
      </rPr>
      <t xml:space="preserve">低倍數 </t>
    </r>
    <r>
      <rPr>
        <sz val="10"/>
        <color rgb="FF808080"/>
        <rFont val="Arial"/>
        <family val="0"/>
        <charset val="1"/>
      </rPr>
      <t xml:space="preserve">SR_RU_PxMultLo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／高倍數 </t>
    </r>
    <r>
      <rPr>
        <sz val="10"/>
        <color rgb="FF808080"/>
        <rFont val="Arial"/>
        <family val="0"/>
        <charset val="1"/>
      </rPr>
      <t xml:space="preserve">SR_RU_PxMultHi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，無來源，待證據；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v10.3 F1 </t>
    </r>
    <r>
      <rPr>
        <sz val="10"/>
        <color rgb="FF808080"/>
        <rFont val="Noto Sans CJK SC"/>
        <family val="2"/>
      </rPr>
      <t xml:space="preserve">外露，倍數見本頁「</t>
    </r>
    <r>
      <rPr>
        <sz val="10"/>
        <color rgb="FF808080"/>
        <rFont val="Arial"/>
        <family val="0"/>
        <charset val="1"/>
      </rPr>
      <t xml:space="preserve">Rubin Ultra </t>
    </r>
    <r>
      <rPr>
        <sz val="10"/>
        <color rgb="FF808080"/>
        <rFont val="Noto Sans CJK SC"/>
        <family val="2"/>
      </rPr>
      <t xml:space="preserve">機架價格倍數（</t>
    </r>
    <r>
      <rPr>
        <sz val="10"/>
        <color rgb="FF808080"/>
        <rFont val="Arial"/>
        <family val="0"/>
        <charset val="1"/>
      </rPr>
      <t xml:space="preserve">v10.3 F1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，無來源；待證據）」）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</si>
  <si>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</si>
  <si>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</si>
  <si>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</si>
  <si>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</si>
  <si>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</si>
  <si>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</si>
  <si>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</si>
  <si>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</si>
  <si>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</si>
  <si>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</si>
  <si>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</si>
  <si>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</si>
  <si>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</si>
  <si>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</si>
  <si>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</si>
  <si>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</si>
  <si>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</si>
  <si>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</si>
  <si>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</si>
  <si>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</si>
  <si>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</si>
  <si>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</si>
  <si>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</si>
  <si>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</si>
  <si>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</si>
  <si>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</si>
  <si>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</si>
  <si>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</si>
  <si>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</si>
  <si>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</si>
  <si>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 </t>
    </r>
    <r>
      <rPr>
        <sz val="9"/>
        <color rgb="FF595959"/>
        <rFont val="Noto Sans CJK SC"/>
        <family val="2"/>
      </rPr>
      <t xml:space="preserve">｜物理慣例：</t>
    </r>
    <r>
      <rPr>
        <sz val="9"/>
        <color rgb="FF595959"/>
        <rFont val="Arial"/>
        <family val="0"/>
        <charset val="1"/>
      </rPr>
      <t xml:space="preserve">÷8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Gb/s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GB/s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</si>
  <si>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</si>
  <si>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C28:G28</t>
    </r>
    <r>
      <rPr>
        <sz val="9"/>
        <color rgb="FF595959"/>
        <rFont val="Noto Sans CJK SC"/>
        <family val="2"/>
      </rPr>
      <t xml:space="preserve">（規格表列（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SRC_HW_053</t>
    </r>
    <r>
      <rPr>
        <sz val="9"/>
        <color rgb="FF595959"/>
        <rFont val="Noto Sans CJK SC"/>
        <family val="2"/>
      </rPr>
      <t xml:space="preserve">）；不進任何輸出）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</si>
  <si>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</si>
  <si>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</si>
  <si>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</si>
  <si>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</si>
  <si>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</si>
  <si>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</si>
  <si>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</si>
  <si>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</si>
  <si>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</si>
  <si>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</si>
  <si>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</si>
  <si>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 ｜物理慣例：</t>
    </r>
    <r>
      <rPr>
        <sz val="9"/>
        <color rgb="FF595959"/>
        <rFont val="Arial"/>
        <family val="0"/>
        <charset val="1"/>
      </rPr>
      <t xml:space="preserve">×8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pJ/bit </t>
    </r>
    <r>
      <rPr>
        <sz val="9"/>
        <color rgb="FF595959"/>
        <rFont val="Noto Sans CJK SC"/>
        <family val="2"/>
      </rPr>
      <t xml:space="preserve">換 </t>
    </r>
    <r>
      <rPr>
        <sz val="9"/>
        <color rgb="FF595959"/>
        <rFont val="Arial"/>
        <family val="0"/>
        <charset val="1"/>
      </rPr>
      <t xml:space="preserve">pJ/byte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bit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byte</t>
    </r>
    <r>
      <rPr>
        <sz val="9"/>
        <color rgb="FF595959"/>
        <rFont val="Noto Sans CJK SC"/>
        <family val="2"/>
      </rPr>
      <t xml:space="preserve">），不外露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</si>
  <si>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</si>
  <si>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</si>
  <si>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推導鏈讀數（</t>
    </r>
    <r>
      <rPr>
        <sz val="9"/>
        <color rgb="FF595959"/>
        <rFont val="Arial"/>
        <family val="0"/>
        <charset val="1"/>
      </rPr>
      <t xml:space="preserve">ridge point</t>
    </r>
    <r>
      <rPr>
        <sz val="9"/>
        <color rgb="FF595959"/>
        <rFont val="Noto Sans CJK SC"/>
        <family val="2"/>
      </rPr>
      <t xml:space="preserve">＝峰值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頻寬）；建模精神 </t>
    </r>
    <r>
      <rPr>
        <sz val="9"/>
        <color rgb="FF595959"/>
        <rFont val="Arial"/>
        <family val="0"/>
        <charset val="1"/>
      </rPr>
      <t xml:space="preserve">1a </t>
    </r>
    <r>
      <rPr>
        <sz val="9"/>
        <color rgb="FF595959"/>
        <rFont val="Noto Sans CJK SC"/>
        <family val="2"/>
      </rPr>
      <t xml:space="preserve">要求露出推導鏈）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</si>
  <si>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</si>
  <si>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</si>
  <si>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</si>
  <si>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BF16 dense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</si>
  <si>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</si>
  <si>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</si>
  <si>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</si>
  <si>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</si>
  <si>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</si>
  <si>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</si>
  <si>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</si>
  <si>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</si>
  <si>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</si>
  <si>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</si>
  <si>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</si>
  <si>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</si>
  <si>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</si>
  <si>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ARCH_ScaleGen_Hi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C:G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</si>
  <si>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Rubin Ultra </t>
    </r>
    <r>
      <rPr>
        <b val="true"/>
        <sz val="10"/>
        <rFont val="Noto Sans CJK SC"/>
        <family val="2"/>
      </rPr>
      <t xml:space="preserve">機架價格倍數（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，無來源；待證據）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</si>
  <si>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機架價格倍數：低（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</si>
  <si>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單架機架價格低端＝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機架價格（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，售價口徑）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G11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×1.5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1.2–2.0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</si>
  <si>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機架價格倍數：高（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</si>
  <si>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（無來源；待證據）｜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單架機架價格高端＝</t>
    </r>
    <r>
      <rPr>
        <sz val="9"/>
        <color rgb="FF595959"/>
        <rFont val="Arial"/>
        <family val="0"/>
        <charset val="1"/>
      </rPr>
      <t xml:space="preserve">F12 × </t>
    </r>
    <r>
      <rPr>
        <sz val="9"/>
        <color rgb="FF595959"/>
        <rFont val="Noto Sans CJK SC"/>
        <family val="2"/>
      </rPr>
      <t xml:space="preserve">本值；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G13 </t>
    </r>
    <r>
      <rPr>
        <sz val="9"/>
        <color rgb="FF595959"/>
        <rFont val="Noto Sans CJK SC"/>
        <family val="2"/>
      </rPr>
      <t xml:space="preserve">公式（</t>
    </r>
    <r>
      <rPr>
        <sz val="9"/>
        <color rgb="FF595959"/>
        <rFont val="Arial"/>
        <family val="0"/>
        <charset val="1"/>
      </rPr>
      <t xml:space="preserve">×2.5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2.0–3.0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</si>
  <si>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</si>
  <si>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</si>
  <si>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</si>
  <si>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</si>
  <si>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</si>
  <si>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</si>
  <si>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</si>
  <si>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</si>
  <si>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</si>
  <si>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</si>
  <si>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</si>
  <si>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</si>
  <si>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</si>
  <si>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</si>
  <si>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</si>
  <si>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</si>
  <si>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</si>
  <si>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v13.1 </t>
    </r>
    <r>
      <rPr>
        <sz val="9"/>
        <color rgb="FF595959"/>
        <rFont val="Noto Sans CJK SC"/>
        <family val="2"/>
      </rPr>
      <t xml:space="preserve">更正（修訂九，</t>
    </r>
    <r>
      <rPr>
        <sz val="9"/>
        <color rgb="FF595959"/>
        <rFont val="Arial"/>
        <family val="0"/>
        <charset val="1"/>
      </rPr>
      <t xml:space="preserve">Decisions D15-10</t>
    </r>
    <r>
      <rPr>
        <sz val="9"/>
        <color rgb="FF595959"/>
        <rFont val="Noto Sans CJK SC"/>
        <family val="2"/>
      </rPr>
      <t xml:space="preserve">）：標記欄原字樣『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』更正為『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』（以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為準；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欄數值連結 </t>
    </r>
    <r>
      <rPr>
        <sz val="9"/>
        <color rgb="FF595959"/>
        <rFont val="Arial"/>
        <family val="0"/>
        <charset val="1"/>
      </rPr>
      <t xml:space="preserve">SRC_MOD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欄無公開來源）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</si>
  <si>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</si>
  <si>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</si>
  <si>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</si>
  <si>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</si>
  <si>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</si>
  <si>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</si>
  <si>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</si>
  <si>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</si>
  <si>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</si>
  <si>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</si>
  <si>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</si>
  <si>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C15:D15</t>
    </r>
    <r>
      <rPr>
        <sz val="9"/>
        <color rgb="FF595959"/>
        <rFont val="Noto Sans CJK SC"/>
        <family val="2"/>
      </rPr>
      <t xml:space="preserve">（架構規格列（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 </t>
    </r>
    <r>
      <rPr>
        <sz val="9"/>
        <color rgb="FF595959"/>
        <rFont val="Arial"/>
        <family val="0"/>
        <charset val="1"/>
      </rPr>
      <t xml:space="preserve">SRC_MOD_014</t>
    </r>
    <r>
      <rPr>
        <sz val="9"/>
        <color rgb="FF595959"/>
        <rFont val="Noto Sans CJK SC"/>
        <family val="2"/>
      </rPr>
      <t xml:space="preserve">）；不進任何輸出）</t>
    </r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</si>
  <si>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</si>
  <si>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</si>
  <si>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</si>
  <si>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</si>
  <si>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</si>
  <si>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</si>
  <si>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</si>
  <si>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</si>
  <si>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</si>
  <si>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</si>
  <si>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</si>
  <si>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</si>
  <si>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</si>
  <si>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</si>
  <si>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</si>
  <si>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</si>
  <si>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</si>
  <si>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</si>
  <si>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</si>
  <si>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C26:E26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</si>
  <si>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</si>
  <si>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</si>
  <si>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</si>
  <si>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</si>
  <si>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</si>
  <si>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</si>
  <si>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1"/>
        <color theme="1"/>
        <rFont val="Noto Sans CJK SC"/>
        <family val="2"/>
      </rPr>
      <t xml:space="preserve">物理慣例：係數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＝注意力 </t>
    </r>
    <r>
      <rPr>
        <sz val="11"/>
        <color theme="1"/>
        <rFont val="Calibri"/>
        <family val="2"/>
        <charset val="1"/>
      </rPr>
      <t xml:space="preserve">QKᵀ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2 FLOPs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MAC</t>
    </r>
    <r>
      <rPr>
        <sz val="11"/>
        <color theme="1"/>
        <rFont val="Noto Sans CJK SC"/>
        <family val="2"/>
      </rPr>
      <t xml:space="preserve">，共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，不外露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</si>
  <si>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C31:E31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</si>
  <si>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</si>
  <si>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</si>
  <si>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</si>
  <si>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</si>
  <si>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</si>
  <si>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</si>
  <si>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</si>
  <si>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</si>
  <si>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</si>
  <si>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</si>
  <si>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</si>
  <si>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</si>
  <si>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</si>
  <si>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</si>
  <si>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</si>
  <si>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</si>
  <si>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</si>
  <si>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</si>
  <si>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</si>
  <si>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</si>
  <si>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</si>
  <si>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</si>
  <si>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</si>
  <si>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</si>
  <si>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</si>
  <si>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</si>
  <si>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</si>
  <si>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</si>
  <si>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</si>
  <si>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</si>
  <si>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</si>
  <si>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</si>
  <si>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</si>
  <si>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</si>
  <si>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</si>
  <si>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</si>
  <si>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</si>
  <si>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</si>
  <si>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</si>
  <si>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</si>
  <si>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</si>
  <si>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</si>
  <si>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</si>
  <si>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</si>
  <si>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</si>
  <si>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</si>
  <si>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</si>
  <si>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</si>
  <si>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</si>
  <si>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</si>
  <si>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</si>
  <si>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</si>
  <si>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</si>
  <si>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</si>
  <si>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</si>
  <si>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</si>
  <si>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</si>
  <si>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</si>
  <si>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</si>
  <si>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</si>
  <si>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</si>
  <si>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</si>
  <si>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</si>
  <si>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C25:E25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</si>
  <si>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</si>
  <si>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</si>
  <si>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</si>
  <si>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</si>
  <si>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</si>
  <si>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</si>
  <si>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</si>
  <si>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</si>
  <si>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</si>
  <si>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</si>
  <si>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</si>
  <si>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</si>
  <si>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</si>
  <si>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</si>
  <si>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</si>
  <si>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</si>
  <si>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</si>
  <si>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</si>
  <si>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</si>
  <si>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</si>
  <si>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</si>
  <si>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</si>
  <si>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</si>
  <si>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</si>
  <si>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</si>
  <si>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</si>
  <si>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</si>
  <si>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</si>
  <si>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C17:G17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</si>
  <si>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</si>
  <si>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</si>
  <si>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</si>
  <si>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</si>
  <si>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</si>
  <si>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</si>
  <si>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</si>
  <si>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</si>
  <si>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</si>
  <si>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</si>
  <si>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</si>
  <si>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</si>
  <si>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</si>
  <si>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</si>
  <si>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</si>
  <si>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</si>
  <si>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</si>
  <si>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</si>
  <si>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C36:G36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</si>
  <si>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C37:G37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</si>
  <si>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</si>
  <si>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C39:G39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</si>
  <si>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</si>
  <si>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</si>
  <si>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欄（參照基準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</si>
  <si>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</si>
  <si>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C43:G43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</si>
  <si>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C44:G44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</si>
  <si>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C45:G45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</si>
  <si>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C46:G46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</si>
  <si>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C47:G47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</si>
  <si>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C48:G48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</si>
  <si>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</si>
  <si>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</si>
  <si>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</si>
  <si>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</si>
  <si>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</si>
  <si>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</si>
  <si>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</si>
  <si>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</si>
  <si>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</si>
  <si>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</si>
  <si>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</si>
  <si>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</si>
  <si>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</si>
  <si>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</si>
  <si>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</si>
  <si>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</si>
  <si>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</si>
  <si>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</si>
  <si>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</si>
  <si>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</si>
  <si>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</si>
  <si>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</si>
  <si>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</si>
  <si>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</si>
  <si>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</si>
  <si>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</si>
  <si>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</si>
  <si>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</si>
  <si>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</si>
  <si>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</si>
  <si>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</si>
  <si>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</si>
  <si>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</si>
  <si>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</si>
  <si>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</si>
  <si>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</si>
  <si>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</si>
  <si>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</si>
  <si>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</si>
  <si>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</si>
  <si>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</si>
  <si>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</si>
  <si>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</si>
  <si>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</si>
  <si>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</si>
  <si>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</si>
  <si>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t xml:space="preserve">GB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</si>
  <si>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</si>
  <si>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</si>
  <si>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</si>
  <si>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</si>
  <si>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</si>
  <si>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</si>
  <si>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</si>
  <si>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</si>
  <si>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</si>
  <si>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</si>
  <si>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</si>
  <si>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</si>
  <si>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</si>
  <si>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</si>
  <si>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</si>
  <si>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</si>
  <si>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</si>
  <si>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</si>
  <si>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</si>
  <si>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</si>
  <si>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</si>
  <si>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</si>
  <si>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</si>
  <si>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</si>
  <si>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</si>
  <si>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</si>
  <si>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</si>
  <si>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</si>
  <si>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</si>
  <si>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</si>
  <si>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</si>
  <si>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</si>
  <si>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</si>
  <si>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</si>
  <si>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</si>
  <si>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</si>
  <si>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</si>
  <si>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</si>
  <si>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</si>
  <si>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</si>
  <si>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</si>
  <si>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</si>
  <si>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</si>
  <si>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</si>
  <si>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</si>
  <si>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</si>
  <si>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</si>
  <si>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</si>
  <si>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</si>
  <si>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</si>
  <si>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</si>
  <si>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</si>
  <si>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</si>
  <si>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</si>
  <si>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</si>
  <si>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</si>
  <si>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</si>
  <si>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</si>
  <si>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</si>
  <si>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</si>
  <si>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</si>
  <si>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</si>
  <si>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</si>
  <si>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</si>
  <si>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</si>
  <si>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</si>
  <si>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</si>
  <si>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</si>
  <si>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</si>
  <si>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</si>
  <si>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</si>
  <si>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</si>
  <si>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</si>
  <si>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</si>
  <si>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</si>
  <si>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</si>
  <si>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</si>
  <si>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</si>
  <si>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</si>
  <si>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</si>
  <si>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</si>
  <si>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 ｜</t>
    </r>
    <r>
      <rPr>
        <sz val="9"/>
        <color rgb="FF595959"/>
        <rFont val="Arial"/>
        <family val="0"/>
        <charset val="1"/>
      </rPr>
      <t xml:space="preserve">v11.0 G1 </t>
    </r>
    <r>
      <rPr>
        <sz val="9"/>
        <color rgb="FF595959"/>
        <rFont val="Noto Sans CJK SC"/>
        <family val="2"/>
      </rPr>
      <t xml:space="preserve">追查（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v5.2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2026-09-30</t>
    </r>
    <r>
      <rPr>
        <sz val="9"/>
        <color rgb="FF595959"/>
        <rFont val="Noto Sans CJK SC"/>
        <family val="2"/>
      </rPr>
      <t xml:space="preserve">）建檔即存在，標記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每層延遲＝</t>
    </r>
    <r>
      <rPr>
        <sz val="9"/>
        <color rgb="FF595959"/>
        <rFont val="Arial"/>
        <family val="0"/>
        <charset val="1"/>
      </rPr>
      <t xml:space="preserve">240.4 µs</t>
    </r>
    <r>
      <rPr>
        <sz val="9"/>
        <color rgb="FF595959"/>
        <rFont val="Noto Sans CJK SC"/>
        <family val="2"/>
      </rPr>
      <t xml:space="preserve">（擬合 </t>
    </r>
    <r>
      <rPr>
        <sz val="9"/>
        <color rgb="FF595959"/>
        <rFont val="Arial"/>
        <family val="0"/>
        <charset val="1"/>
      </rPr>
      <t xml:space="preserve">160.28 × 1.5</t>
    </r>
    <r>
      <rPr>
        <sz val="9"/>
        <color rgb="FF595959"/>
        <rFont val="Noto Sans CJK SC"/>
        <family val="2"/>
      </rPr>
      <t xml:space="preserve">），不是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論文的 </t>
    </r>
    <r>
      <rPr>
        <sz val="9"/>
        <color rgb="FF595959"/>
        <rFont val="Arial"/>
        <family val="0"/>
        <charset val="1"/>
      </rPr>
      <t xml:space="preserve">241.92 µs</t>
    </r>
    <r>
      <rPr>
        <sz val="9"/>
        <color rgb="FF595959"/>
        <rFont val="Noto Sans CJK SC"/>
        <family val="2"/>
      </rPr>
      <t xml:space="preserve">；該數字於 </t>
    </r>
    <r>
      <rPr>
        <sz val="9"/>
        <color rgb="FF595959"/>
        <rFont val="Arial"/>
        <family val="0"/>
        <charset val="1"/>
      </rPr>
      <t xml:space="preserve">2026-10-16 </t>
    </r>
    <r>
      <rPr>
        <sz val="9"/>
        <color rgb="FF595959"/>
        <rFont val="Noto Sans CJK SC"/>
        <family val="2"/>
      </rPr>
      <t xml:space="preserve">才進 </t>
    </r>
    <r>
      <rPr>
        <sz val="9"/>
        <color rgb="FF595959"/>
        <rFont val="Arial"/>
        <family val="0"/>
        <charset val="1"/>
      </rPr>
      <t xml:space="preserve">repo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v10.2 </t>
    </r>
    <r>
      <rPr>
        <sz val="9"/>
        <color rgb="FF595959"/>
        <rFont val="Noto Sans CJK SC"/>
        <family val="2"/>
      </rPr>
      <t xml:space="preserve">擬合更新為 </t>
    </r>
    <r>
      <rPr>
        <sz val="9"/>
        <color rgb="FF595959"/>
        <rFont val="Arial"/>
        <family val="0"/>
        <charset val="1"/>
      </rPr>
      <t xml:space="preserve">161.19 µs </t>
    </r>
    <r>
      <rPr>
        <sz val="9"/>
        <color rgb="FF595959"/>
        <rFont val="Noto Sans CJK SC"/>
        <family val="2"/>
      </rPr>
      <t xml:space="preserve">後乘積變 </t>
    </r>
    <r>
      <rPr>
        <sz val="9"/>
        <color rgb="FF595959"/>
        <rFont val="Arial"/>
        <family val="0"/>
        <charset val="1"/>
      </rPr>
      <t xml:space="preserve">241.78 µs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241.92 µs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0.06%</t>
    </r>
    <r>
      <rPr>
        <sz val="9"/>
        <color rgb="FF595959"/>
        <rFont val="Noto Sans CJK SC"/>
        <family val="2"/>
      </rPr>
      <t xml:space="preserve">＝巧合。物理上固定延遲（每層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延遲、同步）與 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通訊項（頻寬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資料量）也不是同一量。判定：無法確認重複計算，</t>
    </r>
    <r>
      <rPr>
        <sz val="9"/>
        <color rgb="FF595959"/>
        <rFont val="Arial"/>
        <family val="0"/>
        <charset val="1"/>
      </rPr>
      <t xml:space="preserve">C68 </t>
    </r>
    <r>
      <rPr>
        <sz val="9"/>
        <color rgb="FF595959"/>
        <rFont val="Noto Sans CJK SC"/>
        <family val="2"/>
      </rPr>
      <t xml:space="preserve">不改。假設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的試算見 </t>
    </r>
    <r>
      <rPr>
        <sz val="9"/>
        <color rgb="FF595959"/>
        <rFont val="Arial"/>
        <family val="0"/>
        <charset val="1"/>
      </rPr>
      <t xml:space="preserve">Decisions BB-G1 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v12.0 H4 </t>
    </r>
    <r>
      <rPr>
        <sz val="9"/>
        <color rgb="FF595959"/>
        <rFont val="Noto Sans CJK SC"/>
        <family val="2"/>
      </rPr>
      <t xml:space="preserve">更正（</t>
    </r>
    <r>
      <rPr>
        <sz val="9"/>
        <color rgb="FF595959"/>
        <rFont val="Arial"/>
        <family val="0"/>
        <charset val="1"/>
      </rPr>
      <t xml:space="preserve">Decisions BB2-H4</t>
    </r>
    <r>
      <rPr>
        <sz val="9"/>
        <color rgb="FF595959"/>
        <rFont val="Noto Sans CJK SC"/>
        <family val="2"/>
      </rPr>
      <t xml:space="preserve">）：上文『倒推（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內無公式關聯）』一語是稽核第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批工作單 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2026-10-16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d25bb75</t>
    </r>
    <r>
      <rPr>
        <sz val="9"/>
        <color rgb="FF595959"/>
        <rFont val="Noto Sans CJK SC"/>
        <family val="2"/>
      </rPr>
      <t xml:space="preserve">）誤寫，無證據：</t>
    </r>
    <r>
      <rPr>
        <sz val="9"/>
        <color rgb="FF595959"/>
        <rFont val="Arial"/>
        <family val="0"/>
        <charset val="1"/>
      </rPr>
      <t xml:space="preserve">v5.2–v5.12 </t>
    </r>
    <r>
      <rPr>
        <sz val="9"/>
        <color rgb="FF595959"/>
        <rFont val="Noto Sans CJK SC"/>
        <family val="2"/>
      </rPr>
      <t xml:space="preserve">各版工作簿的標記皆為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。正確標記：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，無來源（</t>
    </r>
    <r>
      <rPr>
        <sz val="9"/>
        <color rgb="FF595959"/>
        <rFont val="Arial"/>
        <family val="0"/>
        <charset val="1"/>
      </rPr>
      <t xml:space="preserve">v5.2 </t>
    </r>
    <r>
      <rPr>
        <sz val="9"/>
        <color rgb="FF595959"/>
        <rFont val="Noto Sans CJK SC"/>
        <family val="2"/>
      </rPr>
      <t xml:space="preserve">建檔以來的整數假設，非反推）；數值維持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1.0–1.5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）；情境 </t>
    </r>
    <r>
      <rPr>
        <sz val="9"/>
        <color rgb="FF595959"/>
        <rFont val="Arial"/>
        <family val="0"/>
        <charset val="1"/>
      </rPr>
      <t xml:space="preserve">c68_1 </t>
    </r>
    <r>
      <rPr>
        <sz val="9"/>
        <color rgb="FF595959"/>
        <rFont val="Noto Sans CJK SC"/>
        <family val="2"/>
      </rPr>
      <t xml:space="preserve">試算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。原字樣保留，不刪改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</si>
  <si>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</si>
  <si>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</si>
  <si>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</si>
  <si>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</si>
  <si>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</si>
  <si>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</si>
  <si>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</si>
  <si>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</si>
  <si>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</si>
  <si>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</si>
  <si>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</si>
  <si>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</si>
  <si>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</si>
  <si>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</si>
  <si>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</si>
  <si>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</si>
  <si>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</si>
  <si>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</si>
  <si>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</si>
  <si>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</si>
  <si>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</si>
  <si>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</si>
  <si>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</si>
  <si>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</si>
  <si>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</si>
  <si>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</si>
  <si>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</si>
  <si>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</si>
  <si>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</si>
  <si>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</si>
  <si>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</si>
  <si>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</si>
  <si>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</si>
  <si>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</si>
  <si>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</si>
  <si>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</si>
  <si>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</si>
  <si>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</si>
  <si>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</si>
  <si>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</si>
  <si>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</si>
  <si>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</si>
  <si>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</si>
  <si>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</si>
  <si>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</si>
  <si>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</si>
  <si>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</si>
  <si>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</si>
  <si>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</si>
  <si>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</si>
  <si>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</si>
  <si>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</si>
  <si>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</si>
  <si>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</si>
  <si>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</si>
  <si>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</si>
  <si>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</si>
  <si>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</si>
  <si>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</si>
  <si>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</si>
  <si>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</si>
  <si>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</si>
  <si>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</si>
  <si>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</si>
  <si>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</si>
  <si>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</si>
  <si>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</si>
  <si>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</si>
  <si>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</si>
  <si>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</si>
  <si>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</si>
  <si>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</si>
  <si>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</si>
  <si>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</si>
  <si>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</si>
  <si>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</si>
  <si>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</si>
  <si>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</si>
  <si>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</si>
  <si>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</si>
  <si>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</si>
  <si>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</si>
  <si>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</si>
  <si>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</si>
  <si>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</si>
  <si>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</si>
  <si>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</si>
  <si>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</si>
  <si>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</si>
  <si>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</si>
  <si>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</si>
  <si>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</si>
  <si>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</si>
  <si>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</si>
  <si>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</si>
  <si>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</si>
  <si>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</si>
  <si>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</si>
  <si>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</si>
  <si>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（兩點幾何平均 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1.83–3.04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SRC_PERF_074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079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）：已知低估、無解（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再大產出上限只有目標的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E156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G156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</si>
  <si>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 ｜</t>
    </r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校準；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欄，目標 </t>
    </r>
    <r>
      <rPr>
        <sz val="9"/>
        <color rgb="FF595959"/>
        <rFont val="Arial"/>
        <family val="0"/>
        <charset val="1"/>
      </rPr>
      <t xml:space="preserve">vLLM GB200 10.1K tok/s/GPU</t>
    </r>
    <r>
      <rPr>
        <sz val="9"/>
        <color rgb="FF595959"/>
        <rFont val="Noto Sans CJK SC"/>
        <family val="2"/>
      </rPr>
      <t xml:space="preserve">，批次填滿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，解 </t>
    </r>
    <r>
      <rPr>
        <sz val="9"/>
        <color rgb="FF595959"/>
        <rFont val="Arial"/>
        <family val="0"/>
        <charset val="1"/>
      </rPr>
      <t xml:space="preserve">3.037</t>
    </r>
    <r>
      <rPr>
        <sz val="9"/>
        <color rgb="FF595959"/>
        <rFont val="Noto Sans CJK SC"/>
        <family val="2"/>
      </rPr>
      <t xml:space="preserve">、模型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 </t>
    </r>
    <r>
      <rPr>
        <sz val="9"/>
        <color rgb="FF595959"/>
        <rFont val="Arial"/>
        <family val="0"/>
        <charset val="1"/>
      </rPr>
      <t xml:space="preserve">1.000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再大產出上限只達目標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即已飽和）；若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則需 </t>
    </r>
    <r>
      <rPr>
        <sz val="9"/>
        <color rgb="FF595959"/>
        <rFont val="Arial"/>
        <family val="0"/>
        <charset val="1"/>
      </rPr>
      <t xml:space="preserve">4.32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BB-G1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BB-G2</t>
    </r>
    <r>
      <rPr>
        <sz val="9"/>
        <color rgb="FF595959"/>
        <rFont val="Noto Sans CJK SC"/>
        <family val="2"/>
      </rPr>
      <t xml:space="preserve">，待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判斷）。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）維持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0.75 </t>
    </r>
    <r>
      <rPr>
        <sz val="9"/>
        <color rgb="FF595959"/>
        <rFont val="Noto Sans CJK SC"/>
        <family val="2"/>
      </rPr>
      <t xml:space="preserve">不動。只作用在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（批次推論與訓練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），不影響服務端 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D156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；兩點幾何平均）。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v6.0 offline GB200 6,752 tok/s/GPU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欄『達標所需批次口徑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倍數』，</t>
    </r>
    <r>
      <rPr>
        <sz val="9"/>
        <color rgb="FF595959"/>
        <rFont val="Arial"/>
        <family val="0"/>
        <charset val="1"/>
      </rPr>
      <t xml:space="preserve">1.8297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vLLM GB200 10.1K </t>
    </r>
    <r>
      <rPr>
        <sz val="9"/>
        <color rgb="FF595959"/>
        <rFont val="Noto Sans CJK SC"/>
        <family val="2"/>
      </rPr>
      <t xml:space="preserve">反推（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3.0373</t>
    </r>
    <r>
      <rPr>
        <sz val="9"/>
        <color rgb="FF595959"/>
        <rFont val="Noto Sans CJK SC"/>
        <family val="2"/>
      </rPr>
      <t xml:space="preserve">）；兩個點都是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／社群的利害關係方數據，無法判定何者代表真實批次口徑，取幾何平均並以 </t>
    </r>
    <r>
      <rPr>
        <sz val="9"/>
        <color rgb="FF595959"/>
        <rFont val="Arial"/>
        <family val="0"/>
        <charset val="1"/>
      </rPr>
      <t xml:space="preserve">1.83–3.04 </t>
    </r>
    <r>
      <rPr>
        <sz val="9"/>
        <color rgb="FF595959"/>
        <rFont val="Noto Sans CJK SC"/>
        <family val="2"/>
      </rPr>
      <t xml:space="preserve">為區間（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）。後果：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offline GB200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點同時被用於決定本格，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不再是獨立驗證點，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標『校準相關（非獨立）』並移出驗證計數；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欄『模型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目標』由 </t>
    </r>
    <r>
      <rPr>
        <sz val="9"/>
        <color rgb="FF595959"/>
        <rFont val="Arial"/>
        <family val="0"/>
        <charset val="1"/>
      </rPr>
      <t xml:space="preserve">1.00 </t>
    </r>
    <r>
      <rPr>
        <sz val="9"/>
        <color rgb="FF595959"/>
        <rFont val="Noto Sans CJK SC"/>
        <family val="2"/>
      </rPr>
      <t xml:space="preserve">降為約 </t>
    </r>
    <r>
      <rPr>
        <sz val="9"/>
        <color rgb="FF595959"/>
        <rFont val="Arial"/>
        <family val="0"/>
        <charset val="1"/>
      </rPr>
      <t xml:space="preserve">0.8</t>
    </r>
    <r>
      <rPr>
        <sz val="9"/>
        <color rgb="FF595959"/>
        <rFont val="Noto Sans CJK SC"/>
        <family val="2"/>
      </rPr>
      <t xml:space="preserve">（預期，本格已不再只對 </t>
    </r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點）。</t>
    </r>
    <r>
      <rPr>
        <sz val="9"/>
        <color rgb="FF595959"/>
        <rFont val="Arial"/>
        <family val="0"/>
        <charset val="1"/>
      </rPr>
      <t xml:space="preserve">Hopper C156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：已知低估、無解——在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再大，產出上限也只有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剖析點目標的 </t>
    </r>
    <r>
      <rPr>
        <sz val="9"/>
        <color rgb="FF595959"/>
        <rFont val="Arial"/>
        <family val="0"/>
        <charset val="1"/>
      </rPr>
      <t xml:space="preserve">0.941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3.74 </t>
    </r>
    <r>
      <rPr>
        <sz val="9"/>
        <color rgb="FF595959"/>
        <rFont val="Noto Sans CJK SC"/>
        <family val="2"/>
      </rPr>
      <t xml:space="preserve">即已飽和）；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1–3.74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BB2-H3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</si>
  <si>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欄的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（批次口徑，解出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）；驗證用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（服務口徑，不乘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；不重用校準點）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</si>
  <si>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</si>
  <si>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</si>
  <si>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</si>
  <si>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</si>
  <si>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</si>
  <si>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</si>
  <si>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</si>
  <si>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</si>
  <si>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</si>
  <si>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</si>
  <si>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</si>
  <si>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</si>
  <si>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</si>
  <si>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</si>
  <si>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</si>
  <si>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</si>
  <si>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</si>
  <si>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</si>
  <si>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</si>
  <si>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t xml:space="preserve">校準與驗證複製列（顯示用；無下游）</t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</si>
  <si>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欄再乘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＝批次口徑，</t>
    </r>
    <r>
      <rPr>
        <sz val="10"/>
        <color rgb="FF000000"/>
        <rFont val="Arial"/>
        <family val="0"/>
        <charset val="1"/>
      </rPr>
      <t xml:space="preserve">v11.0 G2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</si>
  <si>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v11.0 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欄（校準複本列）乘批次口徑倍數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3.04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欄（服務口徑驗證點 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）不乘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</si>
  <si>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</si>
  <si>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</si>
  <si>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</si>
  <si>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</si>
  <si>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</si>
  <si>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</si>
  <si>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</si>
  <si>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</si>
  <si>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</si>
  <si>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</si>
  <si>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</si>
  <si>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</si>
  <si>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</si>
  <si>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</si>
  <si>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</si>
  <si>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</si>
  <si>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倍數（相對 </t>
    </r>
    <r>
      <rPr>
        <sz val="10"/>
        <color rgb="FF000000"/>
        <rFont val="Arial"/>
        <family val="0"/>
        <charset val="1"/>
      </rPr>
      <t xml:space="preserve">CAL_EtaD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× 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</si>
  <si>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</si>
  <si>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</si>
  <si>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</si>
  <si>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v11.0 G2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</si>
  <si>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Arial"/>
        <family val="0"/>
        <charset val="1"/>
      </rPr>
      <t xml:space="preserve">G2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的解寫入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下無解（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無限大只達目標 </t>
    </r>
    <r>
      <rPr>
        <sz val="9"/>
        <color rgb="FF595959"/>
        <rFont val="Arial"/>
        <family val="0"/>
        <charset val="1"/>
      </rPr>
      <t xml:space="preserve">0.94</t>
    </r>
    <r>
      <rPr>
        <sz val="9"/>
        <color rgb="FF595959"/>
        <rFont val="Noto Sans CJK SC"/>
        <family val="2"/>
      </rPr>
      <t xml:space="preserve">，超出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），不寫入、列待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判斷（</t>
    </r>
    <r>
      <rPr>
        <sz val="9"/>
        <color rgb="FF595959"/>
        <rFont val="Arial"/>
        <family val="0"/>
        <charset val="1"/>
      </rPr>
      <t xml:space="preserve">Decisions BB-G2</t>
    </r>
    <r>
      <rPr>
        <sz val="9"/>
        <color rgb="FF595959"/>
        <rFont val="Noto Sans CJK SC"/>
        <family val="2"/>
      </rPr>
      <t xml:space="preserve">）。服務側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不動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</si>
  <si>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判讀參數（</t>
    </r>
    <r>
      <rPr>
        <b val="true"/>
        <sz val="10"/>
        <rFont val="Arial"/>
        <family val="0"/>
        <charset val="1"/>
      </rPr>
      <t xml:space="preserve">v10.3 F1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外部對照欄 </t>
    </r>
    <r>
      <rPr>
        <b val="true"/>
        <sz val="10"/>
        <rFont val="Arial"/>
        <family val="0"/>
        <charset val="1"/>
      </rPr>
      <t xml:space="preserve">P </t>
    </r>
    <r>
      <rPr>
        <b val="true"/>
        <sz val="10"/>
        <rFont val="Noto Sans CJK SC"/>
        <family val="2"/>
      </rPr>
      <t xml:space="preserve">的文字判讀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</si>
  <si>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外部對照判讀容差（</t>
    </r>
    <r>
      <rPr>
        <sz val="10"/>
        <color rgb="FF000000"/>
        <rFont val="Arial"/>
        <family val="0"/>
        <charset val="1"/>
      </rPr>
      <t xml:space="preserve">L1_JudgeTol</t>
    </r>
    <r>
      <rPr>
        <sz val="10"/>
        <color rgb="FF000000"/>
        <rFont val="Noto Sans CJK SC"/>
        <family val="2"/>
      </rPr>
      <t xml:space="preserve">）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</si>
  <si>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</si>
  <si>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外部對照的判讀容差，非物理量：外部為單一值時，</t>
    </r>
    <r>
      <rPr>
        <sz val="9"/>
        <color rgb="FF595959"/>
        <rFont val="Arial"/>
        <family val="0"/>
        <charset val="1"/>
      </rPr>
      <t xml:space="preserve">|</t>
    </r>
    <r>
      <rPr>
        <sz val="9"/>
        <color rgb="FF595959"/>
        <rFont val="Noto Sans CJK SC"/>
        <family val="2"/>
      </rPr>
      <t xml:space="preserve">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 − </t>
    </r>
    <r>
      <rPr>
        <sz val="9"/>
        <color rgb="FF595959"/>
        <rFont val="Arial"/>
        <family val="0"/>
        <charset val="1"/>
      </rPr>
      <t xml:space="preserve">1| ≤ </t>
    </r>
    <r>
      <rPr>
        <sz val="9"/>
        <color rgb="FF595959"/>
        <rFont val="Noto Sans CJK SC"/>
        <family val="2"/>
      </rPr>
      <t xml:space="preserve">本值判為「</t>
    </r>
    <r>
      <rPr>
        <sz val="9"/>
        <color rgb="FF595959"/>
        <rFont val="Arial"/>
        <family val="0"/>
        <charset val="1"/>
      </rPr>
      <t xml:space="preserve">±x% </t>
    </r>
    <r>
      <rPr>
        <sz val="9"/>
        <color rgb="FF595959"/>
        <rFont val="Noto Sans CJK SC"/>
        <family val="2"/>
      </rPr>
      <t xml:space="preserve">內」，否則「差距 </t>
    </r>
    <r>
      <rPr>
        <sz val="9"/>
        <color rgb="FF595959"/>
        <rFont val="Arial"/>
        <family val="0"/>
        <charset val="1"/>
      </rPr>
      <t xml:space="preserve">&gt;x%</t>
    </r>
    <r>
      <rPr>
        <sz val="9"/>
        <color rgb="FF595959"/>
        <rFont val="Noto Sans CJK SC"/>
        <family val="2"/>
      </rPr>
      <t xml:space="preserve">」（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I3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Checks E5 </t>
    </r>
    <r>
      <rPr>
        <sz val="9"/>
        <color rgb="FF595959"/>
        <rFont val="Noto Sans CJK SC"/>
        <family val="2"/>
      </rPr>
      <t xml:space="preserve">讀取）。</t>
    </r>
    <r>
      <rPr>
        <sz val="9"/>
        <color rgb="FF595959"/>
        <rFont val="Arial"/>
        <family val="0"/>
        <charset val="1"/>
      </rPr>
      <t xml:space="preserve">v10.3 </t>
    </r>
    <r>
      <rPr>
        <sz val="9"/>
        <color rgb="FF595959"/>
        <rFont val="Noto Sans CJK SC"/>
        <family val="2"/>
      </rPr>
      <t xml:space="preserve">前寫死在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格公式裡（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），外露後數值不變。區間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）；改本格不影響任何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數值，只改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欄文字與 </t>
    </r>
    <r>
      <rPr>
        <sz val="9"/>
        <color rgb="FF595959"/>
        <rFont val="Arial"/>
        <family val="0"/>
        <charset val="1"/>
      </rPr>
      <t xml:space="preserve">Checks I3 </t>
    </r>
    <r>
      <rPr>
        <sz val="9"/>
        <color rgb="FF595959"/>
        <rFont val="Noto Sans CJK SC"/>
        <family val="2"/>
      </rPr>
      <t xml:space="preserve">的計數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</si>
  <si>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大批次驗證點（</t>
    </r>
    <r>
      <rPr>
        <b val="true"/>
        <sz val="10"/>
        <rFont val="Arial"/>
        <family val="0"/>
        <charset val="1"/>
      </rPr>
      <t xml:space="preserve">v11.0 G3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TensorRT-LLM H200</t>
    </r>
    <r>
      <rPr>
        <b val="true"/>
        <sz val="10"/>
        <rFont val="Noto Sans CJK SC"/>
        <family val="2"/>
      </rPr>
      <t xml:space="preserve">；比照 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節公式，條件為無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的大批次；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取批次口徑（</t>
    </r>
    <r>
      <rPr>
        <b val="true"/>
        <sz val="10"/>
        <rFont val="Arial"/>
        <family val="0"/>
        <charset val="1"/>
      </rPr>
      <t xml:space="preserve">× CAL_BatchEtaD</t>
    </r>
    <r>
      <rPr>
        <b val="true"/>
        <sz val="10"/>
        <rFont val="Noto Sans CJK SC"/>
        <family val="2"/>
      </rPr>
      <t xml:space="preserve">）並含 </t>
    </r>
    <r>
      <rPr>
        <b val="true"/>
        <sz val="10"/>
        <rFont val="Arial"/>
        <family val="0"/>
        <charset val="1"/>
      </rPr>
      <t xml:space="preserve">prefill </t>
    </r>
    <r>
      <rPr>
        <b val="true"/>
        <sz val="10"/>
        <rFont val="Noto Sans CJK SC"/>
        <family val="2"/>
      </rPr>
      <t xml:space="preserve">分攤；不用於校準</t>
    </r>
  </si>
  <si>
    <r>
      <rPr>
        <sz val="9"/>
        <color rgb="FF595959"/>
        <rFont val="Noto Sans CJK SC"/>
        <family val="2"/>
      </rPr>
      <t xml:space="preserve">大批次驗證點複製列（</t>
    </r>
    <r>
      <rPr>
        <sz val="9"/>
        <color rgb="FF595959"/>
        <rFont val="Arial"/>
        <family val="0"/>
        <charset val="1"/>
      </rPr>
      <t xml:space="preserve">V20–V22</t>
    </r>
    <r>
      <rPr>
        <sz val="9"/>
        <color rgb="FF595959"/>
        <rFont val="Noto Sans CJK SC"/>
        <family val="2"/>
      </rPr>
      <t xml:space="preserve">；顯示用）</t>
    </r>
  </si>
  <si>
    <r>
      <rPr>
        <b val="true"/>
        <sz val="10"/>
        <rFont val="Arial"/>
        <family val="0"/>
        <charset val="1"/>
      </rPr>
      <t xml:space="preserve">V20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GB200 NVL72 — MLPerf v6.0 offline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；輸入 </t>
    </r>
    <r>
      <rPr>
        <b val="true"/>
        <sz val="10"/>
        <rFont val="Arial"/>
        <family val="0"/>
        <charset val="1"/>
      </rPr>
      <t xml:space="preserve">800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3,880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；批次填滿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</si>
  <si>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V21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GB300 NVL72 — MLPerf v6.0 offline</t>
    </r>
    <r>
      <rPr>
        <b val="true"/>
        <sz val="10"/>
        <rFont val="Noto Sans CJK SC"/>
        <family val="2"/>
      </rPr>
      <t xml:space="preserve">（同上）</t>
    </r>
  </si>
  <si>
    <r>
      <rPr>
        <b val="true"/>
        <sz val="10"/>
        <rFont val="Arial"/>
        <family val="0"/>
        <charset val="1"/>
      </rPr>
      <t xml:space="preserve">V22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Hopper H200 8 GPU — TensorRT-LLM</t>
    </r>
    <r>
      <rPr>
        <b val="true"/>
        <sz val="10"/>
        <rFont val="Noto Sans CJK SC"/>
        <family val="2"/>
      </rPr>
      <t xml:space="preserve">（輸入 </t>
    </r>
    <r>
      <rPr>
        <b val="true"/>
        <sz val="10"/>
        <rFont val="Arial"/>
        <family val="0"/>
        <charset val="1"/>
      </rPr>
      <t xml:space="preserve">1K</t>
    </r>
    <r>
      <rPr>
        <b val="true"/>
        <sz val="10"/>
        <rFont val="Noto Sans CJK SC"/>
        <family val="2"/>
      </rPr>
      <t xml:space="preserve">／輸出 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；並行 </t>
    </r>
    <r>
      <rPr>
        <b val="true"/>
        <sz val="10"/>
        <rFont val="Arial"/>
        <family val="0"/>
        <charset val="1"/>
      </rPr>
      <t xml:space="preserve">1,024</t>
    </r>
    <r>
      <rPr>
        <b val="true"/>
        <sz val="10"/>
        <rFont val="Noto Sans CJK SC"/>
        <family val="2"/>
      </rPr>
      <t xml:space="preserve">＝每 </t>
    </r>
    <r>
      <rPr>
        <b val="true"/>
        <sz val="10"/>
        <rFont val="Arial"/>
        <family val="0"/>
        <charset val="1"/>
      </rPr>
      <t xml:space="preserve">rank 128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EP8</t>
    </r>
    <r>
      <rPr>
        <b val="true"/>
        <sz val="10"/>
        <rFont val="Noto Sans CJK SC"/>
        <family val="2"/>
      </rPr>
      <t xml:space="preserve">；無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</si>
  <si>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 GB300</t>
    </r>
    <r>
      <rPr>
        <sz val="9"/>
        <color rgb="FF595959"/>
        <rFont val="Noto Sans CJK SC"/>
        <family val="2"/>
      </rPr>
      <t xml:space="preserve">；黑字常數（測量條件）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</si>
  <si>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資料集平均輸入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C110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C111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SRC_PERF_029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030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文件 </t>
    </r>
    <r>
      <rPr>
        <sz val="9"/>
        <color rgb="FF595959"/>
        <rFont val="Arial"/>
        <family val="0"/>
        <charset val="1"/>
      </rPr>
      <t xml:space="preserve">ISL 1K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2K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</si>
  <si>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（文件：</t>
    </r>
    <r>
      <rPr>
        <sz val="9"/>
        <color rgb="FF595959"/>
        <rFont val="Arial"/>
        <family val="0"/>
        <charset val="1"/>
      </rPr>
      <t xml:space="preserve">attention DP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</si>
  <si>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</si>
  <si>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不限速度）；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：並行 </t>
    </r>
    <r>
      <rPr>
        <sz val="9"/>
        <color rgb="FF595959"/>
        <rFont val="Arial"/>
        <family val="0"/>
        <charset val="1"/>
      </rPr>
      <t xml:space="preserve">1,024 ÷ 8 GPU</t>
    </r>
    <r>
      <rPr>
        <sz val="9"/>
        <color rgb="FF595959"/>
        <rFont val="Noto Sans CJK SC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rank 128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</si>
  <si>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offline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TensorRT-LLM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使用文件未寫）</t>
    </r>
  </si>
  <si>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</si>
  <si>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offline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TensorRT-LLM H200</t>
    </r>
    <r>
      <rPr>
        <sz val="9"/>
        <color rgb="FF595959"/>
        <rFont val="Noto Sans CJK SC"/>
        <family val="2"/>
      </rPr>
      <t xml:space="preserve">）；輸出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口徑，含同一批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prefill</t>
    </r>
  </si>
  <si>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欄的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、頻寬用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規格（</t>
    </r>
    <r>
      <rPr>
        <sz val="9"/>
        <color rgb="FF595959"/>
        <rFont val="Arial"/>
        <family val="0"/>
        <charset val="1"/>
      </rPr>
      <t xml:space="preserve">SRC_HW_067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068</t>
    </r>
    <r>
      <rPr>
        <sz val="9"/>
        <color rgb="FF595959"/>
        <rFont val="Noto Sans CJK SC"/>
        <family val="2"/>
      </rPr>
      <t xml:space="preserve">；模型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H100 80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3.35 TB/s</t>
    </r>
    <r>
      <rPr>
        <sz val="9"/>
        <color rgb="FF595959"/>
        <rFont val="Noto Sans CJK SC"/>
        <family val="2"/>
      </rPr>
      <t xml:space="preserve">，放不下 </t>
    </r>
    <r>
      <rPr>
        <sz val="9"/>
        <color rgb="FF595959"/>
        <rFont val="Arial"/>
        <family val="0"/>
        <charset val="1"/>
      </rPr>
      <t xml:space="preserve">EP8 </t>
    </r>
    <r>
      <rPr>
        <sz val="9"/>
        <color rgb="FF595959"/>
        <rFont val="Noto Sans CJK SC"/>
        <family val="2"/>
      </rPr>
      <t xml:space="preserve">的權重）；峰值算力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相同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</si>
  <si>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</si>
  <si>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 </t>
    </r>
    <r>
      <rPr>
        <sz val="10"/>
        <color rgb="FF000000"/>
        <rFont val="Arial"/>
        <family val="0"/>
        <charset val="1"/>
      </rPr>
      <t xml:space="preserve">× CAL_BatchEtaD</t>
    </r>
    <r>
      <rPr>
        <sz val="10"/>
        <color rgb="FF000000"/>
        <rFont val="Noto Sans CJK SC"/>
        <family val="2"/>
      </rPr>
      <t xml:space="preserve">；批次口徑）</t>
    </r>
  </si>
  <si>
    <r>
      <rPr>
        <sz val="9"/>
        <color rgb="FF595959"/>
        <rFont val="Noto Sans CJK SC"/>
        <family val="2"/>
      </rPr>
      <t xml:space="preserve">批次口徑：採用 </t>
    </r>
    <r>
      <rPr>
        <sz val="9"/>
        <color rgb="FF595959"/>
        <rFont val="Arial"/>
        <family val="0"/>
        <charset val="1"/>
      </rPr>
      <t xml:space="preserve">η_d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Calib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70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× CAL_BatchEtaD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156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53 </t>
    </r>
    <r>
      <rPr>
        <sz val="9"/>
        <color rgb="FF595959"/>
        <rFont val="Noto Sans CJK SC"/>
        <family val="2"/>
      </rPr>
      <t xml:space="preserve">列同一條式）。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校準，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（未校準；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下無解）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</si>
  <si>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實測（含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分攤；輸出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口徑）。</t>
    </r>
    <r>
      <rPr>
        <sz val="9"/>
        <color rgb="FF595959"/>
        <rFont val="Arial"/>
        <family val="0"/>
        <charset val="1"/>
      </rPr>
      <t xml:space="preserve">V20–V22 </t>
    </r>
    <r>
      <rPr>
        <sz val="9"/>
        <color rgb="FF595959"/>
        <rFont val="Noto Sans CJK SC"/>
        <family val="2"/>
      </rPr>
      <t xml:space="preserve">的通過帶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V20–V22</t>
    </r>
    <r>
      <rPr>
        <sz val="9"/>
        <color rgb="FF595959"/>
        <rFont val="Noto Sans CJK SC"/>
        <family val="2"/>
      </rPr>
      <t xml:space="preserve">）；不用於校準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</si>
  <si>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（扣除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時間）</t>
    </r>
  </si>
  <si>
    <r>
      <rPr>
        <sz val="10"/>
        <color rgb="FF000000"/>
        <rFont val="Noto Sans CJK SC"/>
        <family val="2"/>
      </rPr>
      <t xml:space="preserve">達標所需批次口徑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CAL_BatchEtaD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</si>
  <si>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達標所需批次口徑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倍數（＝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的解）：以 </t>
    </r>
    <r>
      <rPr>
        <sz val="9"/>
        <color rgb="FF595959"/>
        <rFont val="Arial"/>
        <family val="0"/>
        <charset val="1"/>
      </rPr>
      <t xml:space="preserve">decode tok/s </t>
    </r>
    <r>
      <rPr>
        <sz val="9"/>
        <color rgb="FF595959"/>
        <rFont val="Noto Sans CJK SC"/>
        <family val="2"/>
      </rPr>
      <t xml:space="preserve">反解目標輸出（扣除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時間），再解每序列算力項；若所需每序列時間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通訊）下限，則『無解』。此列供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區間參考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</si>
  <si>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驗證判準參數（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）：不是物理量，只決定 </t>
    </r>
    <r>
      <rPr>
        <b val="true"/>
        <sz val="10"/>
        <rFont val="Arial"/>
        <family val="0"/>
        <charset val="1"/>
      </rPr>
      <t xml:space="preserve">Checks V1–V3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軟上限）何時由『警示』改判『失敗』</t>
    </r>
  </si>
  <si>
    <r>
      <rPr>
        <sz val="10"/>
        <color rgb="FF000000"/>
        <rFont val="Noto Sans CJK SC"/>
        <family val="2"/>
      </rPr>
      <t xml:space="preserve">驗證軟上限的失敗門檻（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</si>
  <si>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MLPerf 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口徑，模型取平均，故模型略高於實測屬口徑差（</t>
    </r>
    <r>
      <rPr>
        <sz val="9"/>
        <color rgb="FF595959"/>
        <rFont val="Arial"/>
        <family val="0"/>
        <charset val="1"/>
      </rPr>
      <t xml:space="preserve">V1–V3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至本值之間判『警示』，不計失敗）；超過本值（基準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倍）表示模型高估，不再只是口徑差，判『失敗』。區間 </t>
    </r>
    <r>
      <rPr>
        <sz val="9"/>
        <color rgb="FF595959"/>
        <rFont val="Arial"/>
        <family val="0"/>
        <charset val="1"/>
      </rPr>
      <t xml:space="preserve">1.5–3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端預設）。無來源；改本格只改 </t>
    </r>
    <r>
      <rPr>
        <sz val="9"/>
        <color rgb="FF595959"/>
        <rFont val="Arial"/>
        <family val="0"/>
        <charset val="1"/>
      </rPr>
      <t xml:space="preserve">Checks V1–V3 </t>
    </r>
    <r>
      <rPr>
        <sz val="9"/>
        <color rgb="FF595959"/>
        <rFont val="Noto Sans CJK SC"/>
        <family val="2"/>
      </rPr>
      <t xml:space="preserve">的警示／失敗判定，不影響任何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數值（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Warn </t>
    </r>
    <r>
      <rPr>
        <sz val="9"/>
        <color rgb="FF595959"/>
        <rFont val="Noto Sans CJK SC"/>
        <family val="2"/>
      </rPr>
      <t xml:space="preserve">隨之改變）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</si>
  <si>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</si>
  <si>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</si>
  <si>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</si>
  <si>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</si>
  <si>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</si>
  <si>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</si>
  <si>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</si>
  <si>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</si>
  <si>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</si>
  <si>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</si>
  <si>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</si>
  <si>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</si>
  <si>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</si>
  <si>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</si>
  <si>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</si>
  <si>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</si>
  <si>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</si>
  <si>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</si>
  <si>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</si>
  <si>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</si>
  <si>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</si>
  <si>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</si>
  <si>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</si>
  <si>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</si>
  <si>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</si>
  <si>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</si>
  <si>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</si>
  <si>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</si>
  <si>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</si>
  <si>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</si>
  <si>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</si>
  <si>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</si>
  <si>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</si>
  <si>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</si>
  <si>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</si>
  <si>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</si>
  <si>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</si>
  <si>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</si>
  <si>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</si>
  <si>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</si>
  <si>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</si>
  <si>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</si>
  <si>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</si>
  <si>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</si>
  <si>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</si>
  <si>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</si>
  <si>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</si>
  <si>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</si>
  <si>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</si>
  <si>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</si>
  <si>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</si>
  <si>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</si>
  <si>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</si>
  <si>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</si>
  <si>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</si>
  <si>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</si>
  <si>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</si>
  <si>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</si>
  <si>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</si>
  <si>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</si>
  <si>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</si>
  <si>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</si>
  <si>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</si>
  <si>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</si>
  <si>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</si>
  <si>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</si>
  <si>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</si>
  <si>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</si>
  <si>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</si>
  <si>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</si>
  <si>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</si>
  <si>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</si>
  <si>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</si>
  <si>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</si>
  <si>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</si>
  <si>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</si>
  <si>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</si>
  <si>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</si>
  <si>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</si>
  <si>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</si>
  <si>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</si>
  <si>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</si>
  <si>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</si>
  <si>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</si>
  <si>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</si>
  <si>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</si>
  <si>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</si>
  <si>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</si>
  <si>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</si>
  <si>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</si>
  <si>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</si>
  <si>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</si>
  <si>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</si>
  <si>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</si>
  <si>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</si>
  <si>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</si>
  <si>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</si>
  <si>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</si>
  <si>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</si>
  <si>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</si>
  <si>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</si>
  <si>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</si>
  <si>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</si>
  <si>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</si>
  <si>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</si>
  <si>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</si>
  <si>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</si>
  <si>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</si>
  <si>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</si>
  <si>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</si>
  <si>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</si>
  <si>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</si>
  <si>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</si>
  <si>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</si>
  <si>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</si>
  <si>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</si>
  <si>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</si>
  <si>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</si>
  <si>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</si>
  <si>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</si>
  <si>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</si>
  <si>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Noto Sans CJK SC"/>
        <family val="2"/>
      </rPr>
      <t xml:space="preserve">（掛鉤彙總表的一致讀數（</t>
    </r>
    <r>
      <rPr>
        <sz val="9"/>
        <color rgb="FF595959"/>
        <rFont val="Arial"/>
        <family val="0"/>
        <charset val="1"/>
      </rPr>
      <t xml:space="preserve">H_HAR </t>
    </r>
    <r>
      <rPr>
        <sz val="9"/>
        <color rgb="FF595959"/>
        <rFont val="Noto Sans CJK SC"/>
        <family val="2"/>
      </rPr>
      <t xml:space="preserve">的實際作用在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B5_W</t>
    </r>
    <r>
      <rPr>
        <sz val="9"/>
        <color rgb="FF595959"/>
        <rFont val="Noto Sans CJK SC"/>
        <family val="2"/>
      </rPr>
      <t xml:space="preserve">））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</si>
  <si>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</si>
  <si>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</si>
  <si>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</si>
  <si>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</si>
  <si>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</si>
  <si>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</si>
  <si>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</si>
  <si>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</si>
  <si>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</si>
  <si>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</si>
  <si>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</si>
  <si>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</si>
  <si>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</si>
  <si>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</si>
  <si>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</si>
  <si>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</si>
  <si>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</si>
  <si>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</si>
  <si>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</si>
  <si>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</si>
  <si>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</si>
  <si>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</si>
  <si>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</si>
  <si>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</si>
  <si>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</si>
  <si>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</si>
  <si>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</si>
  <si>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</si>
  <si>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</si>
  <si>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</si>
  <si>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</si>
  <si>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</si>
  <si>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</si>
  <si>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</si>
  <si>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</si>
  <si>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</si>
  <si>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</si>
  <si>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</si>
  <si>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</si>
  <si>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</si>
  <si>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</si>
  <si>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</si>
  <si>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</si>
  <si>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</si>
  <si>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</si>
  <si>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</si>
  <si>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</si>
  <si>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</si>
  <si>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</si>
  <si>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</si>
  <si>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</si>
  <si>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</si>
  <si>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</si>
  <si>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</si>
  <si>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</si>
  <si>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</si>
  <si>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</si>
  <si>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</si>
  <si>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</si>
  <si>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</si>
  <si>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</si>
  <si>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</si>
  <si>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</si>
  <si>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</si>
  <si>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</si>
  <si>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</si>
  <si>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</si>
  <si>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</si>
  <si>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</si>
  <si>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</si>
  <si>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</si>
  <si>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</si>
  <si>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</si>
  <si>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</si>
  <si>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</si>
  <si>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C91:Q91</t>
    </r>
    <r>
      <rPr>
        <sz val="9"/>
        <color rgb="FF595959"/>
        <rFont val="Noto Sans CJK SC"/>
        <family val="2"/>
      </rPr>
      <t xml:space="preserve">（記憶體配置讀數（權重／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占可用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同列鏡像（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</si>
  <si>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</si>
  <si>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</si>
  <si>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</si>
  <si>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</si>
  <si>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C94:Q94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P:D </t>
    </r>
    <r>
      <rPr>
        <sz val="9"/>
        <color rgb="FF595959"/>
        <rFont val="Noto Sans CJK SC"/>
        <family val="2"/>
      </rPr>
      <t xml:space="preserve">配比讀數（</t>
    </r>
    <r>
      <rPr>
        <sz val="9"/>
        <color rgb="FF595959"/>
        <rFont val="Arial"/>
        <family val="0"/>
        <charset val="1"/>
      </rPr>
      <t xml:space="preserve">DRV_PreShare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118 </t>
    </r>
    <r>
      <rPr>
        <sz val="9"/>
        <color rgb="FF595959"/>
        <rFont val="Noto Sans CJK SC"/>
        <family val="2"/>
      </rPr>
      <t xml:space="preserve">列讀它；與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</si>
  <si>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</si>
  <si>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</si>
  <si>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</si>
  <si>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</si>
  <si>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</si>
  <si>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</si>
  <si>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C99:Q99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GW decode </t>
    </r>
    <r>
      <rPr>
        <sz val="9"/>
        <color rgb="FF595959"/>
        <rFont val="Noto Sans CJK SC"/>
        <family val="2"/>
      </rPr>
      <t xml:space="preserve">產出讀數（下游用 </t>
    </r>
    <r>
      <rPr>
        <sz val="9"/>
        <color rgb="FF595959"/>
        <rFont val="Arial"/>
        <family val="0"/>
        <charset val="1"/>
      </rPr>
      <t xml:space="preserve">IF_TokRackD_*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</si>
  <si>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</si>
  <si>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</si>
  <si>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</si>
  <si>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</si>
  <si>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</si>
  <si>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</si>
  <si>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</si>
  <si>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</si>
  <si>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</si>
  <si>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</si>
  <si>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</si>
  <si>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</si>
  <si>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</si>
  <si>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</si>
  <si>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</si>
  <si>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</si>
  <si>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</si>
  <si>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</si>
  <si>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</si>
  <si>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</si>
  <si>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</si>
  <si>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</si>
  <si>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C118:Q118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節）讀數；與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鏡像）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</si>
  <si>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</si>
  <si>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</si>
  <si>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</si>
  <si>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</si>
  <si>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</si>
  <si>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</si>
  <si>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</si>
  <si>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</si>
  <si>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</si>
  <si>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</si>
  <si>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</si>
  <si>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</si>
  <si>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</si>
  <si>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</si>
  <si>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</si>
  <si>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</si>
  <si>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</si>
  <si>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</si>
  <si>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</si>
  <si>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</si>
  <si>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</si>
  <si>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</si>
  <si>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</si>
  <si>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</si>
  <si>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</si>
  <si>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</si>
  <si>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</si>
  <si>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</si>
  <si>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</si>
  <si>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</si>
  <si>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</si>
  <si>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</si>
  <si>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</si>
  <si>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</si>
  <si>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</si>
  <si>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</si>
  <si>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</si>
  <si>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</si>
  <si>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</si>
  <si>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</si>
  <si>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</si>
  <si>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</si>
  <si>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</si>
  <si>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</si>
  <si>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</si>
  <si>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</si>
  <si>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</si>
  <si>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</si>
  <si>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</si>
  <si>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</si>
  <si>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</si>
  <si>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</si>
  <si>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</si>
  <si>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</si>
  <si>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</si>
  <si>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C49:Q49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</si>
  <si>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</si>
  <si>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</si>
  <si>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</si>
  <si>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</si>
  <si>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</si>
  <si>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</si>
  <si>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</si>
  <si>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</si>
  <si>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</si>
  <si>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</si>
  <si>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</si>
  <si>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</si>
  <si>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</si>
  <si>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</si>
  <si>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</si>
  <si>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</si>
  <si>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</si>
  <si>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</si>
  <si>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</si>
  <si>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</si>
  <si>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</si>
  <si>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</si>
  <si>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</si>
  <si>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</si>
  <si>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</si>
  <si>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</si>
  <si>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</si>
  <si>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</si>
  <si>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</si>
  <si>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</si>
  <si>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</si>
  <si>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</si>
  <si>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</si>
  <si>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</si>
  <si>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</si>
  <si>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</si>
  <si>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</si>
  <si>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</si>
  <si>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</si>
  <si>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</si>
  <si>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</si>
  <si>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</si>
  <si>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</si>
  <si>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</si>
  <si>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</si>
  <si>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</si>
  <si>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</si>
  <si>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</si>
  <si>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</si>
  <si>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</si>
  <si>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</si>
  <si>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</si>
  <si>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</si>
  <si>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年用電（設施端）</t>
  </si>
  <si>
    <t xml:space="preserve">TWh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</si>
  <si>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C60:Q60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Sensitivity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IF_Capex*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IF_AvgDraw</t>
    </r>
    <r>
      <rPr>
        <sz val="9"/>
        <color rgb="FF595959"/>
        <rFont val="Noto Sans CJK SC"/>
        <family val="2"/>
      </rPr>
      <t xml:space="preserve">）</t>
    </r>
  </si>
  <si>
    <t xml:space="preserve">資本回收占經濟口徑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</si>
  <si>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</si>
  <si>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t xml:space="preserve">電費占經濟口徑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</si>
  <si>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C62:Q62</t>
    </r>
    <r>
      <rPr>
        <sz val="9"/>
        <color rgb="FF595959"/>
        <rFont val="Noto Sans CJK SC"/>
        <family val="2"/>
      </rPr>
      <t xml:space="preserve">（成本結構讀數（資本回收、電費占經濟口徑）；下游以 </t>
    </r>
    <r>
      <rPr>
        <sz val="9"/>
        <color rgb="FF595959"/>
        <rFont val="Arial"/>
        <family val="0"/>
        <charset val="1"/>
      </rPr>
      <t xml:space="preserve">IF_Depr*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IF_PowerCost </t>
    </r>
    <r>
      <rPr>
        <sz val="9"/>
        <color rgb="FF595959"/>
        <rFont val="Noto Sans CJK SC"/>
        <family val="2"/>
      </rPr>
      <t xml:space="preserve">自算）</t>
    </r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</si>
  <si>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</si>
  <si>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</si>
  <si>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</si>
  <si>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</si>
  <si>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</si>
  <si>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</si>
  <si>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</si>
  <si>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</si>
  <si>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</si>
  <si>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</si>
  <si>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</si>
  <si>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</si>
  <si>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</si>
  <si>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</si>
  <si>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</si>
  <si>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</si>
  <si>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</si>
  <si>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</si>
  <si>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</si>
  <si>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</si>
  <si>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</si>
  <si>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</si>
  <si>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</si>
  <si>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</si>
  <si>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</si>
  <si>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</si>
  <si>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</si>
  <si>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</si>
  <si>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</si>
  <si>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</si>
  <si>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</si>
  <si>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</si>
  <si>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</si>
  <si>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</si>
  <si>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</si>
  <si>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</si>
  <si>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</si>
  <si>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</si>
  <si>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</si>
  <si>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</si>
  <si>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</si>
  <si>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</si>
  <si>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</si>
  <si>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</si>
  <si>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</si>
  <si>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</si>
  <si>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</si>
  <si>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</si>
  <si>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</si>
  <si>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</si>
  <si>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</si>
  <si>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</si>
  <si>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</si>
  <si>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</si>
  <si>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</si>
  <si>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</si>
  <si>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</si>
  <si>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</si>
  <si>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</si>
  <si>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</si>
  <si>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</si>
  <si>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</si>
  <si>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</si>
  <si>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</si>
  <si>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</si>
  <si>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</si>
  <si>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</si>
  <si>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</si>
  <si>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</si>
  <si>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</si>
  <si>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</si>
  <si>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</si>
  <si>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</si>
  <si>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</si>
  <si>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</si>
  <si>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</si>
  <si>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</si>
  <si>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占比的外部對照（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登錄，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157–158 </t>
    </r>
    <r>
      <rPr>
        <sz val="9"/>
        <color rgb="FF595959"/>
        <rFont val="Noto Sans CJK SC"/>
        <family val="2"/>
      </rPr>
      <t xml:space="preserve">列取用）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</si>
  <si>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</si>
  <si>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</si>
  <si>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與情境）：前沿預訓練錨點低（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</si>
  <si>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t xml:space="preserve">前沿預訓練錨點 中</t>
  </si>
  <si>
    <t xml:space="preserve">前沿預訓練錨點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</si>
  <si>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與情境）：前沿預訓練錨點高（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對照用</t>
    </r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</si>
  <si>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</si>
  <si>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</si>
  <si>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</si>
  <si>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</si>
  <si>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</si>
  <si>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</si>
  <si>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R12:S12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未接線情境）的 </t>
    </r>
    <r>
      <rPr>
        <sz val="9"/>
        <color rgb="FF595959"/>
        <rFont val="Arial"/>
        <family val="0"/>
        <charset val="1"/>
      </rPr>
      <t xml:space="preserve">H_WB </t>
    </r>
    <r>
      <rPr>
        <sz val="9"/>
        <color rgb="FF595959"/>
        <rFont val="Noto Sans CJK SC"/>
        <family val="2"/>
      </rPr>
      <t xml:space="preserve">讀取；與其餘 </t>
    </r>
    <r>
      <rPr>
        <sz val="9"/>
        <color rgb="FF595959"/>
        <rFont val="Arial"/>
        <family val="0"/>
        <charset val="1"/>
      </rPr>
      <t xml:space="preserve">R–S </t>
    </r>
    <r>
      <rPr>
        <sz val="9"/>
        <color rgb="FF595959"/>
        <rFont val="Noto Sans CJK SC"/>
        <family val="2"/>
      </rPr>
      <t xml:space="preserve">列同標記）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</si>
  <si>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C22:S22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</si>
  <si>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C23:S23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</si>
  <si>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C24:S24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</si>
  <si>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C25:S25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</si>
  <si>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C26:S26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</si>
  <si>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C62:S62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</si>
  <si>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</si>
  <si>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</si>
  <si>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C73:S73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</si>
  <si>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</si>
  <si>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C84:S84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</si>
  <si>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C90:S90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</si>
  <si>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C91:S91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</si>
  <si>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</si>
  <si>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C93:S93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</si>
  <si>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C94:S94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</si>
  <si>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C95:S95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</si>
  <si>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C96:S96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</si>
  <si>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C97:S97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</si>
  <si>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C98:S98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</si>
  <si>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C99:S99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</si>
  <si>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</si>
  <si>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C102:S102</t>
    </r>
    <r>
      <rPr>
        <sz val="9"/>
        <color rgb="FF595959"/>
        <rFont val="Noto Sans CJK SC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常設測試的比對對象）；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只取其中幾列）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</si>
  <si>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</si>
  <si>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C107:S107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</si>
  <si>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C108:S108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</si>
  <si>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C109:S109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</si>
  <si>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C110:S110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</si>
  <si>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C111:S111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</si>
  <si>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C112:S112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</si>
  <si>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C113:S113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</si>
  <si>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C114:S114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</si>
  <si>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C115:S115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</si>
  <si>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C116:S116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</si>
  <si>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C117:S117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</si>
  <si>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C118:S118</t>
    </r>
    <r>
      <rPr>
        <sz val="9"/>
        <color rgb="FF595959"/>
        <rFont val="Noto Sans CJK SC"/>
        <family val="2"/>
      </rPr>
      <t xml:space="preserve">（能量閉合（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節）逐步讀數；不進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逐列鏡像（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</si>
  <si>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</si>
  <si>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</si>
  <si>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C120:S120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</si>
  <si>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</si>
  <si>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C121:S121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專屬閱讀列（</t>
    </r>
    <r>
      <rPr>
        <sz val="9"/>
        <color rgb="FF595959"/>
        <rFont val="Arial"/>
        <family val="0"/>
        <charset val="1"/>
      </rPr>
      <t xml:space="preserve">D13 </t>
    </r>
    <r>
      <rPr>
        <sz val="9"/>
        <color rgb="FF595959"/>
        <rFont val="Noto Sans CJK SC"/>
        <family val="2"/>
      </rPr>
      <t xml:space="preserve">白名單）：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，解讀 </t>
    </r>
    <r>
      <rPr>
        <sz val="9"/>
        <color rgb="FF595959"/>
        <rFont val="Arial"/>
        <family val="0"/>
        <charset val="1"/>
      </rPr>
      <t xml:space="preserve">IF_RLMFU_* </t>
    </r>
    <r>
      <rPr>
        <sz val="9"/>
        <color rgb="FF595959"/>
        <rFont val="Noto Sans CJK SC"/>
        <family val="2"/>
      </rPr>
      <t xml:space="preserve">為何偏低）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</si>
  <si>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</si>
  <si>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</si>
  <si>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</si>
  <si>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</si>
  <si>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</si>
  <si>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</si>
  <si>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</si>
  <si>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</si>
  <si>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</si>
  <si>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</si>
  <si>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</si>
  <si>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</si>
  <si>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</si>
  <si>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</si>
  <si>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</si>
  <si>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</si>
  <si>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</si>
  <si>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</si>
  <si>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</si>
  <si>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</si>
  <si>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</si>
  <si>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</si>
  <si>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前向），不外露；若日後要改為 </t>
    </r>
    <r>
      <rPr>
        <sz val="11"/>
        <color theme="1"/>
        <rFont val="Calibri"/>
        <family val="2"/>
        <charset val="1"/>
      </rPr>
      <t xml:space="preserve">Tech_Registry </t>
    </r>
    <r>
      <rPr>
        <sz val="11"/>
        <color theme="1"/>
        <rFont val="Noto Sans CJK SC"/>
        <family val="2"/>
      </rPr>
      <t xml:space="preserve">條目再外露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</si>
  <si>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</si>
  <si>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</si>
  <si>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</si>
  <si>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</si>
  <si>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</si>
  <si>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</si>
  <si>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 × </t>
    </r>
    <r>
      <rPr>
        <sz val="11"/>
        <color theme="1"/>
        <rFont val="Noto Sans CJK SC"/>
        <family val="2"/>
      </rPr>
      <t xml:space="preserve">前向），不外露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</si>
  <si>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</si>
  <si>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</si>
  <si>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</si>
  <si>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</si>
  <si>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</si>
  <si>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</si>
  <si>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</si>
  <si>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</si>
  <si>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</si>
  <si>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</si>
  <si>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</si>
  <si>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</si>
  <si>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</si>
  <si>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</si>
  <si>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</si>
  <si>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</si>
  <si>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</si>
  <si>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</si>
  <si>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</si>
  <si>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</si>
  <si>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</si>
  <si>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</si>
  <si>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</si>
  <si>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</si>
  <si>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</si>
  <si>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</si>
  <si>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</si>
  <si>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</si>
  <si>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</si>
  <si>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1"/>
        <color theme="1"/>
        <rFont val="Noto Sans CJK SC"/>
        <family val="2"/>
      </rPr>
      <t xml:space="preserve">物理慣例：</t>
    </r>
    <r>
      <rPr>
        <sz val="11"/>
        <color theme="1"/>
        <rFont val="Calibri"/>
        <family val="2"/>
        <charset val="1"/>
      </rPr>
      <t xml:space="preserve">÷3</t>
    </r>
    <r>
      <rPr>
        <sz val="11"/>
        <color theme="1"/>
        <rFont val="Noto Sans CJK SC"/>
        <family val="2"/>
      </rPr>
      <t xml:space="preserve">＝訓練 </t>
    </r>
    <r>
      <rPr>
        <sz val="11"/>
        <color theme="1"/>
        <rFont val="Calibri"/>
        <family val="2"/>
        <charset val="1"/>
      </rPr>
      <t xml:space="preserve">FLOPs </t>
    </r>
    <r>
      <rPr>
        <sz val="11"/>
        <color theme="1"/>
        <rFont val="Noto Sans CJK SC"/>
        <family val="2"/>
      </rPr>
      <t xml:space="preserve">折回前向（前向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＋反向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</si>
  <si>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</si>
  <si>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</si>
  <si>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</si>
  <si>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</si>
  <si>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</si>
  <si>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C79:Q79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預訓練（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口徑，</t>
    </r>
    <r>
      <rPr>
        <sz val="9"/>
        <color rgb="FF595959"/>
        <rFont val="Arial"/>
        <family val="0"/>
        <charset val="1"/>
      </rPr>
      <t xml:space="preserve">TRN_RLRatioF</t>
    </r>
    <r>
      <rPr>
        <sz val="9"/>
        <color rgb="FF595959"/>
        <rFont val="Noto Sans CJK SC"/>
        <family val="2"/>
      </rPr>
      <t xml:space="preserve">）；與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小時口徑並列，對照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宣稱值）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</si>
  <si>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</si>
  <si>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</si>
  <si>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</si>
  <si>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</si>
  <si>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</si>
  <si>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</si>
  <si>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</si>
  <si>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</si>
  <si>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</si>
  <si>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</si>
  <si>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</si>
  <si>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</si>
  <si>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</si>
  <si>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</si>
  <si>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</si>
  <si>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</si>
  <si>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</si>
  <si>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</si>
  <si>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</si>
  <si>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</si>
  <si>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</si>
  <si>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</si>
  <si>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</si>
  <si>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</si>
  <si>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</si>
  <si>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</si>
  <si>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</si>
  <si>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</si>
  <si>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</si>
  <si>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</si>
  <si>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</si>
  <si>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</si>
  <si>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</si>
  <si>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C113:Q113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</si>
  <si>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推論型占最終訓練</t>
  </si>
  <si>
    <t xml:space="preserve">最終訓練成本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</si>
  <si>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C115:Q115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</si>
  <si>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t xml:space="preserve">最終訓練成本 — 會計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</si>
  <si>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C116:Q116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有同列同標籤的列，常設測試以此為逐格比對基準；下游用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</si>
  <si>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</si>
  <si>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</si>
  <si>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</si>
  <si>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</si>
  <si>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</si>
  <si>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</si>
  <si>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C121:Q121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型態』表的上游（研發實驗，型態未拆分））</t>
    </r>
  </si>
  <si>
    <t xml:space="preserve">研發計畫成本 — 經濟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</si>
  <si>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C122:Q122</t>
    </r>
    <r>
      <rPr>
        <sz val="9"/>
        <color rgb="FF595959"/>
        <rFont val="Noto Sans CJK SC"/>
        <family val="2"/>
      </rPr>
      <t xml:space="preserve">（核心列：</t>
    </r>
    <r>
      <rPr>
        <sz val="9"/>
        <color rgb="FF595959"/>
        <rFont val="Arial"/>
        <family val="0"/>
        <charset val="1"/>
      </rPr>
      <t xml:space="preserve">Sens_Train </t>
    </r>
    <r>
      <rPr>
        <sz val="9"/>
        <color rgb="FF595959"/>
        <rFont val="Noto Sans CJK SC"/>
        <family val="2"/>
      </rPr>
      <t xml:space="preserve">有同列同標籤的列，常設測試以此為逐格比對基準；本列沒有公式讀取，下游 </t>
    </r>
    <r>
      <rPr>
        <sz val="9"/>
        <color rgb="FF595959"/>
        <rFont val="Arial"/>
        <family val="0"/>
        <charset val="1"/>
      </rPr>
      <t xml:space="preserve">IF_TrainCost_*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IF_ProgCost_*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列（研發計畫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小時，</t>
    </r>
    <r>
      <rPr>
        <sz val="9"/>
        <color rgb="FF595959"/>
        <rFont val="Arial"/>
        <family val="0"/>
        <charset val="1"/>
      </rPr>
      <t xml:space="preserve">TRN_GPUhProg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</si>
  <si>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</si>
  <si>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</si>
  <si>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</si>
  <si>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C125:Q125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</si>
  <si>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</si>
  <si>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C126:Q126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</si>
  <si>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</si>
  <si>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C127:Q127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</si>
  <si>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合成資料與評測｜推論型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</si>
  <si>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C128:Q128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</si>
  <si>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t xml:space="preserve">研發實驗｜未拆分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</si>
  <si>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C129:Q129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節『用途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型態』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小時表的一列；各列合計等於 </t>
    </r>
    <r>
      <rPr>
        <sz val="9"/>
        <color rgb="FF595959"/>
        <rFont val="Arial"/>
        <family val="0"/>
        <charset val="1"/>
      </rPr>
      <t xml:space="preserve">IF_TrainGPUh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IF_ProgGPUh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</si>
  <si>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</si>
  <si>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C131:Q131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</si>
  <si>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C132:Q132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</si>
  <si>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C133:Q133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</si>
  <si>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C134:Q134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</si>
  <si>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</si>
  <si>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</si>
  <si>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</si>
  <si>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</si>
  <si>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</si>
  <si>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</si>
  <si>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</si>
  <si>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</si>
  <si>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</si>
  <si>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</si>
  <si>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</si>
  <si>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</si>
  <si>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</si>
  <si>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</si>
  <si>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</si>
  <si>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</si>
  <si>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</si>
  <si>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</si>
  <si>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</si>
  <si>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</si>
  <si>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</si>
  <si>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</si>
  <si>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</si>
  <si>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</si>
  <si>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</si>
  <si>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</si>
  <si>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</si>
  <si>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</si>
  <si>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</si>
  <si>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</si>
  <si>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</si>
  <si>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</si>
  <si>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</si>
  <si>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</si>
  <si>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</si>
  <si>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</si>
  <si>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</si>
  <si>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</si>
  <si>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</si>
  <si>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</si>
  <si>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</si>
  <si>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</si>
  <si>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</si>
  <si>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</si>
  <si>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</si>
  <si>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</si>
  <si>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</si>
  <si>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</si>
  <si>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欄（尖峰／離峰口徑情境）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</si>
  <si>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</si>
  <si>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</si>
  <si>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</si>
  <si>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</si>
  <si>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</si>
  <si>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</si>
  <si>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</si>
  <si>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</si>
  <si>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</si>
  <si>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</si>
  <si>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B20 </t>
    </r>
    <r>
      <rPr>
        <sz val="9"/>
        <color rgb="FF595959"/>
        <rFont val="Noto Sans CJK SC"/>
        <family val="2"/>
      </rPr>
      <t xml:space="preserve">讀取）</t>
    </r>
  </si>
  <si>
    <t xml:space="preserve">商業壽命 高</t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</si>
  <si>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欄由 </t>
    </r>
    <r>
      <rPr>
        <sz val="9"/>
        <color rgb="FF595959"/>
        <rFont val="Arial"/>
        <family val="0"/>
        <charset val="1"/>
      </rPr>
      <t xml:space="preserve">Sens_Rev B21 </t>
    </r>
    <r>
      <rPr>
        <sz val="9"/>
        <color rgb="FF595959"/>
        <rFont val="Noto Sans CJK SC"/>
        <family val="2"/>
      </rPr>
      <t xml:space="preserve">讀取）</t>
    </r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</si>
  <si>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</si>
  <si>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</si>
  <si>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</si>
  <si>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</si>
  <si>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</si>
  <si>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</si>
  <si>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</si>
  <si>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</si>
  <si>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</si>
  <si>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</si>
  <si>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</si>
  <si>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</si>
  <si>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</si>
  <si>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</si>
  <si>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</si>
  <si>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</si>
  <si>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</si>
  <si>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</si>
  <si>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</si>
  <si>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</si>
  <si>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</si>
  <si>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</si>
  <si>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</si>
  <si>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</si>
  <si>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</si>
  <si>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</si>
  <si>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</si>
  <si>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</si>
  <si>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</si>
  <si>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</si>
  <si>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</si>
  <si>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</si>
  <si>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</si>
  <si>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</si>
  <si>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</si>
  <si>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</si>
  <si>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</si>
  <si>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</si>
  <si>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</si>
  <si>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</si>
  <si>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</si>
  <si>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</si>
  <si>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</si>
  <si>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</si>
  <si>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</si>
  <si>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</si>
  <si>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</si>
  <si>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</si>
  <si>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</si>
  <si>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</si>
  <si>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</si>
  <si>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</si>
  <si>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</si>
  <si>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</si>
  <si>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</si>
  <si>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</si>
  <si>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</si>
  <si>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</si>
  <si>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</si>
  <si>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</si>
  <si>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</si>
  <si>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</si>
  <si>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</si>
  <si>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</si>
  <si>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</si>
  <si>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</si>
  <si>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</si>
  <si>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</si>
  <si>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</si>
  <si>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</si>
  <si>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</si>
  <si>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</si>
  <si>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</si>
  <si>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</si>
  <si>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</si>
  <si>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</si>
  <si>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</si>
  <si>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</si>
  <si>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</si>
  <si>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</si>
  <si>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</si>
  <si>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</si>
  <si>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</si>
  <si>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</si>
  <si>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</si>
  <si>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</si>
  <si>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</si>
  <si>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</si>
  <si>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</si>
  <si>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</si>
  <si>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</si>
  <si>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</si>
  <si>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</si>
  <si>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</si>
  <si>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</si>
  <si>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</si>
  <si>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</si>
  <si>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</si>
  <si>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</si>
  <si>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</si>
  <si>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</si>
  <si>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</si>
  <si>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</si>
  <si>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</si>
  <si>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C71:E71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</si>
  <si>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</si>
  <si>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</si>
  <si>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C72:E72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</si>
  <si>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</si>
  <si>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</si>
  <si>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C73:E73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營收二分（訂閱／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）：第 </t>
    </r>
    <r>
      <rPr>
        <sz val="9"/>
        <color rgb="FF595959"/>
        <rFont val="Arial"/>
        <family val="0"/>
        <charset val="1"/>
      </rPr>
      <t xml:space="preserve">96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對照的分子；與 </t>
    </r>
    <r>
      <rPr>
        <sz val="9"/>
        <color rgb="FF595959"/>
        <rFont val="Arial"/>
        <family val="0"/>
        <charset val="1"/>
      </rPr>
      <t xml:space="preserve">H8-1 </t>
    </r>
    <r>
      <rPr>
        <sz val="9"/>
        <color rgb="FF595959"/>
        <rFont val="Noto Sans CJK SC"/>
        <family val="2"/>
      </rPr>
      <t xml:space="preserve">三分法口徑不同（設計））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</si>
  <si>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</si>
  <si>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</si>
  <si>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</si>
  <si>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</si>
  <si>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</si>
  <si>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</si>
  <si>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</si>
  <si>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訂閱人數的 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複本，只供與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期間平均並列對照；目前沒有任何公式讀取；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更正：原標記稱『每人直覺檢查與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的上游』與實際依賴不符）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</si>
  <si>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</si>
  <si>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</si>
  <si>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</si>
  <si>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</si>
  <si>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</si>
  <si>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</si>
  <si>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</si>
  <si>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</si>
  <si>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</si>
  <si>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C79:E79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H2 </t>
    </r>
    <r>
      <rPr>
        <sz val="9"/>
        <color rgb="FF595959"/>
        <rFont val="Noto Sans CJK SC"/>
        <family val="2"/>
      </rPr>
      <t xml:space="preserve">訂閱人數（</t>
    </r>
    <r>
      <rPr>
        <sz val="9"/>
        <color rgb="FF595959"/>
        <rFont val="Arial"/>
        <family val="0"/>
        <charset val="1"/>
      </rPr>
      <t xml:space="preserve">SRC_DEM </t>
    </r>
    <r>
      <rPr>
        <sz val="9"/>
        <color rgb="FF595959"/>
        <rFont val="Noto Sans CJK SC"/>
        <family val="2"/>
      </rPr>
      <t xml:space="preserve">複本與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期間平均）：每人直覺檢查與 </t>
    </r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的上游）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</si>
  <si>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</si>
  <si>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</si>
  <si>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</si>
  <si>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</si>
  <si>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</si>
  <si>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</si>
  <si>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</si>
  <si>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</si>
  <si>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</si>
  <si>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</si>
  <si>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</si>
  <si>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</si>
  <si>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</si>
  <si>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</si>
  <si>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</si>
  <si>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</si>
  <si>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</si>
  <si>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</si>
  <si>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 ｜數學慣例：</t>
    </r>
    <r>
      <rPr>
        <sz val="9"/>
        <color rgb="FF595959"/>
        <rFont val="Arial"/>
        <family val="0"/>
        <charset val="1"/>
      </rPr>
      <t xml:space="preserve">^0.5</t>
    </r>
    <r>
      <rPr>
        <sz val="9"/>
        <color rgb="FF595959"/>
        <rFont val="Noto Sans CJK SC"/>
        <family val="2"/>
      </rPr>
      <t xml:space="preserve">＝幾何中點（低、高的幾何平均），不外露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</si>
  <si>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</si>
  <si>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</si>
  <si>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</si>
  <si>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</si>
  <si>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</si>
  <si>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</si>
  <si>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</si>
  <si>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</si>
  <si>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</si>
  <si>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</si>
  <si>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</si>
  <si>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</si>
  <si>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</si>
  <si>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</si>
  <si>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兩路線隱含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v5.32 </t>
    </r>
    <r>
      <rPr>
        <sz val="9"/>
        <color rgb="FF595959"/>
        <rFont val="Noto Sans CJK SC"/>
        <family val="2"/>
      </rPr>
      <t xml:space="preserve">舊分法對照）；主口徑為 </t>
    </r>
    <r>
      <rPr>
        <sz val="9"/>
        <color rgb="FF595959"/>
        <rFont val="Arial"/>
        <family val="0"/>
        <charset val="1"/>
      </rPr>
      <t xml:space="preserve">H8-3 </t>
    </r>
    <r>
      <rPr>
        <sz val="9"/>
        <color rgb="FF595959"/>
        <rFont val="Noto Sans CJK SC"/>
        <family val="2"/>
      </rPr>
      <t xml:space="preserve">三分法 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MAPI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MSeat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</si>
  <si>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</si>
  <si>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</si>
  <si>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</si>
  <si>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</si>
  <si>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</si>
  <si>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</si>
  <si>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</si>
  <si>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</si>
  <si>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</si>
  <si>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</si>
  <si>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</si>
  <si>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</si>
  <si>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</si>
  <si>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</si>
  <si>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C99:E99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</si>
  <si>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</si>
  <si>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</si>
  <si>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</si>
  <si>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</si>
  <si>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</si>
  <si>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</si>
  <si>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C101:E101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H6 </t>
    </r>
    <r>
      <rPr>
        <sz val="9"/>
        <color rgb="FF595959"/>
        <rFont val="Noto Sans CJK SC"/>
        <family val="2"/>
      </rPr>
      <t xml:space="preserve">程式代理對照鏈：第 </t>
    </r>
    <r>
      <rPr>
        <sz val="9"/>
        <color rgb="FF595959"/>
        <rFont val="Arial"/>
        <family val="0"/>
        <charset val="1"/>
      </rPr>
      <t xml:space="preserve">103 </t>
    </r>
    <r>
      <rPr>
        <sz val="9"/>
        <color rgb="FF595959"/>
        <rFont val="Noto Sans CJK SC"/>
        <family val="2"/>
      </rPr>
      <t xml:space="preserve">列『程式代理訂閱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』對照的上游）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</si>
  <si>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</si>
  <si>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</si>
  <si>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</si>
  <si>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</si>
  <si>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</si>
  <si>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</si>
  <si>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</si>
  <si>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</si>
  <si>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</si>
  <si>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</si>
  <si>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</si>
  <si>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</si>
  <si>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</si>
  <si>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</si>
  <si>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</si>
  <si>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</si>
  <si>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</si>
  <si>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</si>
  <si>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</si>
  <si>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</si>
  <si>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</si>
  <si>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</si>
  <si>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</si>
  <si>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G109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</si>
  <si>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</si>
  <si>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</si>
  <si>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</si>
  <si>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</si>
  <si>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</si>
  <si>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</si>
  <si>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</si>
  <si>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</si>
  <si>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</si>
  <si>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</si>
  <si>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</si>
  <si>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</si>
  <si>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</si>
  <si>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</si>
  <si>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</si>
  <si>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</si>
  <si>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G116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</si>
  <si>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</si>
  <si>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</si>
  <si>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</si>
  <si>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</si>
  <si>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</si>
  <si>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</si>
  <si>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G119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</si>
  <si>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</si>
  <si>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</si>
  <si>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</si>
  <si>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公式列：</t>
    </r>
    <r>
      <rPr>
        <sz val="9"/>
        <color rgb="FF595959"/>
        <rFont val="Arial"/>
        <family val="0"/>
        <charset val="1"/>
      </rPr>
      <t xml:space="preserve">C121:E121</t>
    </r>
    <r>
      <rPr>
        <sz val="9"/>
        <color rgb="FF595959"/>
        <rFont val="Noto Sans CJK SC"/>
        <family val="2"/>
      </rPr>
      <t xml:space="preserve">（機隊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的同欄物理下限；</t>
    </r>
    <r>
      <rPr>
        <sz val="9"/>
        <color rgb="FF595959"/>
        <rFont val="Arial"/>
        <family val="0"/>
        <charset val="1"/>
      </rPr>
      <t xml:space="preserve">v14.1 </t>
    </r>
    <r>
      <rPr>
        <sz val="9"/>
        <color rgb="FF595959"/>
        <rFont val="Noto Sans CJK SC"/>
        <family val="2"/>
      </rPr>
      <t xml:space="preserve">正式定義）｜每一欄用該欄自己的服務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與利用率口徑算出『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 →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下限』；第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，→ 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）各欄＝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點估計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本列同欄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；不升級為契約名稱 </t>
    </r>
    <r>
      <rPr>
        <sz val="9"/>
        <color rgb="FF595959"/>
        <rFont val="Arial"/>
        <family val="0"/>
        <charset val="1"/>
      </rPr>
      <t xml:space="preserve">L1_MFleetFloor</t>
    </r>
    <r>
      <rPr>
        <sz val="9"/>
        <color rgb="FF595959"/>
        <rFont val="Noto Sans CJK SC"/>
        <family val="2"/>
      </rPr>
      <t xml:space="preserve">（下游不讀此列，只讀截斷後的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區間）；原標記『待定義，見 </t>
    </r>
    <r>
      <rPr>
        <sz val="9"/>
        <color rgb="FF595959"/>
        <rFont val="Arial"/>
        <family val="0"/>
        <charset val="1"/>
      </rPr>
      <t xml:space="preserve">4-3B </t>
    </r>
    <r>
      <rPr>
        <sz val="9"/>
        <color rgb="FF595959"/>
        <rFont val="Noto Sans CJK SC"/>
        <family val="2"/>
      </rPr>
      <t xml:space="preserve">報告』（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</si>
  <si>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</si>
  <si>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</si>
  <si>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</si>
  <si>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C123:E123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</si>
  <si>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</si>
  <si>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C124:E124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</si>
  <si>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</si>
  <si>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C125:E125</t>
    </r>
    <r>
      <rPr>
        <sz val="9"/>
        <color rgb="FF595959"/>
        <rFont val="Noto Sans CJK SC"/>
        <family val="2"/>
      </rPr>
      <t xml:space="preserve">（『必須為真』補列（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0.3 </t>
    </r>
    <r>
      <rPr>
        <sz val="9"/>
        <color rgb="FF595959"/>
        <rFont val="Noto Sans CJK SC"/>
        <family val="2"/>
      </rPr>
      <t xml:space="preserve">所需付費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）：反向檢查（</t>
    </r>
    <r>
      <rPr>
        <sz val="9"/>
        <color rgb="FF595959"/>
        <rFont val="Arial"/>
        <family val="0"/>
        <charset val="1"/>
      </rPr>
      <t xml:space="preserve">v5.33 B3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</si>
  <si>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</si>
  <si>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</si>
  <si>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</si>
  <si>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</si>
  <si>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</si>
  <si>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</si>
  <si>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C128:E128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</si>
  <si>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</si>
  <si>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</si>
  <si>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C129:E129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J11 </t>
    </r>
    <r>
      <rPr>
        <sz val="9"/>
        <color rgb="FF595959"/>
        <rFont val="Noto Sans CJK SC"/>
        <family val="2"/>
      </rPr>
      <t xml:space="preserve">非文字服務份額對照（敏感度讀數；</t>
    </r>
    <r>
      <rPr>
        <sz val="9"/>
        <color rgb="FF595959"/>
        <rFont val="Arial"/>
        <family val="0"/>
        <charset val="1"/>
      </rPr>
      <t xml:space="preserve">Assumed 0.05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</si>
  <si>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</si>
  <si>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</si>
  <si>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</si>
  <si>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</si>
  <si>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</si>
  <si>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</si>
  <si>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</si>
  <si>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欄（基準）；區間端點（供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顯示用廣告營收）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</si>
  <si>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</si>
  <si>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</si>
  <si>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</si>
  <si>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</si>
  <si>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</si>
  <si>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</si>
  <si>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</si>
  <si>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C138:E138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</si>
  <si>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</si>
  <si>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</si>
  <si>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</si>
  <si>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</si>
  <si>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</si>
  <si>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</si>
  <si>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</si>
  <si>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</si>
  <si>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</si>
  <si>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</si>
  <si>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</si>
  <si>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</si>
  <si>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</si>
  <si>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</si>
  <si>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</si>
  <si>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</si>
  <si>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</si>
  <si>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</si>
  <si>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</si>
  <si>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</si>
  <si>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</si>
  <si>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</si>
  <si>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</si>
  <si>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</si>
  <si>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</si>
  <si>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</si>
  <si>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</si>
  <si>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</si>
  <si>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</si>
  <si>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</si>
  <si>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</si>
  <si>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</si>
  <si>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</si>
  <si>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</si>
  <si>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</si>
  <si>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</si>
  <si>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</si>
  <si>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</si>
  <si>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</si>
  <si>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</si>
  <si>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</si>
  <si>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</si>
  <si>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</si>
  <si>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</si>
  <si>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</si>
  <si>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</si>
  <si>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</si>
  <si>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</si>
  <si>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C161:E161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</si>
  <si>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</si>
  <si>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</si>
  <si>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C162:E162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H8-6</t>
    </r>
    <r>
      <rPr>
        <sz val="9"/>
        <color rgb="FF595959"/>
        <rFont val="Noto Sans CJK SC"/>
        <family val="2"/>
      </rPr>
      <t xml:space="preserve">『必須為真』補列（訂閱 </t>
    </r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訂閱＝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所需每訂閱者年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</si>
  <si>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</si>
  <si>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</si>
  <si>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</si>
  <si>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</si>
  <si>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</si>
  <si>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</si>
  <si>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</si>
  <si>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</si>
  <si>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</si>
  <si>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</si>
  <si>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</si>
  <si>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</si>
  <si>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</si>
  <si>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</si>
  <si>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</si>
  <si>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</si>
  <si>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</si>
  <si>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</si>
  <si>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</si>
  <si>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</si>
  <si>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</si>
  <si>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</si>
  <si>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</si>
  <si>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</si>
  <si>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</si>
  <si>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</si>
  <si>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</si>
  <si>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</si>
  <si>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</si>
  <si>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C173:E173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H9 token </t>
    </r>
    <r>
      <rPr>
        <sz val="9"/>
        <color rgb="FF595959"/>
        <rFont val="Noto Sans CJK SC"/>
        <family val="2"/>
      </rPr>
      <t xml:space="preserve">帳三路線的上限路線（與 </t>
    </r>
    <r>
      <rPr>
        <sz val="9"/>
        <color rgb="FF595959"/>
        <rFont val="Arial"/>
        <family val="0"/>
        <charset val="1"/>
      </rPr>
      <t xml:space="preserve">L1_TokCeiling </t>
    </r>
    <r>
      <rPr>
        <sz val="9"/>
        <color rgb="FF595959"/>
        <rFont val="Noto Sans CJK SC"/>
        <family val="2"/>
      </rPr>
      <t xml:space="preserve">同值）；供第 </t>
    </r>
    <r>
      <rPr>
        <sz val="9"/>
        <color rgb="FF595959"/>
        <rFont val="Arial"/>
        <family val="0"/>
        <charset val="1"/>
      </rPr>
      <t xml:space="preserve">175 </t>
    </r>
    <r>
      <rPr>
        <sz val="9"/>
        <color rgb="FF595959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</si>
  <si>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</si>
  <si>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</si>
  <si>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</si>
  <si>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G175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）：說明動態文字無任何公式讀取；</t>
    </r>
    <r>
      <rPr>
        <sz val="9"/>
        <color rgb="FF595959"/>
        <rFont val="Arial"/>
        <family val="0"/>
        <charset val="1"/>
      </rPr>
      <t xml:space="preserve">C175:E175 </t>
    </r>
    <r>
      <rPr>
        <sz val="9"/>
        <color rgb="FF595959"/>
        <rFont val="Noto Sans CJK SC"/>
        <family val="2"/>
      </rPr>
      <t xml:space="preserve">為殘差讀數，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起由 </t>
    </r>
    <r>
      <rPr>
        <sz val="9"/>
        <color rgb="FF595959"/>
        <rFont val="Arial"/>
        <family val="0"/>
        <charset val="1"/>
      </rPr>
      <t xml:space="preserve">Checks V25 </t>
    </r>
    <r>
      <rPr>
        <sz val="9"/>
        <color rgb="FF595959"/>
        <rFont val="Noto Sans CJK SC"/>
        <family val="2"/>
      </rPr>
      <t xml:space="preserve">讀取；原公式記於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</si>
  <si>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A176</t>
    </r>
    <r>
      <rPr>
        <sz val="9"/>
        <color rgb="FF595959"/>
        <rFont val="Noto Sans CJK SC"/>
        <family val="2"/>
      </rPr>
      <t xml:space="preserve">（閉合解標題動態文字（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 </t>
    </r>
    <r>
      <rPr>
        <sz val="9"/>
        <color rgb="FF595959"/>
        <rFont val="Arial"/>
        <family val="0"/>
        <charset val="1"/>
      </rPr>
      <t xml:space="preserve">τ* </t>
    </r>
    <r>
      <rPr>
        <sz val="9"/>
        <color rgb="FF595959"/>
        <rFont val="Noto Sans CJK SC"/>
        <family val="2"/>
      </rPr>
      <t xml:space="preserve">現值））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</si>
  <si>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</si>
  <si>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</si>
  <si>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</si>
  <si>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</si>
  <si>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</si>
  <si>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</si>
  <si>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</si>
  <si>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</si>
  <si>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</si>
  <si>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</si>
  <si>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</si>
  <si>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</si>
  <si>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</si>
  <si>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</si>
  <si>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</si>
  <si>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</si>
  <si>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</si>
  <si>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</si>
  <si>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</si>
  <si>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</si>
  <si>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</si>
  <si>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</si>
  <si>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</si>
  <si>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</si>
  <si>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</si>
  <si>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</si>
  <si>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</si>
  <si>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</si>
  <si>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</si>
  <si>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</si>
  <si>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</si>
  <si>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</si>
  <si>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</si>
  <si>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</si>
  <si>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</si>
  <si>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</si>
  <si>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</si>
  <si>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</si>
  <si>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</si>
  <si>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</si>
  <si>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</si>
  <si>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</si>
  <si>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</si>
  <si>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</si>
  <si>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</si>
  <si>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</si>
  <si>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</si>
  <si>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</si>
  <si>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</si>
  <si>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</si>
  <si>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</si>
  <si>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</si>
  <si>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</si>
  <si>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</si>
  <si>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</si>
  <si>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</si>
  <si>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</si>
  <si>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</si>
  <si>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</si>
  <si>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</si>
  <si>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</si>
  <si>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</si>
  <si>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C199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</si>
  <si>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</si>
  <si>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</si>
  <si>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</si>
  <si>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</si>
  <si>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</si>
  <si>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</si>
  <si>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</si>
  <si>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</si>
  <si>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</si>
  <si>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</si>
  <si>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</si>
  <si>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C204:F204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</si>
  <si>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</si>
  <si>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</si>
  <si>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</si>
  <si>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t xml:space="preserve">m_API</t>
  </si>
  <si>
    <r>
      <rPr>
        <sz val="9"/>
        <color rgb="FF595959"/>
        <rFont val="Noto Sans CJK SC"/>
        <family val="2"/>
      </rPr>
      <t xml:space="preserve">錨點：以本列 </t>
    </r>
    <r>
      <rPr>
        <sz val="9"/>
        <color rgb="FF595959"/>
        <rFont val="Arial"/>
        <family val="0"/>
        <charset val="1"/>
      </rPr>
      <t xml:space="preserve">C–F </t>
    </r>
    <r>
      <rPr>
        <sz val="9"/>
        <color rgb="FF595959"/>
        <rFont val="Noto Sans CJK SC"/>
        <family val="2"/>
      </rPr>
      <t xml:space="preserve">欄現值為準（</t>
    </r>
    <r>
      <rPr>
        <sz val="9"/>
        <color rgb="FF595959"/>
        <rFont val="Arial"/>
        <family val="0"/>
        <charset val="1"/>
      </rPr>
      <t xml:space="preserve">v5.35 B1 </t>
    </r>
    <r>
      <rPr>
        <sz val="9"/>
        <color rgb="FF595959"/>
        <rFont val="Noto Sans CJK SC"/>
        <family val="2"/>
      </rPr>
      <t xml:space="preserve">建置時的數字已刪除，避免與現值不一致；原文見 </t>
    </r>
    <r>
      <rPr>
        <sz val="9"/>
        <color rgb="FF595959"/>
        <rFont val="Arial"/>
        <family val="0"/>
        <charset val="1"/>
      </rPr>
      <t xml:space="preserve">Decisions SL44-6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</si>
  <si>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L1_MAPI_Ser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序列（倍）｜口徑：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token ×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</si>
  <si>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</si>
  <si>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L1_MSub_Ser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序列（倍）｜口徑：消費訂閱營收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中消費訂閱部分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混合有效單價）｜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</si>
  <si>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</si>
  <si>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L1_MSeat_Ser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序列（倍）｜口徑：商用席次營收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（商用席次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混合有效單價）；席次占比為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、帶區間｜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</si>
  <si>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</si>
  <si>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L1_MImplied_Ser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序列（倍）｜口徑：整體（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</si>
  <si>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</si>
  <si>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</si>
  <si>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</si>
  <si>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</si>
  <si>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</si>
  <si>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</si>
  <si>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</si>
  <si>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</si>
  <si>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</si>
  <si>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</si>
  <si>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</si>
  <si>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</si>
  <si>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</si>
  <si>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</si>
  <si>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</si>
  <si>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</si>
  <si>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</si>
  <si>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</si>
  <si>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</si>
  <si>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</si>
  <si>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</si>
  <si>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</si>
  <si>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</si>
  <si>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</si>
  <si>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</si>
  <si>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</si>
  <si>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</si>
  <si>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</si>
  <si>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</si>
  <si>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</si>
  <si>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</si>
  <si>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</si>
  <si>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</si>
  <si>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</si>
  <si>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已清空 </t>
    </r>
    <r>
      <rPr>
        <sz val="9"/>
        <color rgb="FF595959"/>
        <rFont val="Arial"/>
        <family val="0"/>
        <charset val="1"/>
      </rPr>
      <t xml:space="preserve">C222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R5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年度欄，原本只與 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欄並列對照、無任何公式讀取（刪除前已逐格確認）；原公式記於 </t>
    </r>
    <r>
      <rPr>
        <sz val="9"/>
        <color rgb="FF595959"/>
        <rFont val="Arial"/>
        <family val="0"/>
        <charset val="1"/>
      </rPr>
      <t xml:space="preserve">Decisions SL44-5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</si>
  <si>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</si>
  <si>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L1_MFleet_Ser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序列（倍）｜口徑：機隊口徑（機隊付費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機隊口徑單價 </t>
    </r>
    <r>
      <rPr>
        <sz val="9"/>
        <color rgb="FF595959"/>
        <rFont val="Arial"/>
        <family val="0"/>
        <charset val="1"/>
      </rPr>
      <t xml:space="preserve">B4_PriceFleet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Q1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預測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</si>
  <si>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</si>
  <si>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</si>
  <si>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</si>
  <si>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</si>
  <si>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</si>
  <si>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</si>
  <si>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</si>
  <si>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</si>
  <si>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</si>
  <si>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</si>
  <si>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</si>
  <si>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</si>
  <si>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</si>
  <si>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</si>
  <si>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</si>
  <si>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</si>
  <si>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C231:E231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</si>
  <si>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</si>
  <si>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</si>
  <si>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</si>
  <si>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</si>
  <si>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</si>
  <si>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</si>
  <si>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</si>
  <si>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</si>
  <si>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</si>
  <si>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</si>
  <si>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</si>
  <si>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</si>
  <si>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</si>
  <si>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</si>
  <si>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</si>
  <si>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</si>
  <si>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</si>
  <si>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</si>
  <si>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</si>
  <si>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</si>
  <si>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G240</t>
    </r>
    <r>
      <rPr>
        <sz val="9"/>
        <color rgb="FF595959"/>
        <rFont val="Noto Sans CJK SC"/>
        <family val="2"/>
      </rPr>
      <t xml:space="preserve">（說明欄動態文字（現值取代過時數字））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</si>
  <si>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</si>
  <si>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</si>
  <si>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C241:E241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I-7</t>
    </r>
    <r>
      <rPr>
        <sz val="9"/>
        <color rgb="FF595959"/>
        <rFont val="Noto Sans CJK SC"/>
        <family val="2"/>
      </rPr>
      <t xml:space="preserve">『必須為真』：回本所需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</t>
    </r>
    <r>
      <rPr>
        <sz val="9"/>
        <color rgb="FF595959"/>
        <rFont val="Noto Sans CJK SC"/>
        <family val="2"/>
      </rPr>
      <t xml:space="preserve">計；契約已定恆等式讀法 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，第三種讀法留作對照）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</si>
  <si>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</si>
  <si>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</si>
  <si>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</si>
  <si>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</si>
  <si>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</si>
  <si>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</si>
  <si>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</si>
  <si>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</si>
  <si>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</si>
  <si>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C245:E245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</si>
  <si>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</si>
  <si>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</si>
  <si>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</si>
  <si>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</si>
  <si>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</si>
  <si>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</si>
  <si>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</si>
  <si>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</si>
  <si>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</si>
  <si>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</si>
  <si>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</si>
  <si>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</si>
  <si>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</si>
  <si>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</si>
  <si>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</si>
  <si>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</si>
  <si>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</si>
  <si>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</si>
  <si>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</si>
  <si>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</si>
  <si>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</si>
  <si>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G255</t>
    </r>
    <r>
      <rPr>
        <sz val="9"/>
        <color rgb="FF595959"/>
        <rFont val="Noto Sans CJK SC"/>
        <family val="2"/>
      </rPr>
      <t xml:space="preserve">（缺口恆等式說明動態文字（現值取代過時數字））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</si>
  <si>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</si>
  <si>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</si>
  <si>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</si>
  <si>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</si>
  <si>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</si>
  <si>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</si>
  <si>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</si>
  <si>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</si>
  <si>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</si>
  <si>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</si>
  <si>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</si>
  <si>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</si>
  <si>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</si>
  <si>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</si>
  <si>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</si>
  <si>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</si>
  <si>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</si>
  <si>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</si>
  <si>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</si>
  <si>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</si>
  <si>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</si>
  <si>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</si>
  <si>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</si>
  <si>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C269:F269</t>
    </r>
    <r>
      <rPr>
        <sz val="9"/>
        <color rgb="FF595959"/>
        <rFont val="Noto Sans CJK SC"/>
        <family val="2"/>
      </rPr>
      <t xml:space="preserve">（機隊口徑單價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完整層級組合單價：顯示排除不可達層級對單價的影響）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</si>
  <si>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</si>
  <si>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</si>
  <si>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</si>
  <si>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</si>
  <si>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</si>
  <si>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</si>
  <si>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</si>
  <si>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</si>
  <si>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</si>
  <si>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</si>
  <si>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</si>
  <si>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</si>
  <si>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</si>
  <si>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</si>
  <si>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</si>
  <si>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</si>
  <si>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</si>
  <si>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</si>
  <si>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</si>
  <si>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C282:E282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</si>
  <si>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</si>
  <si>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</si>
  <si>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G284</t>
    </r>
    <r>
      <rPr>
        <sz val="9"/>
        <color rgb="FF595959"/>
        <rFont val="Noto Sans CJK SC"/>
        <family val="2"/>
      </rPr>
      <t xml:space="preserve">（說明動態文字（</t>
    </r>
    <r>
      <rPr>
        <sz val="9"/>
        <color rgb="FF595959"/>
        <rFont val="Arial"/>
        <family val="0"/>
        <charset val="1"/>
      </rPr>
      <t xml:space="preserve">v7.0 </t>
    </r>
    <r>
      <rPr>
        <sz val="9"/>
        <color rgb="FF595959"/>
        <rFont val="Noto Sans CJK SC"/>
        <family val="2"/>
      </rPr>
      <t xml:space="preserve">歷史值標示為歷史，現值隨公式））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</si>
  <si>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</si>
  <si>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</si>
  <si>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L1_MFleet_P25Lo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單價取低端）（倍）｜欄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年度單價低端 </t>
    </r>
    <r>
      <rPr>
        <sz val="9"/>
        <color rgb="FF595959"/>
        <rFont val="Arial"/>
        <family val="0"/>
        <charset val="1"/>
      </rPr>
      <t xml:space="preserve">AL_PriceFleet25_Lo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</si>
  <si>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</si>
  <si>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</si>
  <si>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sz val="9"/>
        <color rgb="FF595959"/>
        <rFont val="Noto Sans CJK SC"/>
        <family val="2"/>
      </rPr>
      <t xml:space="preserve">契約名稱 </t>
    </r>
    <r>
      <rPr>
        <sz val="9"/>
        <color rgb="FF595959"/>
        <rFont val="Arial"/>
        <family val="0"/>
        <charset val="1"/>
      </rPr>
      <t xml:space="preserve">L1_MFleet_P25Hi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m_fleet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單價取高端）（倍）｜欄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基準、</t>
    </r>
    <r>
      <rPr>
        <sz val="9"/>
        <color rgb="FF595959"/>
        <rFont val="Arial"/>
        <family val="0"/>
        <charset val="1"/>
      </rPr>
      <t xml:space="preserve">D token </t>
    </r>
    <r>
      <rPr>
        <sz val="9"/>
        <color rgb="FF595959"/>
        <rFont val="Noto Sans CJK SC"/>
        <family val="2"/>
      </rPr>
      <t xml:space="preserve">取高、</t>
    </r>
    <r>
      <rPr>
        <sz val="9"/>
        <color rgb="FF595959"/>
        <rFont val="Arial"/>
        <family val="0"/>
        <charset val="1"/>
      </rPr>
      <t xml:space="preserve">E token </t>
    </r>
    <r>
      <rPr>
        <sz val="9"/>
        <color rgb="FF595959"/>
        <rFont val="Noto Sans CJK SC"/>
        <family val="2"/>
      </rPr>
      <t xml:space="preserve">取低｜口徑：機隊，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年度單價高端 </t>
    </r>
    <r>
      <rPr>
        <sz val="9"/>
        <color rgb="FF595959"/>
        <rFont val="Arial"/>
        <family val="0"/>
        <charset val="1"/>
      </rPr>
      <t xml:space="preserve">AL_PriceFleet25_Hi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（混合）；顯示用區間，不乘入 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</si>
  <si>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</si>
  <si>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</si>
  <si>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G288</t>
    </r>
    <r>
      <rPr>
        <sz val="9"/>
        <color rgb="FF595959"/>
        <rFont val="Noto Sans CJK SC"/>
        <family val="2"/>
      </rPr>
      <t xml:space="preserve">（說明動態文字（現值取代過時數字））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</si>
  <si>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</si>
  <si>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</si>
  <si>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</si>
  <si>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</si>
  <si>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</si>
  <si>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</si>
  <si>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</si>
  <si>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</si>
  <si>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</si>
  <si>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</si>
  <si>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</si>
  <si>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</si>
  <si>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＝訓練 </t>
    </r>
    <r>
      <rPr>
        <sz val="9"/>
        <color rgb="FF595959"/>
        <rFont val="Arial"/>
        <family val="0"/>
        <charset val="1"/>
      </rPr>
      <t xml:space="preserve">FLOPs ≈ 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（前向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＋ 反向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</si>
  <si>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</si>
  <si>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 ｜物理慣例：</t>
    </r>
    <r>
      <rPr>
        <sz val="9"/>
        <color rgb="FF595959"/>
        <rFont val="Arial"/>
        <family val="0"/>
        <charset val="1"/>
      </rPr>
      <t xml:space="preserve">6ND</t>
    </r>
    <r>
      <rPr>
        <sz val="9"/>
        <color rgb="FF595959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</si>
  <si>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</si>
  <si>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</si>
  <si>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</si>
  <si>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</si>
  <si>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</si>
  <si>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</si>
  <si>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</si>
  <si>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</si>
  <si>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</si>
  <si>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</si>
  <si>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</si>
  <si>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</si>
  <si>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</si>
  <si>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</si>
  <si>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</si>
  <si>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</si>
  <si>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</si>
  <si>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</si>
  <si>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</si>
  <si>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</si>
  <si>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</si>
  <si>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</si>
  <si>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</si>
  <si>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</si>
  <si>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</si>
  <si>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</si>
  <si>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</si>
  <si>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</si>
  <si>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</si>
  <si>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</si>
  <si>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C23:E23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</si>
  <si>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</si>
  <si>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</si>
  <si>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</si>
  <si>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</si>
  <si>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</si>
  <si>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C27:E27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節前緣表的形狀；本列沒有公式讀取，下游 </t>
    </r>
    <r>
      <rPr>
        <sz val="9"/>
        <color rgb="FF595959"/>
        <rFont val="Arial"/>
        <family val="0"/>
        <charset val="1"/>
      </rPr>
      <t xml:space="preserve">IF_FrontRef_* </t>
    </r>
    <r>
      <rPr>
        <sz val="9"/>
        <color rgb="FF595959"/>
        <rFont val="Noto Sans CJK SC"/>
        <family val="2"/>
      </rPr>
      <t xml:space="preserve">實際讀第 </t>
    </r>
    <r>
      <rPr>
        <sz val="9"/>
        <color rgb="FF595959"/>
        <rFont val="Arial"/>
        <family val="0"/>
        <charset val="1"/>
      </rPr>
      <t xml:space="preserve">46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B4_FrontRef</t>
    </r>
    <r>
      <rPr>
        <sz val="9"/>
        <color rgb="FF595959"/>
        <rFont val="Noto Sans CJK SC"/>
        <family val="2"/>
      </rPr>
      <t xml:space="preserve">，前緣混合單價）；</t>
    </r>
    <r>
      <rPr>
        <sz val="9"/>
        <color rgb="FF595959"/>
        <rFont val="Arial"/>
        <family val="0"/>
        <charset val="1"/>
      </rPr>
      <t xml:space="preserve">v14.1 R6 </t>
    </r>
    <r>
      <rPr>
        <sz val="9"/>
        <color rgb="FF595959"/>
        <rFont val="Noto Sans CJK SC"/>
        <family val="2"/>
      </rPr>
      <t xml:space="preserve">更正）</t>
    </r>
  </si>
  <si>
    <t xml:space="preserve">前緣 快取輸入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</si>
  <si>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C28:E28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</si>
  <si>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t xml:space="preserve">前緣 輸出（含思考）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</si>
  <si>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C29:E29</t>
    </r>
    <r>
      <rPr>
        <sz val="9"/>
        <color rgb="FF595959"/>
        <rFont val="Noto Sans CJK SC"/>
        <family val="2"/>
      </rPr>
      <t xml:space="preserve">（前緣分項牌價（新鮮輸入／快取輸入／輸出）：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節前緣表的形狀；下游用 </t>
    </r>
    <r>
      <rPr>
        <sz val="9"/>
        <color rgb="FF595959"/>
        <rFont val="Arial"/>
        <family val="0"/>
        <charset val="1"/>
      </rPr>
      <t xml:space="preserve">IF_FrontRef_*</t>
    </r>
    <r>
      <rPr>
        <sz val="9"/>
        <color rgb="FF595959"/>
        <rFont val="Noto Sans CJK SC"/>
        <family val="2"/>
      </rPr>
      <t xml:space="preserve">（混合））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</si>
  <si>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C30:E30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</si>
  <si>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</si>
  <si>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</si>
  <si>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</si>
  <si>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C32:E32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</si>
  <si>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</si>
  <si>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</si>
  <si>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</si>
  <si>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C34:E34</t>
    </r>
    <r>
      <rPr>
        <sz val="9"/>
        <color rgb="FF595959"/>
        <rFont val="Noto Sans CJK SC"/>
        <family val="2"/>
      </rPr>
      <t xml:space="preserve">（中國廠商合格者最低（模型名、合格家數）：與已標用途的第 </t>
    </r>
    <r>
      <rPr>
        <sz val="9"/>
        <color rgb="FF595959"/>
        <rFont val="Arial"/>
        <family val="0"/>
        <charset val="1"/>
      </rPr>
      <t xml:space="preserve">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列同組對照）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</si>
  <si>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</si>
  <si>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</si>
  <si>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</si>
  <si>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</si>
  <si>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</si>
  <si>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</si>
  <si>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</si>
  <si>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</si>
  <si>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</si>
  <si>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</si>
  <si>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</si>
  <si>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</si>
  <si>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</si>
  <si>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</si>
  <si>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</si>
  <si>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</si>
  <si>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</si>
  <si>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</si>
  <si>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</si>
  <si>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</si>
  <si>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</si>
  <si>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</si>
  <si>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C18:Q18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</si>
  <si>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</si>
  <si>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</si>
  <si>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C24:Q24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</si>
  <si>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</si>
  <si>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</si>
  <si>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</si>
  <si>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C31:Q31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</si>
  <si>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</si>
  <si>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</si>
  <si>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</si>
  <si>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</si>
  <si>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</si>
  <si>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</si>
  <si>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</si>
  <si>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</si>
  <si>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</si>
  <si>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</si>
  <si>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t xml:space="preserve">  研發實驗（不含最終訓練）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</si>
  <si>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節用途配置（最終訓練、研發實驗各占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多少）：研發占總算力的參考讀數）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</si>
  <si>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</si>
  <si>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</si>
  <si>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</si>
  <si>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</si>
  <si>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</si>
  <si>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</si>
  <si>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</si>
  <si>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</si>
  <si>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</si>
  <si>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</si>
  <si>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</si>
  <si>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</si>
  <si>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</si>
  <si>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</si>
  <si>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</si>
  <si>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</si>
  <si>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</si>
  <si>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</si>
  <si>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</si>
  <si>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</si>
  <si>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</si>
  <si>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）皆有數才合計，不外露（</t>
    </r>
    <r>
      <rPr>
        <sz val="9"/>
        <color rgb="FF595959"/>
        <rFont val="Arial"/>
        <family val="0"/>
        <charset val="1"/>
      </rPr>
      <t xml:space="preserve">4-0 H99 </t>
    </r>
    <r>
      <rPr>
        <sz val="9"/>
        <color rgb="FF595959"/>
        <rFont val="Noto Sans CJK SC"/>
        <family val="2"/>
      </rPr>
      <t xml:space="preserve">判為層級數）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</si>
  <si>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</si>
  <si>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</si>
  <si>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</si>
  <si>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</si>
  <si>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</si>
  <si>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</si>
  <si>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</si>
  <si>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</si>
  <si>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</si>
  <si>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（排除層級（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不可達者）的文字讀數：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節可達旗標的人讀摘要）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</si>
  <si>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</si>
  <si>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</si>
  <si>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</si>
  <si>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</si>
  <si>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</si>
  <si>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</si>
  <si>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</si>
  <si>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</si>
  <si>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</si>
  <si>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</si>
  <si>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</si>
  <si>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</si>
  <si>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</si>
  <si>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</si>
  <si>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</si>
  <si>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</si>
  <si>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</si>
  <si>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</si>
  <si>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</si>
  <si>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</si>
  <si>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</si>
  <si>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</si>
  <si>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</si>
  <si>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</si>
  <si>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C35:Q35</t>
    </r>
    <r>
      <rPr>
        <sz val="9"/>
        <color rgb="FF595959"/>
        <rFont val="Noto Sans CJK SC"/>
        <family val="2"/>
      </rPr>
      <t xml:space="preserve">（由上而下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自下而上攤提：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兩種攤提口徑的比值（選預設口徑 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的依據））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</si>
  <si>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（回本所需溢價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觀測層級價差：層級版回本讀數（</t>
    </r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＝觀測價差足以回本））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</si>
  <si>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</si>
  <si>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</si>
  <si>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</si>
  <si>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</si>
  <si>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</si>
  <si>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</si>
  <si>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</si>
  <si>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</si>
  <si>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</si>
  <si>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</si>
  <si>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</si>
  <si>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</si>
  <si>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</si>
  <si>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</si>
  <si>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</si>
  <si>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</si>
  <si>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</si>
  <si>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</si>
  <si>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</si>
  <si>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</si>
  <si>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</si>
  <si>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C13:Q13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</si>
  <si>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</si>
  <si>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C14:Q14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</si>
  <si>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</si>
  <si>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C15:Q15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</si>
  <si>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</si>
  <si>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C16:Q16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</si>
  <si>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</si>
  <si>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</si>
  <si>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</si>
  <si>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</si>
  <si>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</si>
  <si>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</si>
  <si>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</si>
  <si>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</si>
  <si>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C22:Q22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</si>
  <si>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</si>
  <si>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</si>
  <si>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</si>
  <si>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</si>
  <si>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C25:Q25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</si>
  <si>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</si>
  <si>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</si>
  <si>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</si>
  <si>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</si>
  <si>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</si>
  <si>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</si>
  <si>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</si>
  <si>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C37:Q37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</si>
  <si>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</si>
  <si>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</si>
  <si>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C40:Q40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</si>
  <si>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C41:Q41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</si>
  <si>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C43:Q43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</si>
  <si>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</si>
  <si>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</si>
  <si>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</si>
  <si>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C50:Q50</t>
    </r>
    <r>
      <rPr>
        <sz val="9"/>
        <color rgb="FF595959"/>
        <rFont val="Noto Sans CJK SC"/>
        <family val="2"/>
      </rPr>
      <t xml:space="preserve">（年持有成本複本（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Noto Sans CJK SC"/>
        <family val="2"/>
      </rPr>
      <t xml:space="preserve">）：同表『營收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持有成本』比值列的分母）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</si>
  <si>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C51:Q51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</si>
  <si>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C52:Q52</t>
    </r>
    <r>
      <rPr>
        <sz val="9"/>
        <color rgb="FF595959"/>
        <rFont val="Noto Sans CJK SC"/>
        <family val="2"/>
      </rPr>
      <t xml:space="preserve">（理論營收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持有成本：回本讀數，與已標用途的第 </t>
    </r>
    <r>
      <rPr>
        <sz val="9"/>
        <color rgb="FF595959"/>
        <rFont val="Arial"/>
        <family val="0"/>
        <charset val="1"/>
      </rPr>
      <t xml:space="preserve">33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列同族）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</si>
  <si>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</si>
  <si>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C55:Q55</t>
    </r>
    <r>
      <rPr>
        <sz val="9"/>
        <color rgb="FF595959"/>
        <rFont val="Noto Sans CJK SC"/>
        <family val="2"/>
      </rPr>
      <t xml:space="preserve">（全成本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（服務＋由上而下攤提）：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三口徑並列中非預設的一支）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</si>
  <si>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</si>
  <si>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</si>
  <si>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C58:Q58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</si>
  <si>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C59:Q59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</si>
  <si>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C61:Q61</t>
    </r>
    <r>
      <rPr>
        <sz val="9"/>
        <color rgb="FF595959"/>
        <rFont val="Noto Sans CJK SC"/>
        <family val="2"/>
      </rPr>
      <t xml:space="preserve">（理論毛利率非預設口徑（自下而上、由上而下、前緣單價）：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並列比較；預設口徑為 </t>
    </r>
    <r>
      <rPr>
        <sz val="9"/>
        <color rgb="FF595959"/>
        <rFont val="Arial"/>
        <family val="0"/>
        <charset val="1"/>
      </rPr>
      <t xml:space="preserve">IF_GMDefault_*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</si>
  <si>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</si>
  <si>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</si>
  <si>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</si>
  <si>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</si>
  <si>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</si>
  <si>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</si>
  <si>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</si>
  <si>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</si>
  <si>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</si>
  <si>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</si>
  <si>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C72:Q72</t>
    </r>
    <r>
      <rPr>
        <sz val="9"/>
        <color rgb="FF595959"/>
        <rFont val="Noto Sans CJK SC"/>
        <family val="2"/>
      </rPr>
      <t xml:space="preserve">（整個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年持有成本複本：第 </t>
    </r>
    <r>
      <rPr>
        <sz val="9"/>
        <color rgb="FF595959"/>
        <rFont val="Arial"/>
        <family val="0"/>
        <charset val="1"/>
      </rPr>
      <t xml:space="preserve">73 </t>
    </r>
    <r>
      <rPr>
        <sz val="9"/>
        <color rgb="FF595959"/>
        <rFont val="Noto Sans CJK SC"/>
        <family val="2"/>
      </rPr>
      <t xml:space="preserve">列的分母）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</si>
  <si>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</si>
  <si>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</si>
  <si>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C74:Q74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</si>
  <si>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</si>
  <si>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</si>
  <si>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</si>
  <si>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</si>
  <si>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</si>
  <si>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C80:G80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</si>
  <si>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</si>
  <si>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</si>
  <si>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C83:G83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</si>
  <si>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</si>
  <si>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C85:G85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</si>
  <si>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C86:G86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</si>
  <si>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</si>
  <si>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</si>
  <si>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</si>
  <si>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</si>
  <si>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</si>
  <si>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</si>
  <si>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</si>
  <si>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</si>
  <si>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</si>
  <si>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</si>
  <si>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</si>
  <si>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</si>
  <si>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</si>
  <si>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</si>
  <si>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</si>
  <si>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</si>
  <si>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</si>
  <si>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</si>
  <si>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</si>
  <si>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</si>
  <si>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</si>
  <si>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</si>
  <si>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</si>
  <si>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</si>
  <si>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</si>
  <si>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</si>
  <si>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</si>
  <si>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</si>
  <si>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</si>
  <si>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</si>
  <si>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</si>
  <si>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</si>
  <si>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</si>
  <si>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</si>
  <si>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</si>
  <si>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</si>
  <si>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</si>
  <si>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</si>
  <si>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</si>
  <si>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</si>
  <si>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</si>
  <si>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</si>
  <si>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</si>
  <si>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</si>
  <si>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</si>
  <si>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</si>
  <si>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</si>
  <si>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</si>
  <si>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</si>
  <si>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</si>
  <si>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</si>
  <si>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</si>
  <si>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</si>
  <si>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</si>
  <si>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</si>
  <si>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</si>
  <si>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</si>
  <si>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</si>
  <si>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</si>
  <si>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</si>
  <si>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</si>
  <si>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</si>
  <si>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</si>
  <si>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</si>
  <si>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</si>
  <si>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</si>
  <si>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</si>
  <si>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</si>
  <si>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</si>
  <si>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</si>
  <si>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</si>
  <si>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</si>
  <si>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</si>
  <si>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</si>
  <si>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</si>
  <si>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</si>
  <si>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</si>
  <si>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</si>
  <si>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</si>
  <si>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</si>
  <si>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</si>
  <si>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</si>
  <si>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</si>
  <si>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</si>
  <si>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</si>
  <si>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</si>
  <si>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sz val="9"/>
        <color rgb="FF595959"/>
        <rFont val="Noto Sans CJK SC"/>
        <family val="2"/>
      </rPr>
      <t xml:space="preserve">已清空（</t>
    </r>
    <r>
      <rPr>
        <sz val="9"/>
        <color rgb="FF595959"/>
        <rFont val="Arial"/>
        <family val="0"/>
        <charset val="1"/>
      </rPr>
      <t xml:space="preserve">v14.1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R3</t>
    </r>
    <r>
      <rPr>
        <sz val="9"/>
        <color rgb="FF595959"/>
        <rFont val="Noto Sans CJK SC"/>
        <family val="2"/>
      </rPr>
      <t xml:space="preserve">）：供應商專屬旗標（輸入）無任何公式讀取（對應的第 </t>
    </r>
    <r>
      <rPr>
        <sz val="9"/>
        <color rgb="FF595959"/>
        <rFont val="Arial"/>
        <family val="0"/>
        <charset val="1"/>
      </rPr>
      <t xml:space="preserve">44 </t>
    </r>
    <r>
      <rPr>
        <sz val="9"/>
        <color rgb="FF595959"/>
        <rFont val="Noto Sans CJK SC"/>
        <family val="2"/>
      </rPr>
      <t xml:space="preserve">列已於 </t>
    </r>
    <r>
      <rPr>
        <sz val="9"/>
        <color rgb="FF595959"/>
        <rFont val="Arial"/>
        <family val="0"/>
        <charset val="1"/>
      </rPr>
      <t xml:space="preserve">v14.0 </t>
    </r>
    <r>
      <rPr>
        <sz val="9"/>
        <color rgb="FF595959"/>
        <rFont val="Noto Sans CJK SC"/>
        <family val="2"/>
      </rPr>
      <t xml:space="preserve">刪除）；原值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，原『來源與標記』欄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、說明欄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原文保留；見 </t>
    </r>
    <r>
      <rPr>
        <sz val="9"/>
        <color rgb="FF595959"/>
        <rFont val="Arial"/>
        <family val="0"/>
        <charset val="1"/>
      </rPr>
      <t xml:space="preserve">Decisions SL44-3</t>
    </r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</si>
  <si>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</si>
  <si>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</si>
  <si>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</si>
  <si>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</si>
  <si>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</si>
  <si>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</si>
  <si>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</si>
  <si>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</si>
  <si>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</si>
  <si>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</si>
  <si>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</si>
  <si>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C52:G52</t>
    </r>
    <r>
      <rPr>
        <sz val="9"/>
        <color rgb="FF595959"/>
        <rFont val="Noto Sans CJK SC"/>
        <family val="2"/>
      </rPr>
      <t xml:space="preserve">（任務名稱欄頭（＝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列）：讓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節成功率表可讀）</t>
    </r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</si>
  <si>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</si>
  <si>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</si>
  <si>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</si>
  <si>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</si>
  <si>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</si>
  <si>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</si>
  <si>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</si>
  <si>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</si>
  <si>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</si>
  <si>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</si>
  <si>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</si>
  <si>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</si>
  <si>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</si>
  <si>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</si>
  <si>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</si>
  <si>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</si>
  <si>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</si>
  <si>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</si>
  <si>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</si>
  <si>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</si>
  <si>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</si>
  <si>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</si>
  <si>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</si>
  <si>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</si>
  <si>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</si>
  <si>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</si>
  <si>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</si>
  <si>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</si>
  <si>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</si>
  <si>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</si>
  <si>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</si>
  <si>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</si>
  <si>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</si>
  <si>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</si>
  <si>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</si>
  <si>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</si>
  <si>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節證據點（非中立方或非同條件）：只作對照；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登錄）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</si>
  <si>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</si>
  <si>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</si>
  <si>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</si>
  <si>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</si>
  <si>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</si>
  <si>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</si>
  <si>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</si>
  <si>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</si>
  <si>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logit(0.8) − logit(0.5)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成功率的 </t>
    </r>
    <r>
      <rPr>
        <sz val="11"/>
        <color theme="1"/>
        <rFont val="Calibri"/>
        <family val="2"/>
        <charset val="1"/>
      </rPr>
      <t xml:space="preserve">logit </t>
    </r>
    <r>
      <rPr>
        <sz val="11"/>
        <color theme="1"/>
        <rFont val="Noto Sans CJK SC"/>
        <family val="2"/>
      </rPr>
      <t xml:space="preserve">差），由時間範圍比值推隱含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，不外露</t>
    </r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</si>
  <si>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</si>
  <si>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數學慣例：</t>
    </r>
    <r>
      <rPr>
        <sz val="11"/>
        <color theme="1"/>
        <rFont val="Calibri"/>
        <family val="2"/>
        <charset val="1"/>
      </rPr>
      <t xml:space="preserve">LN(4)</t>
    </r>
    <r>
      <rPr>
        <sz val="11"/>
        <color theme="1"/>
        <rFont val="Noto Sans CJK SC"/>
        <family val="2"/>
      </rPr>
      <t xml:space="preserve">（同上），不外露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</si>
  <si>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</si>
  <si>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</si>
  <si>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</si>
  <si>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</si>
  <si>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</si>
  <si>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</si>
  <si>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</si>
  <si>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</si>
  <si>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</si>
  <si>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</si>
  <si>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</si>
  <si>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</si>
  <si>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</si>
  <si>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</si>
  <si>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</si>
  <si>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</si>
  <si>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</si>
  <si>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</si>
  <si>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</si>
  <si>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</si>
  <si>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</si>
  <si>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</si>
  <si>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</si>
  <si>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</si>
  <si>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</si>
  <si>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</si>
  <si>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</si>
  <si>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</si>
  <si>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</si>
  <si>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</si>
  <si>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</si>
  <si>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</si>
  <si>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</si>
  <si>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</si>
  <si>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</si>
  <si>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</si>
  <si>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t xml:space="preserve">$</t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</si>
  <si>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</si>
  <si>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</si>
  <si>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</si>
  <si>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</si>
  <si>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</si>
  <si>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</si>
  <si>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</si>
  <si>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</si>
  <si>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</si>
  <si>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C76:G76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</si>
  <si>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</si>
  <si>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</si>
  <si>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C78:G78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</si>
  <si>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</si>
  <si>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C79:G79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</si>
  <si>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</si>
  <si>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</si>
  <si>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C81:G81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</si>
  <si>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</si>
  <si>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C82:G82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</si>
  <si>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</si>
  <si>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</si>
  <si>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C84:G84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</si>
  <si>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</si>
  <si>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</si>
  <si>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</si>
  <si>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</si>
  <si>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</si>
  <si>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</si>
  <si>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</si>
  <si>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</si>
  <si>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</si>
  <si>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</si>
  <si>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</si>
  <si>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C96:G96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</si>
  <si>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</si>
  <si>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</si>
  <si>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C98:G98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</si>
  <si>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</si>
  <si>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C99:G99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</si>
  <si>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</si>
  <si>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</si>
  <si>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C101:G101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</si>
  <si>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</si>
  <si>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C102:G102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</si>
  <si>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</si>
  <si>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</si>
  <si>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C104:G104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</si>
  <si>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C105:G105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</si>
  <si>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C106:G106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</si>
  <si>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C107:G107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</si>
  <si>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C108:G108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</si>
  <si>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C109:G109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</si>
  <si>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C110:G110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</si>
  <si>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C111:G111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</si>
  <si>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C112:G112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</si>
  <si>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C113:G113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</si>
  <si>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</si>
  <si>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C116:G116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</si>
  <si>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</si>
  <si>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C118:G118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</si>
  <si>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C119:G119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</si>
  <si>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</si>
  <si>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C121:G121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</si>
  <si>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C122:G122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</si>
  <si>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</si>
  <si>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C124:G124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</si>
  <si>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C125:G125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</si>
  <si>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</si>
  <si>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C127:G127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</si>
  <si>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C128:G128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</si>
  <si>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</si>
  <si>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C130:G130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</si>
  <si>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C131:G131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</si>
  <si>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</si>
  <si>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C133:G133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</si>
  <si>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</si>
  <si>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</si>
  <si>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</si>
  <si>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</si>
  <si>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</si>
  <si>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C139:G139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</si>
  <si>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</si>
  <si>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C140:G140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</si>
  <si>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</si>
  <si>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C141:G141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</si>
  <si>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C142:G142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</si>
  <si>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C143:G143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</si>
  <si>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sz val="9"/>
        <color rgb="FF595959"/>
        <rFont val="Noto Sans CJK SC"/>
        <family val="2"/>
      </rPr>
      <t xml:space="preserve">已刪除（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4-3B Q1</t>
    </r>
    <r>
      <rPr>
        <sz val="9"/>
        <color rgb="FF595959"/>
        <rFont val="Noto Sans CJK SC"/>
        <family val="2"/>
      </rPr>
      <t xml:space="preserve">）：功能未接線，已移除，需要時再接線；原範圍 </t>
    </r>
    <r>
      <rPr>
        <sz val="9"/>
        <color rgb="FF595959"/>
        <rFont val="Arial"/>
        <family val="0"/>
        <charset val="1"/>
      </rPr>
      <t xml:space="preserve">C144:G144</t>
    </r>
    <r>
      <rPr>
        <sz val="9"/>
        <color rgb="FF595959"/>
        <rFont val="Noto Sans CJK SC"/>
        <family val="2"/>
      </rPr>
      <t xml:space="preserve">；見 </t>
    </r>
    <r>
      <rPr>
        <sz val="9"/>
        <color rgb="FF595959"/>
        <rFont val="Arial"/>
        <family val="0"/>
        <charset val="1"/>
      </rPr>
      <t xml:space="preserve">Decisions SL43-1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</si>
  <si>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</si>
  <si>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</si>
  <si>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</si>
  <si>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</si>
  <si>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</si>
  <si>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</si>
  <si>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</si>
  <si>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</si>
  <si>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</si>
  <si>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</si>
  <si>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</si>
  <si>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</si>
  <si>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</si>
  <si>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C154:G154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</si>
  <si>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</si>
  <si>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</si>
  <si>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</si>
  <si>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C156:G156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孿生區塊（與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區塊同構）：第 </t>
    </r>
    <r>
      <rPr>
        <sz val="9"/>
        <color rgb="FF595959"/>
        <rFont val="Arial"/>
        <family val="0"/>
        <charset val="1"/>
      </rPr>
      <t xml:space="preserve">149–150 </t>
    </r>
    <r>
      <rPr>
        <sz val="9"/>
        <color rgb="FF595959"/>
        <rFont val="Noto Sans CJK SC"/>
        <family val="2"/>
      </rPr>
      <t xml:space="preserve">列讀取；下游取 </t>
    </r>
    <r>
      <rPr>
        <sz val="9"/>
        <color rgb="FF595959"/>
        <rFont val="Arial"/>
        <family val="0"/>
        <charset val="1"/>
      </rPr>
      <t xml:space="preserve">IF_CostSuccGB_*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</si>
  <si>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</si>
  <si>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</si>
  <si>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</si>
  <si>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</si>
  <si>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</si>
  <si>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</si>
  <si>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</si>
  <si>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</si>
  <si>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</si>
  <si>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</si>
  <si>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</si>
  <si>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</si>
  <si>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</si>
  <si>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</si>
  <si>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</si>
  <si>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</si>
  <si>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</si>
  <si>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</si>
  <si>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</si>
  <si>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</si>
  <si>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</si>
  <si>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</si>
  <si>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</si>
  <si>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</si>
  <si>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</si>
  <si>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</si>
  <si>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</si>
  <si>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</si>
  <si>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</si>
  <si>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</si>
  <si>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</si>
  <si>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</si>
  <si>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</si>
  <si>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</si>
  <si>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</si>
  <si>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</si>
  <si>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</si>
  <si>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</si>
  <si>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</si>
  <si>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</si>
  <si>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</si>
  <si>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</si>
  <si>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</si>
  <si>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</si>
  <si>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</si>
  <si>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</si>
  <si>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</si>
  <si>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</si>
  <si>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</si>
  <si>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</si>
  <si>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</si>
  <si>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</si>
  <si>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</si>
  <si>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</si>
  <si>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</si>
  <si>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</si>
  <si>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</si>
  <si>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</si>
  <si>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</si>
  <si>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</si>
  <si>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</si>
  <si>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</si>
  <si>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</si>
  <si>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</si>
  <si>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</si>
  <si>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</si>
  <si>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</si>
  <si>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</si>
  <si>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</si>
  <si>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</si>
  <si>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</si>
  <si>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</si>
  <si>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</si>
  <si>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</si>
  <si>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</si>
  <si>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 ｜區間端點（供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</si>
  <si>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</si>
  <si>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</si>
  <si>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</si>
  <si>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</si>
  <si>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</si>
  <si>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</si>
  <si>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</si>
  <si>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</si>
  <si>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</si>
  <si>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</si>
  <si>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</si>
  <si>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</si>
  <si>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</si>
  <si>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</si>
  <si>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</si>
  <si>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</si>
  <si>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</si>
  <si>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</si>
  <si>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</si>
  <si>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</si>
  <si>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</si>
  <si>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</si>
  <si>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</si>
  <si>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</si>
  <si>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區間端點（供 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與情境）：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欄（研發世代組合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</si>
  <si>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</si>
  <si>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</si>
  <si>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</si>
  <si>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</si>
  <si>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</si>
  <si>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</si>
  <si>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</si>
  <si>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</si>
  <si>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</si>
  <si>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</si>
  <si>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</si>
  <si>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</si>
  <si>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</si>
  <si>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</si>
  <si>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</si>
  <si>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</si>
  <si>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</si>
  <si>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</si>
  <si>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</si>
  <si>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</si>
  <si>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</si>
  <si>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</si>
  <si>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</si>
  <si>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</si>
  <si>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欄依「世代 </t>
    </r>
    <r>
      <rPr>
        <sz val="11"/>
        <color theme="1"/>
        <rFont val="Calibri"/>
        <family val="2"/>
        <charset val="1"/>
      </rPr>
      <t xml:space="preserve">× 3 </t>
    </r>
    <r>
      <rPr>
        <sz val="11"/>
        <color theme="1"/>
        <rFont val="Noto Sans CJK SC"/>
        <family val="2"/>
      </rPr>
      <t xml:space="preserve">層級」排列，取世代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的第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層級（基準成本欄）；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＝層級數，不外露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</si>
  <si>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</si>
  <si>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</si>
  <si>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</si>
  <si>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</si>
  <si>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</si>
  <si>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</si>
  <si>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</si>
  <si>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</si>
  <si>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</si>
  <si>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</si>
  <si>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</si>
  <si>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AL_UnservedPaid </t>
    </r>
    <r>
      <rPr>
        <sz val="9"/>
        <color rgb="FF595959"/>
        <rFont val="Noto Sans CJK SC"/>
        <family val="2"/>
      </rPr>
      <t xml:space="preserve">無公式讀取</t>
    </r>
  </si>
  <si>
    <t xml:space="preserve">未服務需求占比（免費）＝被排除層級的免費組合權重合計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</si>
  <si>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AL_UnservedFree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</si>
  <si>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</si>
  <si>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</si>
  <si>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</si>
  <si>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</si>
  <si>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</si>
  <si>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</si>
  <si>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</si>
  <si>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</si>
  <si>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</si>
  <si>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</si>
  <si>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</si>
  <si>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</si>
  <si>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AL_UnservedGen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</si>
  <si>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</si>
  <si>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</si>
  <si>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</si>
  <si>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</si>
  <si>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</si>
  <si>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</si>
  <si>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AL_ServeGen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</si>
  <si>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</si>
  <si>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</si>
  <si>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</si>
  <si>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</si>
  <si>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r>
      <rPr>
        <sz val="11"/>
        <color theme="1"/>
        <rFont val="Noto Sans CJK SC"/>
        <family val="2"/>
      </rPr>
      <t xml:space="preserve">索引慣例：</t>
    </r>
    <r>
      <rPr>
        <sz val="11"/>
        <color theme="1"/>
        <rFont val="Calibri"/>
        <family val="2"/>
        <charset val="1"/>
      </rPr>
      <t xml:space="preserve">3*(g−1)+2</t>
    </r>
    <r>
      <rPr>
        <sz val="11"/>
        <color theme="1"/>
        <rFont val="Noto Sans CJK SC"/>
        <family val="2"/>
      </rPr>
      <t xml:space="preserve">（同第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列），不外露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</si>
  <si>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</si>
  <si>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</si>
  <si>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</si>
  <si>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）皆有數才合計，不外露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</si>
  <si>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</si>
  <si>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</si>
  <si>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列只被第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列讀取，第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</si>
  <si>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</si>
  <si>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9"/>
        <color rgb="FF595959"/>
        <rFont val="Noto Sans CJK SC"/>
        <family val="2"/>
      </rPr>
      <t xml:space="preserve">顯示用：只被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142 </t>
    </r>
    <r>
      <rPr>
        <sz val="9"/>
        <color rgb="FF595959"/>
        <rFont val="Noto Sans CJK SC"/>
        <family val="2"/>
      </rPr>
      <t xml:space="preserve">列（單一訓練世代對照）讀取；第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列無人讀取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</si>
  <si>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</si>
  <si>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 ｜結構慣例：</t>
    </r>
    <r>
      <rPr>
        <sz val="9"/>
        <color rgb="FF595959"/>
        <rFont val="Arial"/>
        <family val="0"/>
        <charset val="1"/>
      </rPr>
      <t xml:space="preserve">COUNT(…)=3</t>
    </r>
    <r>
      <rPr>
        <sz val="9"/>
        <color rgb="FF595959"/>
        <rFont val="Noto Sans CJK SC"/>
        <family val="2"/>
      </rPr>
      <t xml:space="preserve">＝三層級皆有數才合計，不外露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</si>
  <si>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</si>
  <si>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</si>
  <si>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AL_RDGWg </t>
    </r>
    <r>
      <rPr>
        <sz val="9"/>
        <color rgb="FF595959"/>
        <rFont val="Noto Sans CJK SC"/>
        <family val="2"/>
      </rPr>
      <t xml:space="preserve">只被第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列讀取，後兩者的具名範圍 </t>
    </r>
    <r>
      <rPr>
        <sz val="9"/>
        <color rgb="FF595959"/>
        <rFont val="Arial"/>
        <family val="0"/>
        <charset val="1"/>
      </rPr>
      <t xml:space="preserve">AL_Q1g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</si>
  <si>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</si>
  <si>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</si>
  <si>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</si>
  <si>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</si>
  <si>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</si>
  <si>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</si>
  <si>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</si>
  <si>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</si>
  <si>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</si>
  <si>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</si>
  <si>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AL_Q2g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</si>
  <si>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</si>
  <si>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</si>
  <si>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</si>
  <si>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</si>
  <si>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</si>
  <si>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</si>
  <si>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</si>
  <si>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</si>
  <si>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</si>
  <si>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</si>
  <si>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AL_J8Gap </t>
    </r>
    <r>
      <rPr>
        <sz val="9"/>
        <color rgb="FF595959"/>
        <rFont val="Noto Sans CJK SC"/>
        <family val="2"/>
      </rPr>
      <t xml:space="preserve">無公式讀取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</si>
  <si>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</si>
  <si>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</si>
  <si>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</si>
  <si>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</si>
  <si>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</si>
  <si>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</si>
  <si>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</si>
  <si>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</si>
  <si>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</si>
  <si>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</si>
  <si>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</si>
  <si>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</si>
  <si>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</si>
  <si>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</si>
  <si>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</si>
  <si>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</si>
  <si>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</si>
  <si>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</si>
  <si>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</si>
  <si>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</si>
  <si>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</si>
  <si>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</si>
  <si>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</si>
  <si>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</si>
  <si>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</si>
  <si>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</si>
  <si>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</si>
  <si>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</si>
  <si>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</si>
  <si>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</si>
  <si>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</si>
  <si>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</si>
  <si>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</si>
  <si>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</si>
  <si>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</si>
  <si>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</si>
  <si>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</si>
  <si>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</si>
  <si>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</si>
  <si>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</si>
  <si>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</si>
  <si>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</si>
  <si>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</si>
  <si>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</si>
  <si>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</si>
  <si>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</si>
  <si>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</si>
  <si>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</si>
  <si>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</si>
  <si>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</si>
  <si>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</si>
  <si>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</si>
  <si>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</si>
  <si>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</si>
  <si>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</si>
  <si>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</si>
  <si>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</si>
  <si>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</si>
  <si>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</si>
  <si>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</si>
  <si>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</si>
  <si>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</si>
  <si>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</si>
  <si>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</si>
  <si>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</si>
  <si>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</si>
  <si>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</si>
  <si>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</si>
  <si>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</si>
  <si>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</si>
  <si>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</si>
  <si>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</si>
  <si>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</si>
  <si>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</si>
  <si>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</si>
  <si>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</si>
  <si>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</si>
  <si>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</si>
  <si>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</si>
  <si>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</si>
  <si>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</si>
  <si>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</si>
  <si>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</si>
  <si>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</si>
  <si>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</si>
  <si>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</si>
  <si>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</si>
  <si>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</si>
  <si>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</si>
  <si>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</si>
  <si>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</si>
  <si>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</si>
  <si>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</si>
  <si>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</si>
  <si>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</si>
  <si>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</si>
  <si>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</si>
  <si>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</si>
  <si>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</si>
  <si>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</si>
  <si>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</si>
  <si>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</si>
  <si>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</si>
  <si>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</si>
  <si>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</si>
  <si>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</si>
  <si>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</si>
  <si>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</si>
  <si>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</si>
  <si>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</si>
  <si>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</si>
  <si>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</si>
  <si>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</si>
  <si>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</si>
  <si>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</si>
  <si>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</si>
  <si>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</si>
  <si>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</si>
  <si>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</si>
  <si>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</si>
  <si>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</si>
  <si>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</si>
  <si>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</si>
  <si>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</si>
  <si>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</si>
  <si>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</si>
  <si>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AL_RDShareExcl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</si>
  <si>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</si>
  <si>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備用（無公式讀取）：</t>
    </r>
    <r>
      <rPr>
        <sz val="9"/>
        <color rgb="FF595959"/>
        <rFont val="Arial"/>
        <family val="0"/>
        <charset val="1"/>
      </rPr>
      <t xml:space="preserve">C:E </t>
    </r>
    <r>
      <rPr>
        <sz val="9"/>
        <color rgb="FF595959"/>
        <rFont val="Noto Sans CJK SC"/>
        <family val="2"/>
      </rPr>
      <t xml:space="preserve">欄（層級索引常數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，無公式讀取）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</si>
  <si>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</si>
  <si>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</si>
  <si>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</si>
  <si>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</si>
  <si>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</si>
  <si>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</si>
  <si>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</si>
  <si>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</si>
  <si>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</si>
  <si>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</si>
  <si>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</si>
  <si>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</si>
  <si>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</si>
  <si>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</si>
  <si>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</si>
  <si>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</si>
  <si>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</si>
  <si>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</si>
  <si>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</si>
  <si>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</si>
  <si>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</si>
  <si>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</si>
  <si>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</si>
  <si>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</si>
  <si>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</si>
  <si>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</si>
  <si>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</si>
  <si>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</si>
  <si>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</si>
  <si>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</si>
  <si>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</si>
  <si>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</si>
  <si>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AL_Q1_Tok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</si>
  <si>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</si>
  <si>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顯示用：具名範圍 </t>
    </r>
    <r>
      <rPr>
        <sz val="9"/>
        <color rgb="FF595959"/>
        <rFont val="Arial"/>
        <family val="0"/>
        <charset val="1"/>
      </rPr>
      <t xml:space="preserve">AL_Q2_Tok </t>
    </r>
    <r>
      <rPr>
        <sz val="9"/>
        <color rgb="FF595959"/>
        <rFont val="Noto Sans CJK SC"/>
        <family val="2"/>
      </rPr>
      <t xml:space="preserve">無公式讀取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</si>
  <si>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</si>
  <si>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</si>
  <si>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</si>
  <si>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</si>
  <si>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0"/>
        <rFont val="Arial"/>
        <family val="0"/>
        <charset val="1"/>
      </rPr>
      <t xml:space="preserve">N. </t>
    </r>
    <r>
      <rPr>
        <b val="true"/>
        <sz val="10"/>
        <rFont val="Noto Sans CJK SC"/>
        <family val="2"/>
      </rPr>
      <t xml:space="preserve">區間（情境）：研發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）對『批次口徑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倍數』與 </t>
    </r>
    <r>
      <rPr>
        <b val="true"/>
        <sz val="10"/>
        <rFont val="Arial"/>
        <family val="0"/>
        <charset val="1"/>
      </rPr>
      <t xml:space="preserve">C68 </t>
    </r>
    <r>
      <rPr>
        <b val="true"/>
        <sz val="10"/>
        <rFont val="Noto Sans CJK SC"/>
        <family val="2"/>
      </rPr>
      <t xml:space="preserve">的區間（</t>
    </r>
    <r>
      <rPr>
        <b val="true"/>
        <sz val="10"/>
        <rFont val="Arial"/>
        <family val="0"/>
        <charset val="1"/>
      </rPr>
      <t xml:space="preserve">v12.0 H5</t>
    </r>
    <r>
      <rPr>
        <b val="true"/>
        <sz val="10"/>
        <rFont val="Noto Sans CJK SC"/>
        <family val="2"/>
      </rPr>
      <t xml:space="preserve">）。第一列為即時值（公式）；其餘列為情境值＝建置時以 </t>
    </r>
    <r>
      <rPr>
        <b val="true"/>
        <sz val="10"/>
        <rFont val="Arial"/>
        <family val="0"/>
        <charset val="1"/>
      </rPr>
      <t xml:space="preserve">LibreOffice </t>
    </r>
    <r>
      <rPr>
        <b val="true"/>
        <sz val="10"/>
        <rFont val="Noto Sans CJK SC"/>
        <family val="2"/>
      </rPr>
      <t xml:space="preserve">重算寫入的常數（不是公式，改輸入後不會自動更新，由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以情境重算比對守護）。下游應把 </t>
    </r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IF_AllocQ1 </t>
    </r>
    <r>
      <rPr>
        <b val="true"/>
        <sz val="10"/>
        <rFont val="Noto Sans CJK SC"/>
        <family val="2"/>
      </rPr>
      <t xml:space="preserve">視為區間，不是點值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</si>
  <si>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CAL_BatchEtaD[2]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</si>
  <si>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CAL_BatchEtaD[1]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</si>
  <si>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C68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每層延遲倍數）</t>
    </r>
  </si>
  <si>
    <r>
      <rPr>
        <b val="true"/>
        <sz val="10"/>
        <rFont val="Arial"/>
        <family val="0"/>
        <charset val="1"/>
      </rPr>
      <t xml:space="preserve">IF_AllocRDGW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GW·</t>
    </r>
    <r>
      <rPr>
        <b val="true"/>
        <sz val="10"/>
        <rFont val="Noto Sans CJK SC"/>
        <family val="2"/>
      </rPr>
      <t xml:space="preserve">年）</t>
    </r>
  </si>
  <si>
    <r>
      <rPr>
        <b val="true"/>
        <sz val="10"/>
        <rFont val="Arial"/>
        <family val="0"/>
        <charset val="1"/>
      </rPr>
      <t xml:space="preserve">IF_AllocQ1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</si>
  <si>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基準（即時值；公式）</t>
  </si>
  <si>
    <t xml:space="preserve">顯示用：區間表基準列（即時值；與下方情境值並列）</t>
  </si>
  <si>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</si>
  <si>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</si>
  <si>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</t>
    </r>
  </si>
  <si>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</si>
  <si>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</t>
    </r>
  </si>
  <si>
    <r>
      <rPr>
        <b val="true"/>
        <sz val="10"/>
        <rFont val="Arial"/>
        <family val="0"/>
        <charset val="1"/>
      </rPr>
      <t xml:space="preserve">O. </t>
    </r>
    <r>
      <rPr>
        <b val="true"/>
        <sz val="10"/>
        <rFont val="Noto Sans CJK SC"/>
        <family val="2"/>
      </rPr>
      <t xml:space="preserve">批次口徑倍數區間端點（</t>
    </r>
    <r>
      <rPr>
        <b val="true"/>
        <sz val="10"/>
        <rFont val="Arial"/>
        <family val="0"/>
        <charset val="1"/>
      </rPr>
      <t xml:space="preserve">v13.0 K1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）：凡隨 </t>
    </r>
    <r>
      <rPr>
        <b val="true"/>
        <sz val="10"/>
        <rFont val="Arial"/>
        <family val="0"/>
        <charset val="1"/>
      </rPr>
      <t xml:space="preserve">CAL_BatchEtaD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D156</t>
    </r>
    <r>
      <rPr>
        <b val="true"/>
        <sz val="10"/>
        <rFont val="Noto Sans CJK SC"/>
        <family val="2"/>
      </rPr>
      <t xml:space="preserve">）或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Calib C156</t>
    </r>
    <r>
      <rPr>
        <b val="true"/>
        <sz val="10"/>
        <rFont val="Noto Sans CJK SC"/>
        <family val="2"/>
      </rPr>
      <t xml:space="preserve">）倍數變動的契約名稱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，各有 </t>
    </r>
    <r>
      <rPr>
        <b val="true"/>
        <sz val="10"/>
        <rFont val="Arial"/>
        <family val="0"/>
        <charset val="1"/>
      </rPr>
      <t xml:space="preserve">RNG_X_Lo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RNG_X_Hi</t>
    </r>
    <r>
      <rPr>
        <b val="true"/>
        <sz val="10"/>
        <rFont val="Noto Sans CJK SC"/>
        <family val="2"/>
      </rPr>
      <t xml:space="preserve">（形狀同 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）。端點＝情境重算（高端：</t>
    </r>
    <r>
      <rPr>
        <b val="true"/>
        <sz val="10"/>
        <rFont val="Arial"/>
        <family val="0"/>
        <charset val="1"/>
      </rPr>
      <t xml:space="preserve">GB200 1.83</t>
    </r>
    <r>
      <rPr>
        <b val="true"/>
        <sz val="10"/>
        <rFont val="Noto Sans CJK SC"/>
        <family val="2"/>
      </rPr>
      <t xml:space="preserve">；低端：</t>
    </r>
    <r>
      <rPr>
        <b val="true"/>
        <sz val="10"/>
        <rFont val="Arial"/>
        <family val="0"/>
        <charset val="1"/>
      </rPr>
      <t xml:space="preserve">GB200 3.04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Hopper 3.74</t>
    </r>
    <r>
      <rPr>
        <b val="true"/>
        <sz val="10"/>
        <rFont val="Noto Sans CJK SC"/>
        <family val="2"/>
      </rPr>
      <t xml:space="preserve">）兩者每格的較小／較大者，不是情境的『低端／高端』；以黑字數值寫入（不是公式，改輸入後不會自動更新）。時效：</t>
    </r>
    <r>
      <rPr>
        <b val="true"/>
        <sz val="10"/>
        <rFont val="Arial"/>
        <family val="0"/>
        <charset val="1"/>
      </rPr>
      <t xml:space="preserve">RNG_Version </t>
    </r>
    <r>
      <rPr>
        <b val="true"/>
        <sz val="10"/>
        <rFont val="Noto Sans CJK SC"/>
        <family val="2"/>
      </rPr>
      <t xml:space="preserve">必須等於現行版本，且基準落在區間內，否則 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顯示『區間過期』（</t>
    </r>
    <r>
      <rPr>
        <b val="true"/>
        <sz val="10"/>
        <rFont val="Arial"/>
        <family val="0"/>
        <charset val="1"/>
      </rPr>
      <t xml:space="preserve">Checks RG1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以情境重算逐格比對全部端點（容差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）。重新產生：</t>
    </r>
    <r>
      <rPr>
        <b val="true"/>
        <sz val="10"/>
        <rFont val="Arial"/>
        <family val="0"/>
        <charset val="1"/>
      </rPr>
      <t xml:space="preserve">python3 tools/gen_ranges.py</t>
    </r>
  </si>
  <si>
    <t xml:space="preserve">區間計算版本（寫入端點時的版本）</t>
  </si>
  <si>
    <t xml:space="preserve">20261017_Tokenomics_v14.1</t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</si>
  <si>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tools/gen_ranges.py </t>
    </r>
    <r>
      <rPr>
        <sz val="9"/>
        <color rgb="FF595959"/>
        <rFont val="Noto Sans CJK SC"/>
        <family val="2"/>
      </rPr>
      <t xml:space="preserve">產生端點檔時的活頁簿版本（</t>
    </r>
    <r>
      <rPr>
        <sz val="9"/>
        <color rgb="FF595959"/>
        <rFont val="Arial"/>
        <family val="0"/>
        <charset val="1"/>
      </rPr>
      <t xml:space="preserve">builder/v1300_ranges.json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version</t>
    </r>
    <r>
      <rPr>
        <sz val="9"/>
        <color rgb="FF595959"/>
        <rFont val="Noto Sans CJK SC"/>
        <family val="2"/>
      </rPr>
      <t xml:space="preserve">）；改版後若未重新產生，與下一格不一致</t>
    </r>
  </si>
  <si>
    <r>
      <rPr>
        <b val="true"/>
        <sz val="10"/>
        <rFont val="Noto Sans CJK SC"/>
        <family val="2"/>
      </rPr>
      <t xml:space="preserve">現行版本（</t>
    </r>
    <r>
      <rPr>
        <b val="true"/>
        <sz val="10"/>
        <rFont val="Arial"/>
        <family val="0"/>
        <charset val="1"/>
      </rPr>
      <t xml:space="preserve">README!B5 </t>
    </r>
    <r>
      <rPr>
        <b val="true"/>
        <sz val="10"/>
        <rFont val="Noto Sans CJK SC"/>
        <family val="2"/>
      </rPr>
      <t xml:space="preserve">開頭的檔名）</t>
    </r>
  </si>
  <si>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的檔名主幹相同（</t>
    </r>
    <r>
      <rPr>
        <sz val="9"/>
        <color rgb="FF595959"/>
        <rFont val="Arial"/>
        <family val="0"/>
        <charset val="1"/>
      </rPr>
      <t xml:space="preserve">test_readme_version_consistency </t>
    </r>
    <r>
      <rPr>
        <sz val="9"/>
        <color rgb="FF595959"/>
        <rFont val="Noto Sans CJK SC"/>
        <family val="2"/>
      </rPr>
      <t xml:space="preserve">守護）</t>
    </r>
  </si>
  <si>
    <t xml:space="preserve">基準落在區間外的格數（全部名稱合計）</t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</si>
  <si>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：不為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表示上游輸入已改動、端點不再涵蓋基準（需重新產生端點檔）</t>
    </r>
  </si>
  <si>
    <t xml:space="preserve">區間時效旗標</t>
  </si>
  <si>
    <r>
      <rPr>
        <sz val="9"/>
        <color rgb="FF595959"/>
        <rFont val="Arial"/>
        <family val="0"/>
        <charset val="1"/>
      </rPr>
      <t xml:space="preserve">RNG_StaleFlag</t>
    </r>
    <r>
      <rPr>
        <sz val="9"/>
        <color rgb="FF595959"/>
        <rFont val="Noto Sans CJK SC"/>
        <family val="2"/>
      </rPr>
      <t xml:space="preserve">：『一致』＝端點產生於現行版本且基準仍在區間內；『區間過期』＝請勿使用 </t>
    </r>
    <r>
      <rPr>
        <sz val="9"/>
        <color rgb="FF595959"/>
        <rFont val="Arial"/>
        <family val="0"/>
        <charset val="1"/>
      </rPr>
      <t xml:space="preserve">RNG_*</t>
    </r>
    <r>
      <rPr>
        <sz val="9"/>
        <color rgb="FF595959"/>
        <rFont val="Noto Sans CJK SC"/>
        <family val="2"/>
      </rPr>
      <t xml:space="preserve">，須重新產生（</t>
    </r>
    <r>
      <rPr>
        <sz val="9"/>
        <color rgb="FF595959"/>
        <rFont val="Arial"/>
        <family val="0"/>
        <charset val="1"/>
      </rPr>
      <t xml:space="preserve">Checks RG1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RG2 WARN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v13.1</t>
    </r>
    <r>
      <rPr>
        <sz val="9"/>
        <color rgb="FF595959"/>
        <rFont val="Noto Sans CJK SC"/>
        <family val="2"/>
      </rPr>
      <t xml:space="preserve">：另需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節指紋全部相符（任一上游輸入與產生端點時不同也顯示『區間過期』）</t>
    </r>
  </si>
  <si>
    <r>
      <rPr>
        <b val="true"/>
        <sz val="10"/>
        <rFont val="Noto Sans CJK SC"/>
        <family val="2"/>
      </rPr>
      <t xml:space="preserve">名稱 </t>
    </r>
    <r>
      <rPr>
        <b val="true"/>
        <sz val="10"/>
        <rFont val="Arial"/>
        <family val="0"/>
        <charset val="1"/>
      </rPr>
      <t xml:space="preserve">X</t>
    </r>
  </si>
  <si>
    <t xml:space="preserve">列</t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</si>
  <si>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</si>
  <si>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</si>
  <si>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Hopper H100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</si>
  <si>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</si>
  <si>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</si>
  <si>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</si>
  <si>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</si>
  <si>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</si>
  <si>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GB300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</si>
  <si>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｜低成本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</si>
  <si>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｜基準</t>
    </r>
  </si>
  <si>
    <r>
      <rPr>
        <b val="true"/>
        <sz val="10"/>
        <rFont val="Arial"/>
        <family val="0"/>
        <charset val="1"/>
      </rPr>
      <t xml:space="preserve">VR200 NVL72</t>
    </r>
    <r>
      <rPr>
        <b val="true"/>
        <sz val="10"/>
        <rFont val="Noto Sans CJK SC"/>
        <family val="2"/>
      </rPr>
      <t xml:space="preserve">｜高成本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</si>
  <si>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）｜低成本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</si>
  <si>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）｜基準</t>
    </r>
  </si>
  <si>
    <r>
      <rPr>
        <b val="true"/>
        <sz val="10"/>
        <rFont val="Arial"/>
        <family val="0"/>
        <charset val="1"/>
      </rPr>
      <t xml:space="preserve">Rubin Ultra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MGX NVL </t>
    </r>
    <r>
      <rPr>
        <b val="true"/>
        <sz val="10"/>
        <rFont val="Noto Sans CJK SC"/>
        <family val="2"/>
      </rPr>
      <t xml:space="preserve">單架，</t>
    </r>
    <r>
      <rPr>
        <b val="true"/>
        <sz val="10"/>
        <rFont val="Arial"/>
        <family val="0"/>
        <charset val="1"/>
      </rPr>
      <t xml:space="preserve">72 GPU</t>
    </r>
    <r>
      <rPr>
        <b val="true"/>
        <sz val="10"/>
        <rFont val="Noto Sans CJK SC"/>
        <family val="2"/>
      </rPr>
      <t xml:space="preserve">）｜高成本</t>
    </r>
  </si>
  <si>
    <r>
      <rPr>
        <b val="true"/>
        <sz val="10"/>
        <rFont val="Noto Sans CJK SC"/>
        <family val="2"/>
      </rPr>
      <t xml:space="preserve">基準落在區間外的格數（容差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）</t>
    </r>
  </si>
  <si>
    <t xml:space="preserve">IF_AllocImpliedNk</t>
  </si>
  <si>
    <r>
      <rPr>
        <sz val="10"/>
        <color rgb="FF000000"/>
        <rFont val="Noto Sans CJK SC"/>
        <family val="2"/>
      </rPr>
      <t xml:space="preserve">下限 </t>
    </r>
    <r>
      <rPr>
        <sz val="10"/>
        <color rgb="FF000000"/>
        <rFont val="Arial"/>
        <family val="0"/>
        <charset val="1"/>
      </rPr>
      <t xml:space="preserve">Lo</t>
    </r>
  </si>
  <si>
    <t xml:space="preserve">基準（即時）</t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</si>
  <si>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Hi</t>
    </r>
  </si>
  <si>
    <t xml:space="preserve">IF_AllocQ1</t>
  </si>
  <si>
    <t xml:space="preserve">IF_AllocQ1_R2</t>
  </si>
  <si>
    <t xml:space="preserve">IF_AllocQ2</t>
  </si>
  <si>
    <t xml:space="preserve">IF_AllocRDGW</t>
  </si>
  <si>
    <t xml:space="preserve">IF_AmortBU_Astra</t>
  </si>
  <si>
    <t xml:space="preserve">IF_AmortBU_Luna</t>
  </si>
  <si>
    <t xml:space="preserve">IF_AmortBU_Sol</t>
  </si>
  <si>
    <t xml:space="preserve">IF_AmortDefault_Astra</t>
  </si>
  <si>
    <t xml:space="preserve">IF_AmortDefault_Luna</t>
  </si>
  <si>
    <t xml:space="preserve">IF_AmortDefault_Sol</t>
  </si>
  <si>
    <t xml:space="preserve">IF_FullCostDefault_Astra</t>
  </si>
  <si>
    <t xml:space="preserve">IF_FullCostDefault_Luna</t>
  </si>
  <si>
    <t xml:space="preserve">IF_FullCostDefault_Sol</t>
  </si>
  <si>
    <t xml:space="preserve">IF_FullCost_Astra</t>
  </si>
  <si>
    <t xml:space="preserve">IF_FullCost_Astra_Prod</t>
  </si>
  <si>
    <t xml:space="preserve">IF_FullCost_Luna</t>
  </si>
  <si>
    <t xml:space="preserve">IF_FullCost_Luna_Prod</t>
  </si>
  <si>
    <t xml:space="preserve">IF_FullCost_Sol</t>
  </si>
  <si>
    <t xml:space="preserve">IF_FullCost_Sol_Prod</t>
  </si>
  <si>
    <t xml:space="preserve">IF_GMDefault_Astra</t>
  </si>
  <si>
    <t xml:space="preserve">IF_GMDefault_Luna</t>
  </si>
  <si>
    <t xml:space="preserve">IF_GMDefault_Sol</t>
  </si>
  <si>
    <t xml:space="preserve">IF_PostShareGPUh_Astra</t>
  </si>
  <si>
    <t xml:space="preserve">IF_PostShareGPUh_Luna</t>
  </si>
  <si>
    <t xml:space="preserve">IF_PostShareGPUh_Sol</t>
  </si>
  <si>
    <t xml:space="preserve">IF_ProgCost_Astra</t>
  </si>
  <si>
    <t xml:space="preserve">IF_ProgCost_Luna</t>
  </si>
  <si>
    <t xml:space="preserve">IF_ProgCost_Sol</t>
  </si>
  <si>
    <t xml:space="preserve">IF_ProgGPUh_Astra</t>
  </si>
  <si>
    <t xml:space="preserve">IF_ProgGPUh_Luna</t>
  </si>
  <si>
    <t xml:space="preserve">IF_ProgGPUh_Sol</t>
  </si>
  <si>
    <t xml:space="preserve">IF_ProgGWyr_Astra</t>
  </si>
  <si>
    <t xml:space="preserve">IF_ProgGWyr_Luna</t>
  </si>
  <si>
    <t xml:space="preserve">IF_ProgGWyr_Sol</t>
  </si>
  <si>
    <t xml:space="preserve">IF_RLMFU_Astra</t>
  </si>
  <si>
    <t xml:space="preserve">IF_RLMFU_Luna</t>
  </si>
  <si>
    <t xml:space="preserve">IF_RLMFU_Sol</t>
  </si>
  <si>
    <t xml:space="preserve">IF_TrainCost_Astra</t>
  </si>
  <si>
    <t xml:space="preserve">IF_TrainCost_Luna</t>
  </si>
  <si>
    <t xml:space="preserve">IF_TrainCost_Sol</t>
  </si>
  <si>
    <t xml:space="preserve">IF_TrainGPUh_Astra</t>
  </si>
  <si>
    <t xml:space="preserve">IF_TrainGPUh_Luna</t>
  </si>
  <si>
    <t xml:space="preserve">IF_TrainGPUh_Sol</t>
  </si>
  <si>
    <t xml:space="preserve">IF_TrainInferShare_Astra</t>
  </si>
  <si>
    <t xml:space="preserve">IF_TrainInferShare_Luna</t>
  </si>
  <si>
    <t xml:space="preserve">IF_TrainInferShare_Sol</t>
  </si>
  <si>
    <t xml:space="preserve">L1_Ans1</t>
  </si>
  <si>
    <t xml:space="preserve">L1_Ans1_Hi</t>
  </si>
  <si>
    <t xml:space="preserve">L1_Ans1_Lo</t>
  </si>
  <si>
    <t xml:space="preserve">L1_Ans2</t>
  </si>
  <si>
    <t xml:space="preserve">L1_Ans2_Hi</t>
  </si>
  <si>
    <t xml:space="preserve">L1_Ans2_Lo</t>
  </si>
  <si>
    <t xml:space="preserve">L1_Ans3</t>
  </si>
  <si>
    <t xml:space="preserve">L1_Ans3_Hi</t>
  </si>
  <si>
    <t xml:space="preserve">L1_Ans3_Lo</t>
  </si>
  <si>
    <t xml:space="preserve">L1_ScaleRD</t>
  </si>
  <si>
    <t xml:space="preserve">L1_ScaleRD_Hi</t>
  </si>
  <si>
    <t xml:space="preserve">L1_ScaleRD_Lo</t>
  </si>
  <si>
    <r>
      <rPr>
        <b val="true"/>
        <sz val="10"/>
        <rFont val="Noto Sans CJK SC"/>
        <family val="2"/>
      </rPr>
      <t xml:space="preserve">未建區間的名稱（依賴圖上游含 </t>
    </r>
    <r>
      <rPr>
        <b val="true"/>
        <sz val="10"/>
        <rFont val="Arial"/>
        <family val="0"/>
        <charset val="1"/>
      </rPr>
      <t xml:space="preserve">CAL_BatchEtaD</t>
    </r>
    <r>
      <rPr>
        <b val="true"/>
        <sz val="10"/>
        <rFont val="Noto Sans CJK SC"/>
        <family val="2"/>
      </rPr>
      <t xml:space="preserve">，但兩個端點情境下值不變）：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</si>
  <si>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）只經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個，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倍數改變時不動，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倍數改變時會動；本版區間只涵蓋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倍數：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L1_RLshare_Astra_VR200_Lo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</si>
  <si>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）依賴圖上有路徑、但任何倍數改變都不動（計數、守衛或不選用的欄）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個：</t>
    </r>
    <r>
      <rPr>
        <sz val="9"/>
        <color rgb="FF595959"/>
        <rFont val="Arial"/>
        <family val="0"/>
        <charset val="1"/>
      </rPr>
      <t xml:space="preserve">CHK_L1Order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CHK_VerifyFail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CHK_VerifyPass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CHK_VerifyWarn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IF_AmortRev_Sol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L1_Ans5_GM_Hi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L1_Ans5_GM_Lo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</si>
  <si>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v13.1 P2-1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欄無區間：批次倍數無證據，為點值。已納入區間的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個名稱（</t>
    </r>
    <r>
      <rPr>
        <sz val="9"/>
        <color rgb="FF595959"/>
        <rFont val="Arial"/>
        <family val="0"/>
        <charset val="1"/>
      </rPr>
      <t xml:space="preserve">IF_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格名稱）各有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格屬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世代，共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格；它們的 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倍數（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格＝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H156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）沒有證據，故不設區間。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倍數離開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（例如設為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）時，這 </t>
    </r>
    <r>
      <rPr>
        <sz val="9"/>
        <color rgb="FF595959"/>
        <rFont val="Arial"/>
        <family val="0"/>
        <charset val="1"/>
      </rPr>
      <t xml:space="preserve">108 </t>
    </r>
    <r>
      <rPr>
        <sz val="9"/>
        <color rgb="FF595959"/>
        <rFont val="Noto Sans CJK SC"/>
        <family val="2"/>
      </rPr>
      <t xml:space="preserve">格與上面（</t>
    </r>
    <r>
      <rPr>
        <sz val="9"/>
        <color rgb="FF595959"/>
        <rFont val="Arial"/>
        <family val="0"/>
        <charset val="1"/>
      </rPr>
      <t xml:space="preserve">a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個名稱會落在區間之外或改變。下游應把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欄當點值使用。</t>
    </r>
  </si>
  <si>
    <r>
      <rPr>
        <b val="true"/>
        <sz val="10"/>
        <rFont val="Arial"/>
        <family val="0"/>
        <charset val="1"/>
      </rPr>
      <t xml:space="preserve">P. </t>
    </r>
    <r>
      <rPr>
        <b val="true"/>
        <sz val="10"/>
        <rFont val="Noto Sans CJK SC"/>
        <family val="2"/>
      </rPr>
      <t xml:space="preserve">區間時效指紋（</t>
    </r>
    <r>
      <rPr>
        <b val="true"/>
        <sz val="10"/>
        <rFont val="Arial"/>
        <family val="0"/>
        <charset val="1"/>
      </rPr>
      <t xml:space="preserve">v13.1 P2-2</t>
    </r>
    <r>
      <rPr>
        <b val="true"/>
        <sz val="10"/>
        <rFont val="Noto Sans CJK SC"/>
        <family val="2"/>
      </rPr>
      <t xml:space="preserve">）：下列為『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個有區間的名稱』上游的全部數值常數格（依賴圖，口徑同死格偵測；</t>
    </r>
    <r>
      <rPr>
        <b val="true"/>
        <sz val="10"/>
        <rFont val="Arial"/>
        <family val="0"/>
        <charset val="1"/>
      </rPr>
      <t xml:space="preserve">builder/v1310_fingerprint.json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tools/gen_fingerprint.py </t>
    </r>
    <r>
      <rPr>
        <b val="true"/>
        <sz val="10"/>
        <rFont val="Noto Sans CJK SC"/>
        <family val="2"/>
      </rPr>
      <t xml:space="preserve">產生）。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欄是產生端點時記錄的值（黑字常數，不是公式），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欄是現值（連結），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表示不符。任一格不符，</t>
    </r>
    <r>
      <rPr>
        <b val="true"/>
        <sz val="10"/>
        <rFont val="Arial"/>
        <family val="0"/>
        <charset val="1"/>
      </rPr>
      <t xml:space="preserve">RNG_StaleFlag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Checks RG3 </t>
    </r>
    <r>
      <rPr>
        <b val="true"/>
        <sz val="10"/>
        <rFont val="Noto Sans CJK SC"/>
        <family val="2"/>
      </rPr>
      <t xml:space="preserve">顯示『區間過期』——即使基準仍在 </t>
    </r>
    <r>
      <rPr>
        <b val="true"/>
        <sz val="10"/>
        <rFont val="Arial"/>
        <family val="0"/>
        <charset val="1"/>
      </rPr>
      <t xml:space="preserve">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Hi </t>
    </r>
    <r>
      <rPr>
        <b val="true"/>
        <sz val="10"/>
        <rFont val="Noto Sans CJK SC"/>
        <family val="2"/>
      </rPr>
      <t xml:space="preserve">之內（舊旗標只在基準出界或版本不符時亮起）。上游輸入改動後須重新產生端點檔與指紋檔。</t>
    </r>
  </si>
  <si>
    <t xml:space="preserve">指紋格數</t>
  </si>
  <si>
    <r>
      <rPr>
        <sz val="9"/>
        <color rgb="FF595959"/>
        <rFont val="Noto Sans CJK SC"/>
        <family val="2"/>
      </rPr>
      <t xml:space="preserve">指紋檔的葉格數（</t>
    </r>
    <r>
      <rPr>
        <sz val="9"/>
        <color rgb="FF595959"/>
        <rFont val="Arial"/>
        <family val="0"/>
        <charset val="1"/>
      </rPr>
      <t xml:space="preserve">builder/v1310_fingerprint.json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以依賴圖重新推導並要求逐格相等</t>
    </r>
  </si>
  <si>
    <r>
      <rPr>
        <sz val="9"/>
        <color rgb="FF595959"/>
        <rFont val="Noto Sans CJK SC"/>
        <family val="2"/>
      </rPr>
      <t xml:space="preserve">顯示用：指紋格數（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欄）無公式讀取；與指紋檔葉格數的對照由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檢查</t>
    </r>
  </si>
  <si>
    <t xml:space="preserve">指紋不符格數（現值≠產生端點時的值）</t>
  </si>
  <si>
    <r>
      <rPr>
        <sz val="9"/>
        <color rgb="FF595959"/>
        <rFont val="Noto Sans CJK SC"/>
        <family val="2"/>
      </rPr>
      <t xml:space="preserve">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＝上游輸入已改動而端點未重新產生；</t>
    </r>
    <r>
      <rPr>
        <sz val="9"/>
        <color rgb="FF595959"/>
        <rFont val="Arial"/>
        <family val="0"/>
        <charset val="1"/>
      </rPr>
      <t xml:space="preserve">Checks RG3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）</t>
    </r>
  </si>
  <si>
    <t xml:space="preserve">儲存格</t>
  </si>
  <si>
    <t xml:space="preserve">現值（連結）</t>
  </si>
  <si>
    <t xml:space="preserve">產生端點時的值（常數）</t>
  </si>
  <si>
    <r>
      <rPr>
        <b val="true"/>
        <sz val="10"/>
        <rFont val="Noto Sans CJK SC"/>
        <family val="2"/>
      </rPr>
      <t xml:space="preserve">不符（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＝不符）</t>
    </r>
  </si>
  <si>
    <t xml:space="preserve">Inputs</t>
  </si>
  <si>
    <t xml:space="preserve">E5</t>
  </si>
  <si>
    <t xml:space="preserve">E6</t>
  </si>
  <si>
    <t xml:space="preserve">E8</t>
  </si>
  <si>
    <t xml:space="preserve">D9</t>
  </si>
  <si>
    <t xml:space="preserve">E9</t>
  </si>
  <si>
    <t xml:space="preserve">F9</t>
  </si>
  <si>
    <t xml:space="preserve">D10</t>
  </si>
  <si>
    <t xml:space="preserve">E10</t>
  </si>
  <si>
    <t xml:space="preserve">F10</t>
  </si>
  <si>
    <t xml:space="preserve">D11</t>
  </si>
  <si>
    <t xml:space="preserve">E11</t>
  </si>
  <si>
    <t xml:space="preserve">F11</t>
  </si>
  <si>
    <t xml:space="preserve">D13</t>
  </si>
  <si>
    <t xml:space="preserve">E13</t>
  </si>
  <si>
    <t xml:space="preserve">D14</t>
  </si>
  <si>
    <t xml:space="preserve">E14</t>
  </si>
  <si>
    <t xml:space="preserve">F14</t>
  </si>
  <si>
    <t xml:space="preserve">D16</t>
  </si>
  <si>
    <t xml:space="preserve">E16</t>
  </si>
  <si>
    <t xml:space="preserve">F16</t>
  </si>
  <si>
    <t xml:space="preserve">D17</t>
  </si>
  <si>
    <t xml:space="preserve">E17</t>
  </si>
  <si>
    <t xml:space="preserve">F17</t>
  </si>
  <si>
    <t xml:space="preserve">D18</t>
  </si>
  <si>
    <t xml:space="preserve">E18</t>
  </si>
  <si>
    <t xml:space="preserve">F18</t>
  </si>
  <si>
    <t xml:space="preserve">D19</t>
  </si>
  <si>
    <t xml:space="preserve">E19</t>
  </si>
  <si>
    <t xml:space="preserve">F19</t>
  </si>
  <si>
    <t xml:space="preserve">D20</t>
  </si>
  <si>
    <t xml:space="preserve">E20</t>
  </si>
  <si>
    <t xml:space="preserve">F20</t>
  </si>
  <si>
    <t xml:space="preserve">D21</t>
  </si>
  <si>
    <t xml:space="preserve">E21</t>
  </si>
  <si>
    <t xml:space="preserve">F21</t>
  </si>
  <si>
    <t xml:space="preserve">E24</t>
  </si>
  <si>
    <t xml:space="preserve">E25</t>
  </si>
  <si>
    <t xml:space="preserve">E26</t>
  </si>
  <si>
    <t xml:space="preserve">E27</t>
  </si>
  <si>
    <t xml:space="preserve">D28</t>
  </si>
  <si>
    <t xml:space="preserve">E28</t>
  </si>
  <si>
    <t xml:space="preserve">F28</t>
  </si>
  <si>
    <t xml:space="preserve">D31</t>
  </si>
  <si>
    <t xml:space="preserve">E31</t>
  </si>
  <si>
    <t xml:space="preserve">F31</t>
  </si>
  <si>
    <t xml:space="preserve">D32</t>
  </si>
  <si>
    <t xml:space="preserve">E32</t>
  </si>
  <si>
    <t xml:space="preserve">F32</t>
  </si>
  <si>
    <t xml:space="preserve">D33</t>
  </si>
  <si>
    <t xml:space="preserve">E33</t>
  </si>
  <si>
    <t xml:space="preserve">F33</t>
  </si>
  <si>
    <t xml:space="preserve">D34</t>
  </si>
  <si>
    <t xml:space="preserve">E34</t>
  </si>
  <si>
    <t xml:space="preserve">F34</t>
  </si>
  <si>
    <t xml:space="preserve">D35</t>
  </si>
  <si>
    <t xml:space="preserve">E35</t>
  </si>
  <si>
    <t xml:space="preserve">F35</t>
  </si>
  <si>
    <t xml:space="preserve">D37</t>
  </si>
  <si>
    <t xml:space="preserve">E37</t>
  </si>
  <si>
    <t xml:space="preserve">F37</t>
  </si>
  <si>
    <t xml:space="preserve">D38</t>
  </si>
  <si>
    <t xml:space="preserve">E38</t>
  </si>
  <si>
    <t xml:space="preserve">F38</t>
  </si>
  <si>
    <t xml:space="preserve">Spec_Rack</t>
  </si>
  <si>
    <t xml:space="preserve">C6</t>
  </si>
  <si>
    <t xml:space="preserve">C8</t>
  </si>
  <si>
    <t xml:space="preserve">G8</t>
  </si>
  <si>
    <t xml:space="preserve">C9</t>
  </si>
  <si>
    <t xml:space="preserve">G9</t>
  </si>
  <si>
    <t xml:space="preserve">C10</t>
  </si>
  <si>
    <t xml:space="preserve">G10</t>
  </si>
  <si>
    <t xml:space="preserve">C11</t>
  </si>
  <si>
    <t xml:space="preserve">C12</t>
  </si>
  <si>
    <t xml:space="preserve">D12</t>
  </si>
  <si>
    <t xml:space="preserve">E12</t>
  </si>
  <si>
    <t xml:space="preserve">F12</t>
  </si>
  <si>
    <t xml:space="preserve">C13</t>
  </si>
  <si>
    <t xml:space="preserve">F13</t>
  </si>
  <si>
    <t xml:space="preserve">G23</t>
  </si>
  <si>
    <t xml:space="preserve">G24</t>
  </si>
  <si>
    <t xml:space="preserve">D25</t>
  </si>
  <si>
    <t xml:space="preserve">G25</t>
  </si>
  <si>
    <t xml:space="preserve">G26</t>
  </si>
  <si>
    <t xml:space="preserve">G27</t>
  </si>
  <si>
    <t xml:space="preserve">C29</t>
  </si>
  <si>
    <t xml:space="preserve">D29</t>
  </si>
  <si>
    <t xml:space="preserve">F29</t>
  </si>
  <si>
    <t xml:space="preserve">G29</t>
  </si>
  <si>
    <t xml:space="preserve">C31</t>
  </si>
  <si>
    <t xml:space="preserve">G31</t>
  </si>
  <si>
    <t xml:space="preserve">C32</t>
  </si>
  <si>
    <t xml:space="preserve">G32</t>
  </si>
  <si>
    <t xml:space="preserve">G40</t>
  </si>
  <si>
    <t xml:space="preserve">C44</t>
  </si>
  <si>
    <t xml:space="preserve">D44</t>
  </si>
  <si>
    <t xml:space="preserve">E44</t>
  </si>
  <si>
    <t xml:space="preserve">F44</t>
  </si>
  <si>
    <t xml:space="preserve">G44</t>
  </si>
  <si>
    <t xml:space="preserve">C49</t>
  </si>
  <si>
    <t xml:space="preserve">C50</t>
  </si>
  <si>
    <t xml:space="preserve">Arch</t>
  </si>
  <si>
    <t xml:space="preserve">E7</t>
  </si>
  <si>
    <t xml:space="preserve">C34</t>
  </si>
  <si>
    <t xml:space="preserve">E36</t>
  </si>
  <si>
    <t xml:space="preserve">Serving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</si>
  <si>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</si>
  <si>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</si>
  <si>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</si>
  <si>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</si>
  <si>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</si>
  <si>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C22</t>
  </si>
  <si>
    <t xml:space="preserve">D22</t>
  </si>
  <si>
    <t xml:space="preserve">E22</t>
  </si>
  <si>
    <t xml:space="preserve">C23</t>
  </si>
  <si>
    <t xml:space="preserve">D23</t>
  </si>
  <si>
    <t xml:space="preserve">E23</t>
  </si>
  <si>
    <t xml:space="preserve">C24</t>
  </si>
  <si>
    <t xml:space="preserve">D24</t>
  </si>
  <si>
    <t xml:space="preserve">C28</t>
  </si>
  <si>
    <t xml:space="preserve">Calib</t>
  </si>
  <si>
    <t xml:space="preserve">C5</t>
  </si>
  <si>
    <t xml:space="preserve">C67</t>
  </si>
  <si>
    <t xml:space="preserve">D67</t>
  </si>
  <si>
    <t xml:space="preserve">E67</t>
  </si>
  <si>
    <t xml:space="preserve">F67</t>
  </si>
  <si>
    <t xml:space="preserve">G67</t>
  </si>
  <si>
    <t xml:space="preserve">C68</t>
  </si>
  <si>
    <t xml:space="preserve">D68</t>
  </si>
  <si>
    <t xml:space="preserve">E68</t>
  </si>
  <si>
    <t xml:space="preserve">F68</t>
  </si>
  <si>
    <t xml:space="preserve">G68</t>
  </si>
  <si>
    <t xml:space="preserve">D69</t>
  </si>
  <si>
    <t xml:space="preserve">E69</t>
  </si>
  <si>
    <t xml:space="preserve">F69</t>
  </si>
  <si>
    <t xml:space="preserve">G69</t>
  </si>
  <si>
    <t xml:space="preserve">C156</t>
  </si>
  <si>
    <t xml:space="preserve">D156</t>
  </si>
  <si>
    <t xml:space="preserve">E156</t>
  </si>
  <si>
    <t xml:space="preserve">F156</t>
  </si>
  <si>
    <t xml:space="preserve">G156</t>
  </si>
  <si>
    <t xml:space="preserve">F5</t>
  </si>
  <si>
    <t xml:space="preserve">G5</t>
  </si>
  <si>
    <t xml:space="preserve">H5</t>
  </si>
  <si>
    <t xml:space="preserve">N5</t>
  </si>
  <si>
    <t xml:space="preserve">O5</t>
  </si>
  <si>
    <t xml:space="preserve">F6</t>
  </si>
  <si>
    <t xml:space="preserve">G6</t>
  </si>
  <si>
    <t xml:space="preserve">H6</t>
  </si>
  <si>
    <t xml:space="preserve">N6</t>
  </si>
  <si>
    <t xml:space="preserve">O6</t>
  </si>
  <si>
    <t xml:space="preserve">F7</t>
  </si>
  <si>
    <t xml:space="preserve">G7</t>
  </si>
  <si>
    <t xml:space="preserve">H7</t>
  </si>
  <si>
    <t xml:space="preserve">N7</t>
  </si>
  <si>
    <t xml:space="preserve">O7</t>
  </si>
  <si>
    <t xml:space="preserve">F8</t>
  </si>
  <si>
    <t xml:space="preserve">H8</t>
  </si>
  <si>
    <t xml:space="preserve">N8</t>
  </si>
  <si>
    <t xml:space="preserve">O8</t>
  </si>
  <si>
    <t xml:space="preserve">H9</t>
  </si>
  <si>
    <t xml:space="preserve">N9</t>
  </si>
  <si>
    <t xml:space="preserve">O9</t>
  </si>
  <si>
    <t xml:space="preserve">H10</t>
  </si>
  <si>
    <t xml:space="preserve">N10</t>
  </si>
  <si>
    <t xml:space="preserve">O10</t>
  </si>
  <si>
    <t xml:space="preserve">G11</t>
  </si>
  <si>
    <t xml:space="preserve">H11</t>
  </si>
  <si>
    <t xml:space="preserve">N11</t>
  </si>
  <si>
    <t xml:space="preserve">O11</t>
  </si>
  <si>
    <t xml:space="preserve">G12</t>
  </si>
  <si>
    <t xml:space="preserve">H12</t>
  </si>
  <si>
    <t xml:space="preserve">N12</t>
  </si>
  <si>
    <t xml:space="preserve">O12</t>
  </si>
  <si>
    <t xml:space="preserve">G13</t>
  </si>
  <si>
    <t xml:space="preserve">H13</t>
  </si>
  <si>
    <t xml:space="preserve">N13</t>
  </si>
  <si>
    <t xml:space="preserve">O13</t>
  </si>
  <si>
    <t xml:space="preserve">G14</t>
  </si>
  <si>
    <t xml:space="preserve">H14</t>
  </si>
  <si>
    <t xml:space="preserve">N14</t>
  </si>
  <si>
    <t xml:space="preserve">O14</t>
  </si>
  <si>
    <t xml:space="preserve">E15</t>
  </si>
  <si>
    <t xml:space="preserve">F15</t>
  </si>
  <si>
    <t xml:space="preserve">G15</t>
  </si>
  <si>
    <t xml:space="preserve">H15</t>
  </si>
  <si>
    <t xml:space="preserve">N15</t>
  </si>
  <si>
    <t xml:space="preserve">O15</t>
  </si>
  <si>
    <t xml:space="preserve">G16</t>
  </si>
  <si>
    <t xml:space="preserve">H16</t>
  </si>
  <si>
    <t xml:space="preserve">N16</t>
  </si>
  <si>
    <t xml:space="preserve">O16</t>
  </si>
  <si>
    <t xml:space="preserve">Perf</t>
  </si>
  <si>
    <t xml:space="preserve">D6</t>
  </si>
  <si>
    <t xml:space="preserve">I6</t>
  </si>
  <si>
    <t xml:space="preserve">J6</t>
  </si>
  <si>
    <t xml:space="preserve">K6</t>
  </si>
  <si>
    <t xml:space="preserve">L6</t>
  </si>
  <si>
    <t xml:space="preserve">M6</t>
  </si>
  <si>
    <t xml:space="preserve">P6</t>
  </si>
  <si>
    <t xml:space="preserve">Q6</t>
  </si>
  <si>
    <t xml:space="preserve">C7</t>
  </si>
  <si>
    <t xml:space="preserve">D7</t>
  </si>
  <si>
    <t xml:space="preserve">I7</t>
  </si>
  <si>
    <t xml:space="preserve">J7</t>
  </si>
  <si>
    <t xml:space="preserve">K7</t>
  </si>
  <si>
    <t xml:space="preserve">L7</t>
  </si>
  <si>
    <t xml:space="preserve">M7</t>
  </si>
  <si>
    <t xml:space="preserve">P7</t>
  </si>
  <si>
    <t xml:space="preserve">Q7</t>
  </si>
  <si>
    <t xml:space="preserve">Unit_Cost</t>
  </si>
  <si>
    <t xml:space="preserve">Train_In</t>
  </si>
  <si>
    <t xml:space="preserve">C21</t>
  </si>
  <si>
    <t xml:space="preserve">G21</t>
  </si>
  <si>
    <t xml:space="preserve">C27</t>
  </si>
  <si>
    <t xml:space="preserve">D27</t>
  </si>
  <si>
    <t xml:space="preserve">E29</t>
  </si>
  <si>
    <t xml:space="preserve">C30</t>
  </si>
  <si>
    <t xml:space="preserve">D30</t>
  </si>
  <si>
    <t xml:space="preserve">E30</t>
  </si>
  <si>
    <t xml:space="preserve">C33</t>
  </si>
  <si>
    <t xml:space="preserve">C35</t>
  </si>
  <si>
    <t xml:space="preserve">C36</t>
  </si>
  <si>
    <t xml:space="preserve">D36</t>
  </si>
  <si>
    <t xml:space="preserve">C37</t>
  </si>
  <si>
    <t xml:space="preserve">C38</t>
  </si>
  <si>
    <t xml:space="preserve">Perf_Batch</t>
  </si>
  <si>
    <t xml:space="preserve">Training</t>
  </si>
  <si>
    <t xml:space="preserve">Cap_In</t>
  </si>
  <si>
    <t xml:space="preserve">C39</t>
  </si>
  <si>
    <t xml:space="preserve">C40</t>
  </si>
  <si>
    <t xml:space="preserve">C41</t>
  </si>
  <si>
    <t xml:space="preserve">C42</t>
  </si>
  <si>
    <t xml:space="preserve">Cache_Store</t>
  </si>
  <si>
    <t xml:space="preserve">Fleet_1GW</t>
  </si>
  <si>
    <t xml:space="preserve">Amortize</t>
  </si>
  <si>
    <t xml:space="preserve">Alloc_In</t>
  </si>
  <si>
    <t xml:space="preserve">D8</t>
  </si>
  <si>
    <t xml:space="preserve">Alloc</t>
  </si>
  <si>
    <t xml:space="preserve">I94</t>
  </si>
  <si>
    <t xml:space="preserve">J94</t>
  </si>
  <si>
    <t xml:space="preserve">K94</t>
  </si>
  <si>
    <t xml:space="preserve">L94</t>
  </si>
  <si>
    <t xml:space="preserve">I95</t>
  </si>
  <si>
    <t xml:space="preserve">J95</t>
  </si>
  <si>
    <t xml:space="preserve">K95</t>
  </si>
  <si>
    <t xml:space="preserve">L95</t>
  </si>
  <si>
    <t xml:space="preserve">SRC_HW</t>
  </si>
  <si>
    <t xml:space="preserve">C25</t>
  </si>
  <si>
    <t xml:space="preserve">C26</t>
  </si>
  <si>
    <t xml:space="preserve">C47</t>
  </si>
  <si>
    <t xml:space="preserve">C51</t>
  </si>
  <si>
    <t xml:space="preserve">C52</t>
  </si>
  <si>
    <t xml:space="preserve">C53</t>
  </si>
  <si>
    <t xml:space="preserve">C54</t>
  </si>
  <si>
    <t xml:space="preserve">C56</t>
  </si>
  <si>
    <t xml:space="preserve">C59</t>
  </si>
  <si>
    <t xml:space="preserve">C63</t>
  </si>
  <si>
    <t xml:space="preserve">C64</t>
  </si>
  <si>
    <t xml:space="preserve">C65</t>
  </si>
  <si>
    <t xml:space="preserve">SRC_DC</t>
  </si>
  <si>
    <t xml:space="preserve">C19</t>
  </si>
  <si>
    <t xml:space="preserve">SRC_Model</t>
  </si>
  <si>
    <t xml:space="preserve">C20</t>
  </si>
  <si>
    <t xml:space="preserve">C57</t>
  </si>
  <si>
    <t xml:space="preserve">C58</t>
  </si>
  <si>
    <t xml:space="preserve">SRC_Perf</t>
  </si>
  <si>
    <t xml:space="preserve">AC13</t>
  </si>
  <si>
    <t xml:space="preserve">AD13</t>
  </si>
  <si>
    <t xml:space="preserve">AE13</t>
  </si>
  <si>
    <t xml:space="preserve">AF13</t>
  </si>
  <si>
    <t xml:space="preserve">AC14</t>
  </si>
  <si>
    <t xml:space="preserve">AD14</t>
  </si>
  <si>
    <t xml:space="preserve">AE14</t>
  </si>
  <si>
    <t xml:space="preserve">AF14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</si>
  <si>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</si>
  <si>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</si>
  <si>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</si>
  <si>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</si>
  <si>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</si>
  <si>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</si>
  <si>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SRC_Price</t>
  </si>
  <si>
    <t xml:space="preserve">SRC_Demand</t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</si>
  <si>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</si>
  <si>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</si>
  <si>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</si>
  <si>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</si>
  <si>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</si>
  <si>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</si>
  <si>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</si>
  <si>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</si>
  <si>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</si>
  <si>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</si>
  <si>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</si>
  <si>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</si>
  <si>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</si>
  <si>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</si>
  <si>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</si>
  <si>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</si>
  <si>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</si>
  <si>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</si>
  <si>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</si>
  <si>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</si>
  <si>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</si>
  <si>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</si>
  <si>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</si>
  <si>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</si>
  <si>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</si>
  <si>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</si>
  <si>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</si>
  <si>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</si>
  <si>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</si>
  <si>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</si>
  <si>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</si>
  <si>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</si>
  <si>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</si>
  <si>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</si>
  <si>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</si>
  <si>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</si>
  <si>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</si>
  <si>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</si>
  <si>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</si>
  <si>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</si>
  <si>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</si>
  <si>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</si>
  <si>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</si>
  <si>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</si>
  <si>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</si>
  <si>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</si>
  <si>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</si>
  <si>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</si>
  <si>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</si>
  <si>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</si>
  <si>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</si>
  <si>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</si>
  <si>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</si>
  <si>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</si>
  <si>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</si>
  <si>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</si>
  <si>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</si>
  <si>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</si>
  <si>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</si>
  <si>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</si>
  <si>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</si>
  <si>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</si>
  <si>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</si>
  <si>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</si>
  <si>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</si>
  <si>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</si>
  <si>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</si>
  <si>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</si>
  <si>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</si>
  <si>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</si>
  <si>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</si>
  <si>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</si>
  <si>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</si>
  <si>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</si>
  <si>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</si>
  <si>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</si>
  <si>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</si>
  <si>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</si>
  <si>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</si>
  <si>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</si>
  <si>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</si>
  <si>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</si>
  <si>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</si>
  <si>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</si>
  <si>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</si>
  <si>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</si>
  <si>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</si>
  <si>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</si>
  <si>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</si>
  <si>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</si>
  <si>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</si>
  <si>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</si>
  <si>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</si>
  <si>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</si>
  <si>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</si>
  <si>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</si>
  <si>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</si>
  <si>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</si>
  <si>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</si>
  <si>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</si>
  <si>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</si>
  <si>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</si>
  <si>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</si>
  <si>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</si>
  <si>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</si>
  <si>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</si>
  <si>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</si>
  <si>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</si>
  <si>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</si>
  <si>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</si>
  <si>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</si>
  <si>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</si>
  <si>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</si>
  <si>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</si>
  <si>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303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</si>
  <si>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</si>
  <si>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</si>
  <si>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</si>
  <si>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</si>
  <si>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</si>
  <si>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</si>
  <si>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</si>
  <si>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</si>
  <si>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</si>
  <si>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</si>
  <si>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</si>
  <si>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</si>
  <si>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</si>
  <si>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</si>
  <si>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</si>
  <si>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</si>
  <si>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</si>
  <si>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</si>
  <si>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</si>
  <si>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</si>
  <si>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</si>
  <si>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</si>
  <si>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</si>
  <si>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</si>
  <si>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</si>
  <si>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</si>
  <si>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</si>
  <si>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</si>
  <si>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</si>
  <si>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</si>
  <si>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</si>
  <si>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</si>
  <si>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</si>
  <si>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</si>
  <si>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</si>
  <si>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</si>
  <si>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</si>
  <si>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</si>
  <si>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</si>
  <si>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</si>
  <si>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</si>
  <si>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</si>
  <si>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</si>
  <si>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</si>
  <si>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332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</si>
  <si>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</si>
  <si>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</si>
  <si>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</si>
  <si>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</si>
  <si>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</si>
  <si>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</si>
  <si>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</si>
  <si>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</si>
  <si>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</si>
  <si>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</si>
  <si>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</si>
  <si>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</si>
  <si>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</si>
  <si>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</si>
  <si>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</si>
  <si>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</si>
  <si>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</si>
  <si>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</si>
  <si>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</si>
  <si>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</si>
  <si>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</si>
  <si>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</si>
  <si>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</si>
  <si>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</si>
  <si>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</si>
  <si>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</si>
  <si>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</si>
  <si>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</si>
  <si>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</si>
  <si>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</si>
  <si>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</si>
  <si>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</si>
  <si>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</si>
  <si>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</si>
  <si>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</si>
  <si>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</si>
  <si>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</si>
  <si>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</si>
  <si>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</si>
  <si>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</si>
  <si>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</si>
  <si>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</si>
  <si>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</si>
  <si>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</si>
  <si>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</si>
  <si>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</si>
  <si>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</si>
  <si>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</si>
  <si>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</si>
  <si>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</si>
  <si>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</si>
  <si>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</si>
  <si>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</si>
  <si>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</si>
  <si>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</si>
  <si>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</si>
  <si>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</si>
  <si>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</si>
  <si>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</si>
  <si>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</si>
  <si>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</si>
  <si>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</si>
  <si>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</si>
  <si>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</si>
  <si>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</si>
  <si>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</si>
  <si>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</si>
  <si>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</si>
  <si>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</si>
  <si>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</si>
  <si>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</si>
  <si>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</si>
  <si>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</si>
  <si>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</si>
  <si>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</si>
  <si>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</si>
  <si>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</si>
  <si>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</si>
  <si>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</si>
  <si>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</si>
  <si>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</si>
  <si>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</si>
  <si>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</si>
  <si>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</si>
  <si>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</si>
  <si>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</si>
  <si>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</si>
  <si>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</si>
  <si>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</si>
  <si>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</si>
  <si>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</si>
  <si>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</si>
  <si>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</si>
  <si>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</si>
  <si>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</si>
  <si>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</si>
  <si>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</si>
  <si>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</si>
  <si>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</si>
  <si>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</si>
  <si>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</si>
  <si>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</si>
  <si>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</si>
  <si>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</si>
  <si>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</si>
  <si>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</si>
  <si>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</si>
  <si>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</si>
  <si>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</si>
  <si>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</si>
  <si>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</si>
  <si>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</si>
  <si>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</si>
  <si>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</si>
  <si>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</si>
  <si>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</si>
  <si>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</si>
  <si>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</si>
  <si>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</si>
  <si>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</si>
  <si>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</si>
  <si>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</si>
  <si>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</si>
  <si>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GM687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</si>
  <si>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</si>
  <si>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</si>
  <si>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</si>
  <si>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</si>
  <si>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</si>
  <si>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</si>
  <si>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</si>
  <si>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</si>
  <si>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</si>
  <si>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</si>
  <si>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</si>
  <si>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</si>
  <si>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</si>
  <si>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</si>
  <si>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</si>
  <si>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</si>
  <si>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</si>
  <si>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</si>
  <si>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</si>
  <si>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</si>
  <si>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</si>
  <si>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</si>
  <si>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</si>
  <si>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</si>
  <si>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</si>
  <si>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</si>
  <si>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</si>
  <si>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</si>
  <si>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</si>
  <si>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</si>
  <si>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</si>
  <si>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</si>
  <si>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</si>
  <si>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</si>
  <si>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</si>
  <si>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</si>
  <si>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</si>
  <si>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</si>
  <si>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</si>
  <si>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</si>
  <si>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</si>
  <si>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</si>
  <si>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</si>
  <si>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</si>
  <si>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</si>
  <si>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</si>
  <si>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</si>
  <si>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</si>
  <si>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</si>
  <si>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</si>
  <si>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</si>
  <si>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</si>
  <si>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</si>
  <si>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</si>
  <si>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</si>
  <si>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</si>
  <si>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</si>
  <si>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</si>
  <si>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</si>
  <si>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</si>
  <si>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</si>
  <si>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</si>
  <si>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</si>
  <si>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</si>
  <si>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</si>
  <si>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</si>
  <si>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</si>
  <si>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</si>
  <si>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</si>
  <si>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</si>
  <si>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</si>
  <si>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</si>
  <si>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</si>
  <si>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</si>
  <si>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</si>
  <si>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</si>
  <si>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</si>
  <si>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</si>
  <si>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</si>
  <si>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</si>
  <si>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</si>
  <si>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</si>
  <si>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</si>
  <si>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</si>
  <si>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</si>
  <si>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</si>
  <si>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</si>
  <si>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</si>
  <si>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</si>
  <si>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</si>
  <si>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</si>
  <si>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</si>
  <si>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</si>
  <si>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</si>
  <si>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</si>
  <si>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</si>
  <si>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</si>
  <si>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</si>
  <si>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</si>
  <si>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</si>
  <si>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</si>
  <si>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</si>
  <si>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</si>
  <si>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</si>
  <si>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</si>
  <si>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</si>
  <si>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</si>
  <si>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</si>
  <si>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</si>
  <si>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</si>
  <si>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</si>
  <si>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</si>
  <si>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</si>
  <si>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</si>
  <si>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</si>
  <si>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</si>
  <si>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</si>
  <si>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</si>
  <si>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</si>
  <si>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</si>
  <si>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</si>
  <si>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</si>
  <si>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</si>
  <si>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</si>
  <si>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</si>
  <si>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</si>
  <si>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</si>
  <si>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</si>
  <si>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</si>
  <si>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</si>
  <si>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</si>
  <si>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</si>
  <si>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</si>
  <si>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</si>
  <si>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</si>
  <si>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</si>
  <si>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契約補名（</t>
    </r>
    <r>
      <rPr>
        <b val="true"/>
        <sz val="10"/>
        <rFont val="Arial"/>
        <family val="0"/>
        <charset val="1"/>
      </rPr>
      <t xml:space="preserve">v14.0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4-3B Q2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18 </t>
    </r>
    <r>
      <rPr>
        <b val="true"/>
        <sz val="10"/>
        <rFont val="Noto Sans CJK SC"/>
        <family val="2"/>
      </rPr>
      <t xml:space="preserve">個名稱中的 </t>
    </r>
    <r>
      <rPr>
        <b val="true"/>
        <sz val="10"/>
        <rFont val="Arial"/>
        <family val="0"/>
        <charset val="1"/>
      </rPr>
      <t xml:space="preserve">11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名稱；其餘 </t>
    </r>
    <r>
      <rPr>
        <b val="true"/>
        <sz val="10"/>
        <rFont val="Arial"/>
        <family val="0"/>
        <charset val="1"/>
      </rPr>
      <t xml:space="preserve">7 </t>
    </r>
    <r>
      <rPr>
        <b val="true"/>
        <sz val="10"/>
        <rFont val="Noto Sans CJK SC"/>
        <family val="2"/>
      </rPr>
      <t xml:space="preserve">個 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序列名稱在 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（見下游契約文件）。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 </t>
    </r>
    <r>
      <rPr>
        <b val="true"/>
        <sz val="10"/>
        <rFont val="Noto Sans CJK SC"/>
        <family val="2"/>
      </rPr>
      <t xml:space="preserve">是模型層級（低／中／頂），不是世代；欄＝世代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成本情境（任務別列：欄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任務）。每列標明層級與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類型；『混合』＝該值本身是跨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類型的混合比值，不能拆回單一類型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</si>
  <si>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（欄 </t>
    </r>
    <r>
      <rPr>
        <sz val="10"/>
        <color rgb="FF000000"/>
        <rFont val="Arial"/>
        <family val="0"/>
        <charset val="1"/>
      </rPr>
      <t xml:space="preserve">C–G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任務，同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IF_HdrTask</t>
    </r>
    <r>
      <rPr>
        <sz val="10"/>
        <color rgb="FF000000"/>
        <rFont val="Noto Sans CJK SC"/>
        <family val="2"/>
      </rPr>
      <t xml:space="preserve">；任務別，非模型層級；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：新鮮輸入＋快取輸入＋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，混合）　</t>
    </r>
    <r>
      <rPr>
        <sz val="10"/>
        <color rgb="FF000000"/>
        <rFont val="Arial"/>
        <family val="0"/>
        <charset val="1"/>
      </rPr>
      <t xml:space="preserve">[IF_TaskTokMult]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</si>
  <si>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</si>
  <si>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</si>
  <si>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</si>
  <si>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[IF_GMDefault_Luna]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</si>
  <si>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[IF_TrainFLOP_Sol]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</si>
  <si>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[IF_TrainInferShare_Sol]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</si>
  <si>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</si>
  <si>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層級；單一模型；預訓練側＋後訓練＋合成資料＋評測；訓練側，無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類型；不隨成本情境變動）　</t>
    </r>
    <r>
      <rPr>
        <sz val="10"/>
        <color rgb="FF000000"/>
        <rFont val="Arial"/>
        <family val="0"/>
        <charset val="1"/>
      </rPr>
      <t xml:space="preserve">[IF_TrainFLOP_Astra]</t>
    </r>
  </si>
  <si>
    <r>
      <rPr>
        <sz val="10"/>
        <color rgb="FF000000"/>
        <rFont val="Noto Sans CJK SC"/>
        <family val="2"/>
      </rPr>
      <t xml:space="preserve">推論型占最終訓練（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等推論型工作占最終訓練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小時；訓練側，無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類型）　</t>
    </r>
    <r>
      <rPr>
        <sz val="10"/>
        <color rgb="FF000000"/>
        <rFont val="Arial"/>
        <family val="0"/>
        <charset val="1"/>
      </rPr>
      <t xml:space="preserve">[IF_TrainInferShare_Astra]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</si>
  <si>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層級；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全成本口徑；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混合：新鮮輸入＋快取輸入＋輸出）　</t>
    </r>
    <r>
      <rPr>
        <sz val="10"/>
        <color rgb="FF000000"/>
        <rFont val="Arial"/>
        <family val="0"/>
        <charset val="1"/>
      </rPr>
      <t xml:space="preserve">[IF_GMDefault_Astra]</t>
    </r>
  </si>
  <si>
    <r>
      <rPr>
        <sz val="10"/>
        <color rgb="FF000000"/>
        <rFont val="Noto Sans CJK SC"/>
        <family val="2"/>
      </rPr>
      <t xml:space="preserve">攤提占付費營收（</t>
    </r>
    <r>
      <rPr>
        <sz val="10"/>
        <color rgb="FF000000"/>
        <rFont val="Arial"/>
        <family val="0"/>
        <charset val="1"/>
      </rPr>
      <t xml:space="preserve">K6 (d) </t>
    </r>
    <r>
      <rPr>
        <sz val="10"/>
        <color rgb="FF000000"/>
        <rFont val="Noto Sans CJK SC"/>
        <family val="2"/>
      </rPr>
      <t xml:space="preserve">口徑：由上而下年化總額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有效單價，可達層級）；各層級相同；營收類型＝付費營收，混合）　</t>
    </r>
    <r>
      <rPr>
        <sz val="10"/>
        <color rgb="FF000000"/>
        <rFont val="Arial"/>
        <family val="0"/>
        <charset val="1"/>
      </rPr>
      <t xml:space="preserve">[IF_AmortRevShare]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</si>
  <si>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</si>
  <si>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</si>
  <si>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</si>
  <si>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</si>
  <si>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</si>
  <si>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</si>
  <si>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</si>
  <si>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</si>
  <si>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</si>
  <si>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</si>
  <si>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</si>
  <si>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</si>
  <si>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</si>
  <si>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</si>
  <si>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</si>
  <si>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</si>
  <si>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</si>
  <si>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</si>
  <si>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</si>
  <si>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</si>
  <si>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</si>
  <si>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</si>
  <si>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</si>
  <si>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</si>
  <si>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</si>
  <si>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</si>
  <si>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</si>
  <si>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</si>
  <si>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</si>
  <si>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</si>
  <si>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</si>
  <si>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</si>
  <si>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</si>
  <si>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</si>
  <si>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</si>
  <si>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</si>
  <si>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</si>
  <si>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</si>
  <si>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</si>
  <si>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</si>
  <si>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</si>
  <si>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</si>
  <si>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</si>
  <si>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</si>
  <si>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</si>
  <si>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</si>
  <si>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</si>
  <si>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</si>
  <si>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</si>
  <si>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</si>
  <si>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</si>
  <si>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</si>
  <si>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</si>
  <si>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</si>
  <si>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</si>
  <si>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</si>
  <si>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</si>
  <si>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</si>
  <si>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</si>
  <si>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</si>
  <si>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</si>
  <si>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</si>
  <si>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</si>
  <si>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</si>
  <si>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</si>
  <si>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</si>
  <si>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</si>
  <si>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</si>
  <si>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</si>
  <si>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</si>
  <si>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</si>
  <si>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</si>
  <si>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</si>
  <si>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</si>
  <si>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</si>
  <si>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</si>
  <si>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</si>
  <si>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</si>
  <si>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</si>
  <si>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</si>
  <si>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</si>
  <si>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</si>
  <si>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</si>
  <si>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</si>
  <si>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</si>
  <si>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</si>
  <si>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</si>
  <si>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</si>
  <si>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</si>
  <si>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</si>
  <si>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</si>
  <si>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</si>
  <si>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</si>
  <si>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</si>
  <si>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</si>
  <si>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</si>
  <si>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</si>
  <si>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</si>
  <si>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</si>
  <si>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</si>
  <si>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</si>
  <si>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</si>
  <si>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</si>
  <si>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</si>
  <si>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</si>
  <si>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</si>
  <si>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</si>
  <si>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</si>
  <si>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</si>
  <si>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</si>
  <si>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</si>
  <si>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</si>
  <si>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</si>
  <si>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</si>
  <si>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</si>
  <si>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</si>
  <si>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</si>
  <si>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</si>
  <si>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</si>
  <si>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</si>
  <si>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</si>
  <si>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</si>
  <si>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</si>
  <si>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</si>
  <si>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</si>
  <si>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</si>
  <si>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</si>
  <si>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</si>
  <si>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</si>
  <si>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</si>
  <si>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</si>
  <si>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</si>
  <si>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</si>
  <si>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</si>
  <si>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</si>
  <si>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 ｜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N30 </t>
    </r>
    <r>
      <rPr>
        <sz val="10"/>
        <color rgb="FF000000"/>
        <rFont val="Noto Sans CJK SC"/>
        <family val="2"/>
      </rPr>
      <t xml:space="preserve">已直接引用 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隨需牌價，每實例）；「</t>
    </r>
    <r>
      <rPr>
        <sz val="10"/>
        <color rgb="FF000000"/>
        <rFont val="Arial"/>
        <family val="0"/>
        <charset val="1"/>
      </rPr>
      <t xml:space="preserve">÷ 4</t>
    </r>
    <r>
      <rPr>
        <sz val="10"/>
        <color rgb="FF000000"/>
        <rFont val="Noto Sans CJK SC"/>
        <family val="2"/>
      </rPr>
      <t xml:space="preserve">」＝該實例的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數（物理慣例，不外露）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</si>
  <si>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</si>
  <si>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</si>
  <si>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</si>
  <si>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</si>
  <si>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</si>
  <si>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</si>
  <si>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</si>
  <si>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</si>
  <si>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</si>
  <si>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</si>
  <si>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</si>
  <si>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</si>
  <si>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</si>
  <si>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</si>
  <si>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</si>
  <si>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</si>
  <si>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</si>
  <si>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</si>
  <si>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</si>
  <si>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</si>
  <si>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</si>
  <si>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</si>
  <si>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</si>
  <si>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</si>
  <si>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</si>
  <si>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</si>
  <si>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</si>
  <si>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</si>
  <si>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</si>
  <si>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</si>
  <si>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</si>
  <si>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</si>
  <si>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</si>
  <si>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</si>
  <si>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</si>
  <si>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</si>
  <si>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</si>
  <si>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</si>
  <si>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</si>
  <si>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</si>
  <si>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</si>
  <si>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</si>
  <si>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</si>
  <si>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</si>
  <si>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</si>
  <si>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</si>
  <si>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</si>
  <si>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</si>
  <si>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</si>
  <si>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</si>
  <si>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</si>
  <si>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</si>
  <si>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</si>
  <si>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</si>
  <si>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</si>
  <si>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</si>
  <si>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</si>
  <si>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</si>
  <si>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</si>
  <si>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</si>
  <si>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</si>
  <si>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</si>
  <si>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</si>
  <si>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</si>
  <si>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</si>
  <si>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</si>
  <si>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</si>
  <si>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</si>
  <si>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</si>
  <si>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</si>
  <si>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</si>
  <si>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</si>
  <si>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</si>
  <si>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</si>
  <si>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</si>
  <si>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</si>
  <si>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</si>
  <si>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</si>
  <si>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</si>
  <si>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</si>
  <si>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</si>
  <si>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</si>
  <si>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</si>
  <si>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</si>
  <si>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</si>
  <si>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</si>
  <si>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</si>
  <si>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</si>
  <si>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</si>
  <si>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</si>
  <si>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</si>
  <si>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</si>
  <si>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</si>
  <si>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</si>
  <si>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</si>
  <si>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</si>
  <si>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</si>
  <si>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</si>
  <si>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</si>
  <si>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</si>
  <si>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</si>
  <si>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</si>
  <si>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</si>
  <si>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</si>
  <si>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</si>
  <si>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</si>
  <si>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</si>
  <si>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</si>
  <si>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</si>
  <si>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</si>
  <si>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</si>
  <si>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</si>
  <si>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</si>
  <si>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</si>
  <si>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</si>
  <si>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</si>
  <si>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</si>
  <si>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</si>
  <si>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</si>
  <si>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</si>
  <si>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</si>
  <si>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</si>
  <si>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</si>
  <si>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</si>
  <si>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</si>
  <si>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</si>
  <si>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</si>
  <si>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</si>
  <si>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</si>
  <si>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</si>
  <si>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</si>
  <si>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</si>
  <si>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</si>
  <si>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</si>
  <si>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</si>
  <si>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</si>
  <si>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</si>
  <si>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</si>
  <si>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</si>
  <si>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</si>
  <si>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</si>
  <si>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</si>
  <si>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</si>
  <si>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</si>
  <si>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</si>
  <si>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</si>
  <si>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</si>
  <si>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</si>
  <si>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</si>
  <si>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</si>
  <si>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</si>
  <si>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</si>
  <si>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</si>
  <si>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</si>
  <si>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</si>
  <si>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</si>
  <si>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</si>
  <si>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</si>
  <si>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</si>
  <si>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</si>
  <si>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</si>
  <si>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</si>
  <si>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</si>
  <si>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</si>
  <si>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</si>
  <si>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</si>
  <si>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</si>
  <si>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</si>
  <si>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</si>
  <si>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</si>
  <si>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</si>
  <si>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</si>
  <si>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</si>
  <si>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</si>
  <si>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</si>
  <si>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</si>
  <si>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</si>
  <si>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</si>
  <si>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</si>
  <si>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</si>
  <si>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</si>
  <si>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</si>
  <si>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</si>
  <si>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</si>
  <si>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</si>
  <si>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</si>
  <si>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</si>
  <si>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</si>
  <si>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</si>
  <si>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</si>
  <si>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</si>
  <si>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</si>
  <si>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</si>
  <si>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</si>
  <si>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</si>
  <si>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</si>
  <si>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</si>
  <si>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</si>
  <si>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</si>
  <si>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</si>
  <si>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</si>
  <si>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</si>
  <si>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</si>
  <si>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</si>
  <si>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</si>
  <si>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</si>
  <si>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</si>
  <si>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</si>
  <si>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</si>
  <si>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</si>
  <si>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</si>
  <si>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</si>
  <si>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</si>
  <si>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</si>
  <si>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</si>
  <si>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</si>
  <si>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</si>
  <si>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</si>
  <si>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</si>
  <si>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</si>
  <si>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</si>
  <si>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</si>
  <si>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</si>
  <si>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</si>
  <si>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</si>
  <si>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</si>
  <si>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</si>
  <si>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</si>
  <si>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</si>
  <si>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</si>
  <si>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</si>
  <si>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</si>
  <si>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</si>
  <si>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</si>
  <si>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</si>
  <si>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</si>
  <si>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</si>
  <si>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</si>
  <si>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</si>
  <si>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</si>
  <si>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</si>
  <si>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</si>
  <si>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</si>
  <si>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</si>
  <si>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</si>
  <si>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</si>
  <si>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</si>
  <si>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</si>
  <si>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</si>
  <si>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</si>
  <si>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</si>
  <si>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</si>
  <si>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</si>
  <si>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</si>
  <si>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</si>
  <si>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</si>
  <si>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</si>
  <si>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</si>
  <si>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</si>
  <si>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</si>
  <si>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</si>
  <si>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</si>
  <si>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</si>
  <si>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</si>
  <si>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</si>
  <si>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</si>
  <si>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</si>
  <si>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</si>
  <si>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</si>
  <si>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</si>
  <si>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</si>
  <si>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</si>
  <si>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</si>
  <si>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</si>
  <si>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</si>
  <si>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</si>
  <si>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</si>
  <si>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</si>
  <si>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</si>
  <si>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</si>
  <si>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</si>
  <si>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</si>
  <si>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</si>
  <si>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</si>
  <si>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</si>
  <si>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</si>
  <si>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</si>
  <si>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</si>
  <si>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</si>
  <si>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</si>
  <si>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</si>
  <si>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I68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</si>
  <si>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</si>
  <si>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</si>
  <si>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</si>
  <si>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</si>
  <si>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</si>
  <si>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</si>
  <si>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</si>
  <si>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</si>
  <si>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</si>
  <si>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I69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</si>
  <si>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</si>
  <si>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</si>
  <si>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</si>
  <si>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</si>
  <si>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推出），不作為放寬輸入區間的證據；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區間不動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</si>
  <si>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</si>
  <si>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</si>
  <si>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</si>
  <si>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</si>
  <si>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</si>
  <si>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</si>
  <si>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</si>
  <si>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</si>
  <si>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</si>
  <si>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</si>
  <si>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</si>
  <si>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</si>
  <si>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</si>
  <si>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I71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</si>
  <si>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</si>
  <si>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</si>
  <si>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</si>
  <si>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</si>
  <si>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</si>
  <si>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</si>
  <si>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</si>
  <si>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</si>
  <si>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</si>
  <si>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</si>
  <si>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</si>
  <si>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</si>
  <si>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</si>
  <si>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</si>
  <si>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</si>
  <si>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</si>
  <si>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</si>
  <si>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</si>
  <si>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</si>
  <si>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</si>
  <si>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</si>
  <si>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</si>
  <si>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</si>
  <si>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</si>
  <si>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</si>
  <si>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</si>
  <si>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</si>
  <si>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</si>
  <si>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</si>
  <si>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</si>
  <si>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</si>
  <si>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</si>
  <si>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</si>
  <si>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</si>
  <si>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</si>
  <si>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</si>
  <si>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</si>
  <si>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</si>
  <si>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</si>
  <si>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</si>
  <si>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</si>
  <si>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</si>
  <si>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</si>
  <si>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</si>
  <si>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</si>
  <si>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</si>
  <si>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</si>
  <si>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</si>
  <si>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</si>
  <si>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</si>
  <si>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</si>
  <si>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</si>
  <si>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</si>
  <si>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</si>
  <si>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</si>
  <si>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</si>
  <si>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</si>
  <si>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</si>
  <si>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</si>
  <si>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</si>
  <si>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</si>
  <si>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</si>
  <si>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</si>
  <si>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</si>
  <si>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</si>
  <si>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</si>
  <si>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</si>
  <si>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</si>
  <si>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</si>
  <si>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</si>
  <si>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</si>
  <si>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</si>
  <si>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</si>
  <si>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</si>
  <si>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</si>
  <si>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</si>
  <si>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</si>
  <si>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</si>
  <si>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</si>
  <si>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</si>
  <si>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</si>
  <si>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</si>
  <si>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</si>
  <si>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</si>
  <si>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</si>
  <si>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</si>
  <si>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</si>
  <si>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</si>
  <si>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</si>
  <si>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</si>
  <si>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</si>
  <si>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</si>
  <si>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</si>
  <si>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</si>
  <si>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</si>
  <si>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</si>
  <si>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</si>
  <si>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</si>
  <si>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</si>
  <si>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</si>
  <si>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</si>
  <si>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</si>
  <si>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</si>
  <si>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</si>
  <si>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</si>
  <si>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</si>
  <si>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</si>
  <si>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</si>
  <si>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</si>
  <si>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</si>
  <si>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</si>
  <si>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</si>
  <si>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</si>
  <si>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</si>
  <si>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</si>
  <si>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</si>
  <si>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</si>
  <si>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</si>
  <si>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</si>
  <si>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</si>
  <si>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</si>
  <si>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</si>
  <si>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</si>
  <si>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</si>
  <si>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</si>
  <si>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</si>
  <si>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</si>
  <si>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</si>
  <si>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</si>
  <si>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</si>
  <si>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</si>
  <si>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</si>
  <si>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</si>
  <si>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</si>
  <si>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</si>
  <si>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</si>
  <si>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</si>
  <si>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</si>
  <si>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</si>
  <si>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</si>
  <si>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</si>
  <si>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</si>
  <si>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</si>
  <si>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</si>
  <si>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</si>
  <si>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</si>
  <si>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</si>
  <si>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</si>
  <si>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</si>
  <si>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</si>
  <si>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</si>
  <si>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</si>
  <si>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</si>
  <si>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</si>
  <si>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</si>
  <si>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</si>
  <si>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</si>
  <si>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</si>
  <si>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</si>
  <si>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</si>
  <si>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</si>
  <si>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</si>
  <si>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</si>
  <si>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</si>
  <si>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</si>
  <si>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</si>
  <si>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</si>
  <si>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</si>
  <si>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</si>
  <si>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</si>
  <si>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</si>
  <si>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</si>
  <si>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</si>
  <si>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</si>
  <si>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</si>
  <si>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</si>
  <si>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</si>
  <si>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</si>
  <si>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</si>
  <si>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</si>
  <si>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</si>
  <si>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</si>
  <si>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</si>
  <si>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</si>
  <si>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</si>
  <si>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</si>
  <si>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</si>
  <si>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</si>
  <si>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</si>
  <si>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</si>
  <si>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</si>
  <si>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</si>
  <si>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</si>
  <si>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</si>
  <si>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</si>
  <si>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</si>
  <si>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</si>
  <si>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</si>
  <si>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</si>
  <si>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</si>
  <si>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</si>
  <si>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</si>
  <si>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</si>
  <si>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</si>
  <si>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</si>
  <si>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</si>
  <si>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</si>
  <si>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</si>
  <si>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</si>
  <si>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</si>
  <si>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</si>
  <si>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</si>
  <si>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</si>
  <si>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</si>
  <si>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</si>
  <si>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</si>
  <si>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</si>
  <si>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</si>
  <si>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</si>
  <si>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</si>
  <si>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</si>
  <si>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</si>
  <si>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</si>
  <si>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</si>
  <si>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</si>
  <si>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</si>
  <si>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</si>
  <si>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</si>
  <si>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</si>
  <si>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</si>
  <si>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</si>
  <si>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</si>
  <si>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</si>
  <si>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</si>
  <si>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</si>
  <si>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</si>
  <si>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</si>
  <si>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</si>
  <si>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</si>
  <si>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</si>
  <si>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</si>
  <si>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</si>
  <si>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</si>
  <si>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</si>
  <si>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</si>
  <si>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</si>
  <si>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</si>
  <si>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</si>
  <si>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</si>
  <si>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</si>
  <si>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</si>
  <si>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</si>
  <si>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</si>
  <si>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</si>
  <si>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</si>
  <si>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</si>
  <si>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</si>
  <si>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</si>
  <si>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</si>
  <si>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</si>
  <si>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</si>
  <si>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</si>
  <si>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</si>
  <si>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</si>
  <si>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</si>
  <si>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</si>
  <si>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</si>
  <si>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</si>
  <si>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</si>
  <si>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</si>
  <si>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</si>
  <si>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</si>
  <si>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</si>
  <si>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</si>
  <si>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</si>
  <si>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</si>
  <si>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</si>
  <si>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I102</t>
    </r>
    <r>
      <rPr>
        <sz val="9"/>
        <color rgb="FF595959"/>
        <rFont val="Noto Sans CJK SC"/>
        <family val="2"/>
      </rPr>
      <t xml:space="preserve">（說明欄動態文字公式（</t>
    </r>
    <r>
      <rPr>
        <sz val="9"/>
        <color rgb="FF595959"/>
        <rFont val="Arial"/>
        <family val="0"/>
        <charset val="1"/>
      </rPr>
      <t xml:space="preserve">TEXT() </t>
    </r>
    <r>
      <rPr>
        <sz val="9"/>
        <color rgb="FF595959"/>
        <rFont val="Noto Sans CJK SC"/>
        <family val="2"/>
      </rPr>
      <t xml:space="preserve">帶出現值，取代寫死的過時數字；原則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））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</si>
  <si>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</si>
  <si>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</si>
  <si>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</si>
  <si>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</si>
  <si>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</si>
  <si>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</si>
  <si>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</si>
  <si>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</si>
  <si>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</si>
  <si>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</si>
  <si>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</si>
  <si>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</si>
  <si>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</si>
  <si>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</si>
  <si>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</si>
  <si>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</si>
  <si>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</si>
  <si>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</si>
  <si>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</si>
  <si>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</si>
  <si>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</si>
  <si>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</si>
  <si>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</si>
  <si>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</si>
  <si>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</si>
  <si>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</si>
  <si>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</si>
  <si>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</si>
  <si>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</si>
  <si>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</si>
  <si>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</si>
  <si>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</si>
  <si>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</si>
  <si>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</si>
  <si>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</si>
  <si>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</si>
  <si>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</si>
  <si>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</si>
  <si>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</si>
  <si>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</si>
  <si>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</si>
  <si>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</si>
  <si>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</si>
  <si>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</si>
  <si>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</si>
  <si>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</si>
  <si>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</si>
  <si>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</si>
  <si>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</si>
  <si>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</si>
  <si>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</si>
  <si>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</si>
  <si>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</si>
  <si>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</si>
  <si>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</si>
  <si>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</si>
  <si>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</si>
  <si>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</si>
  <si>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</si>
  <si>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</si>
  <si>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</si>
  <si>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</si>
  <si>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</si>
  <si>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</si>
  <si>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</si>
  <si>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</si>
  <si>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</si>
  <si>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</si>
  <si>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</si>
  <si>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</si>
  <si>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</si>
  <si>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</si>
  <si>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</si>
  <si>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</si>
  <si>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</si>
  <si>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</si>
  <si>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</si>
  <si>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</si>
  <si>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</si>
  <si>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</si>
  <si>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</si>
  <si>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</si>
  <si>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</si>
  <si>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</si>
  <si>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</si>
  <si>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</si>
  <si>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</si>
  <si>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</si>
  <si>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</si>
  <si>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</si>
  <si>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</si>
  <si>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</si>
  <si>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</si>
  <si>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</si>
  <si>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</si>
  <si>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</si>
  <si>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</si>
  <si>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</si>
  <si>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</si>
  <si>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</si>
  <si>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</si>
  <si>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</si>
  <si>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</si>
  <si>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</si>
  <si>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</si>
  <si>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</si>
  <si>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</si>
  <si>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</si>
  <si>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</si>
  <si>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</si>
  <si>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</si>
  <si>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</si>
  <si>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</si>
  <si>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</si>
  <si>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</si>
  <si>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</si>
  <si>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</si>
  <si>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</si>
  <si>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</si>
  <si>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</si>
  <si>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</si>
  <si>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</si>
  <si>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</si>
  <si>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</si>
  <si>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</si>
  <si>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</si>
  <si>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</si>
  <si>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</si>
  <si>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</si>
  <si>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</si>
  <si>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</si>
  <si>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</si>
  <si>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</si>
  <si>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</si>
  <si>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</si>
  <si>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</si>
  <si>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</si>
  <si>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</si>
  <si>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</si>
  <si>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</si>
  <si>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</si>
  <si>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</si>
  <si>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</si>
  <si>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</si>
  <si>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</si>
  <si>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</si>
  <si>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</si>
  <si>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</si>
  <si>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</si>
  <si>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</si>
  <si>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</si>
  <si>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Calib!C156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GM687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</si>
  <si>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</si>
  <si>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</si>
  <si>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</si>
  <si>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</si>
  <si>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</si>
  <si>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</si>
  <si>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</si>
  <si>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</si>
  <si>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</si>
  <si>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</si>
  <si>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</si>
  <si>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</si>
  <si>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</si>
  <si>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</si>
  <si>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</si>
  <si>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</si>
  <si>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</si>
  <si>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</si>
  <si>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</si>
  <si>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</si>
  <si>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</si>
  <si>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</si>
  <si>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</si>
  <si>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</si>
  <si>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</si>
  <si>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</si>
  <si>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</si>
  <si>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</si>
  <si>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</si>
  <si>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</si>
  <si>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</si>
  <si>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</si>
  <si>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</si>
  <si>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</si>
  <si>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</si>
  <si>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</si>
  <si>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</si>
  <si>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</si>
  <si>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</si>
  <si>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</si>
  <si>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</si>
  <si>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</si>
  <si>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</si>
  <si>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</si>
  <si>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</si>
  <si>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</si>
  <si>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</si>
  <si>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</si>
  <si>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</si>
  <si>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</si>
  <si>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</si>
  <si>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</si>
  <si>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</si>
  <si>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</si>
  <si>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</si>
  <si>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</si>
  <si>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</si>
  <si>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</si>
  <si>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</si>
  <si>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</si>
  <si>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</si>
  <si>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</si>
  <si>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</si>
  <si>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</si>
  <si>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</si>
  <si>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</si>
  <si>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</si>
  <si>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</si>
  <si>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</si>
  <si>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</si>
  <si>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</si>
  <si>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</si>
  <si>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</si>
  <si>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</si>
  <si>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</si>
  <si>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</si>
  <si>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</si>
  <si>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</si>
  <si>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</si>
  <si>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</si>
  <si>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</si>
  <si>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</si>
  <si>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</si>
  <si>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</si>
  <si>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</si>
  <si>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</si>
  <si>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</si>
  <si>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</si>
  <si>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</si>
  <si>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</si>
  <si>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</si>
  <si>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</si>
  <si>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</si>
  <si>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</si>
  <si>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</si>
  <si>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</si>
  <si>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</si>
  <si>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</si>
  <si>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</si>
  <si>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</si>
  <si>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</si>
  <si>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</si>
  <si>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</si>
  <si>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</si>
  <si>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</si>
  <si>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</si>
  <si>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</si>
  <si>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</si>
  <si>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</si>
  <si>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</si>
  <si>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</si>
  <si>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</si>
  <si>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</si>
  <si>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</si>
  <si>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</si>
  <si>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</si>
  <si>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</si>
  <si>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</si>
  <si>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</si>
  <si>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</si>
  <si>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</si>
  <si>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</si>
  <si>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</si>
  <si>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</si>
  <si>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</si>
  <si>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</si>
  <si>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</si>
  <si>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</si>
  <si>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</si>
  <si>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</si>
  <si>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</si>
  <si>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</si>
  <si>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</si>
  <si>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</si>
  <si>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</si>
  <si>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</si>
  <si>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</si>
  <si>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</si>
  <si>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</si>
  <si>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</si>
  <si>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</si>
  <si>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</si>
  <si>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</si>
  <si>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</si>
  <si>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</si>
  <si>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</si>
  <si>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</si>
  <si>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</si>
  <si>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</si>
  <si>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</si>
  <si>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</si>
  <si>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</si>
  <si>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</si>
  <si>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</si>
  <si>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</si>
  <si>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</si>
  <si>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</si>
  <si>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</si>
  <si>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</si>
  <si>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</si>
  <si>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</si>
  <si>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</si>
  <si>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</si>
  <si>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</si>
  <si>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</si>
  <si>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</si>
  <si>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</si>
  <si>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</si>
  <si>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</si>
  <si>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</si>
  <si>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</si>
  <si>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</si>
  <si>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</si>
  <si>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</si>
  <si>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</si>
  <si>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</si>
  <si>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</si>
  <si>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</si>
  <si>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</si>
  <si>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</si>
  <si>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</si>
  <si>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</si>
  <si>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</si>
  <si>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</si>
  <si>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</si>
  <si>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</si>
  <si>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</si>
  <si>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</si>
  <si>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</si>
  <si>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</si>
  <si>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</si>
  <si>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</si>
  <si>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</si>
  <si>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</si>
  <si>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</si>
  <si>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</si>
  <si>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</si>
  <si>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</si>
  <si>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</si>
  <si>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</si>
  <si>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</si>
  <si>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</si>
  <si>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</si>
  <si>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</si>
  <si>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</si>
  <si>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</si>
  <si>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</si>
  <si>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</si>
  <si>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</si>
  <si>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</si>
  <si>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</si>
  <si>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</si>
  <si>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</si>
  <si>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</si>
  <si>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</si>
  <si>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</si>
  <si>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</si>
  <si>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</si>
  <si>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</si>
  <si>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</si>
  <si>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</si>
  <si>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</si>
  <si>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</si>
  <si>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</si>
  <si>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</si>
  <si>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</si>
  <si>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</si>
  <si>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</si>
  <si>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</si>
  <si>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</si>
  <si>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</si>
  <si>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</si>
  <si>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</si>
  <si>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</si>
  <si>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</si>
  <si>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</si>
  <si>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</si>
  <si>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</si>
  <si>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</si>
  <si>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</si>
  <si>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</si>
  <si>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</si>
  <si>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</si>
  <si>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</si>
  <si>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</si>
  <si>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</si>
  <si>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</si>
  <si>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</si>
  <si>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</si>
  <si>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</si>
  <si>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</si>
  <si>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</si>
  <si>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</si>
  <si>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</si>
  <si>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</si>
  <si>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</si>
  <si>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</si>
  <si>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</si>
  <si>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</si>
  <si>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</si>
  <si>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</si>
  <si>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</si>
  <si>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</si>
  <si>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</si>
  <si>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</si>
  <si>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</si>
  <si>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</si>
  <si>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</si>
  <si>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</si>
  <si>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</si>
  <si>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</si>
  <si>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</si>
  <si>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</si>
  <si>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</si>
  <si>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</si>
  <si>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</si>
  <si>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</si>
  <si>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</si>
  <si>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</si>
  <si>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</si>
  <si>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</si>
  <si>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</si>
  <si>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</si>
  <si>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</si>
  <si>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</si>
  <si>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</si>
  <si>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</si>
  <si>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</si>
  <si>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</si>
  <si>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</si>
  <si>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</si>
  <si>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</si>
  <si>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</si>
  <si>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</si>
  <si>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</si>
  <si>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</si>
  <si>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</si>
  <si>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</si>
  <si>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</si>
  <si>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</si>
  <si>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</si>
  <si>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</si>
  <si>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</si>
  <si>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</si>
  <si>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</si>
  <si>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</si>
  <si>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</si>
  <si>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</si>
  <si>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</si>
  <si>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</si>
  <si>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</si>
  <si>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</si>
  <si>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</si>
  <si>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結構選擇（無數值區間）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</si>
  <si>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</si>
  <si>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</si>
  <si>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</si>
  <si>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</si>
  <si>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</si>
  <si>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</si>
  <si>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RG3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</si>
  <si>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</si>
  <si>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</si>
  <si>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</si>
  <si>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</si>
  <si>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</si>
  <si>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列（服務世代組合合計；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SUM(AL_MixGen)</t>
    </r>
    <r>
      <rPr>
        <sz val="9"/>
        <color rgb="FF595959"/>
        <rFont val="Noto Sans CJK SC"/>
        <family val="2"/>
      </rPr>
      <t xml:space="preserve">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</si>
  <si>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</si>
  <si>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</si>
  <si>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</si>
  <si>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</si>
  <si>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</si>
  <si>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</si>
  <si>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</si>
  <si>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</si>
  <si>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</si>
  <si>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</si>
  <si>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</si>
  <si>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</si>
  <si>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</si>
  <si>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</si>
  <si>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</si>
  <si>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</si>
  <si>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</si>
  <si>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R6:R344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</si>
  <si>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</si>
  <si>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</si>
  <si>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</si>
  <si>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</si>
  <si>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</si>
  <si>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</si>
  <si>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</si>
  <si>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</si>
  <si>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</si>
  <si>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</si>
  <si>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</si>
  <si>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</si>
  <si>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</si>
  <si>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</si>
  <si>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</si>
  <si>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</si>
  <si>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</si>
  <si>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</si>
  <si>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</si>
  <si>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</si>
  <si>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</si>
  <si>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</si>
  <si>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</si>
  <si>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</si>
  <si>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</si>
  <si>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</si>
  <si>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</si>
  <si>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</si>
  <si>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</si>
  <si>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</si>
  <si>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</si>
  <si>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</si>
  <si>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</si>
  <si>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</si>
  <si>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</si>
  <si>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</si>
  <si>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</si>
  <si>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</si>
  <si>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</si>
  <si>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</si>
  <si>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33 </t>
    </r>
    <r>
      <rPr>
        <sz val="9"/>
        <color rgb="FF595959"/>
        <rFont val="Noto Sans CJK SC"/>
        <family val="2"/>
      </rPr>
      <t xml:space="preserve">列（研發世代組合合計；</t>
    </r>
    <r>
      <rPr>
        <sz val="9"/>
        <color rgb="FF595959"/>
        <rFont val="Arial"/>
        <family val="0"/>
        <charset val="1"/>
      </rPr>
      <t xml:space="preserve">C33</t>
    </r>
    <r>
      <rPr>
        <sz val="9"/>
        <color rgb="FF595959"/>
        <rFont val="Noto Sans CJK SC"/>
        <family val="2"/>
      </rPr>
      <t xml:space="preserve">＝四格之和，單一定義；</t>
    </r>
    <r>
      <rPr>
        <sz val="9"/>
        <color rgb="FF595959"/>
        <rFont val="Arial"/>
        <family val="0"/>
        <charset val="1"/>
      </rPr>
      <t xml:space="preserve">v14.0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</si>
  <si>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</si>
  <si>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失敗、警示（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：只用於 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）、—＝不適用（任一側非數字）。</t>
    </r>
    <r>
      <rPr>
        <sz val="9"/>
        <color rgb="FF595959"/>
        <rFont val="Arial"/>
        <family val="0"/>
        <charset val="1"/>
      </rPr>
      <t xml:space="preserve">MLPerf interactive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MLPerf server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V1–V3</t>
    </r>
    <r>
      <rPr>
        <sz val="9"/>
        <color rgb="FF595959"/>
        <rFont val="Noto Sans CJK SC"/>
        <family val="2"/>
      </rPr>
      <t xml:space="preserve">）為軟上限（</t>
    </r>
    <r>
      <rPr>
        <sz val="9"/>
        <color rgb="FF595959"/>
        <rFont val="Arial"/>
        <family val="0"/>
        <charset val="1"/>
      </rPr>
      <t xml:space="preserve">v11.0 G4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v12.0 H1 </t>
    </r>
    <r>
      <rPr>
        <sz val="9"/>
        <color rgb="FF595959"/>
        <rFont val="Noto Sans CJK SC"/>
        <family val="2"/>
      </rPr>
      <t xml:space="preserve">加失敗門檻）：比值 ≤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CHK_SoftCapFail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Calib M </t>
    </r>
    <r>
      <rPr>
        <sz val="9"/>
        <color rgb="FF595959"/>
        <rFont val="Noto Sans CJK SC"/>
        <family val="2"/>
      </rPr>
      <t xml:space="preserve">節）之間判『警示』，不計失敗；</t>
    </r>
    <r>
      <rPr>
        <sz val="9"/>
        <color rgb="FF595959"/>
        <rFont val="Arial"/>
        <family val="0"/>
        <charset val="1"/>
      </rPr>
      <t xml:space="preserve">&gt; CHK_SoftCapFail </t>
    </r>
    <r>
      <rPr>
        <sz val="9"/>
        <color rgb="FF595959"/>
        <rFont val="Noto Sans CJK SC"/>
        <family val="2"/>
      </rPr>
      <t xml:space="preserve">判失敗（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80 ms </t>
    </r>
    <r>
      <rPr>
        <sz val="9"/>
        <color rgb="FF595959"/>
        <rFont val="Noto Sans CJK SC"/>
        <family val="2"/>
      </rPr>
      <t xml:space="preserve">是 </t>
    </r>
    <r>
      <rPr>
        <sz val="9"/>
        <color rgb="FF595959"/>
        <rFont val="Arial"/>
        <family val="0"/>
        <charset val="1"/>
      </rPr>
      <t xml:space="preserve">p99 </t>
    </r>
    <r>
      <rPr>
        <sz val="9"/>
        <color rgb="FF595959"/>
        <rFont val="Noto Sans CJK SC"/>
        <family val="2"/>
      </rPr>
      <t xml:space="preserve">口徑，模型取平均；超過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倍表示模型高估，不再只是口徑差；同條件 </t>
    </r>
    <r>
      <rPr>
        <sz val="9"/>
        <color rgb="FF595959"/>
        <rFont val="Arial"/>
        <family val="0"/>
        <charset val="1"/>
      </rPr>
      <t xml:space="preserve">TensorRT-LLM H200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2.6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V18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V24 </t>
    </r>
    <r>
      <rPr>
        <sz val="9"/>
        <color rgb="FF595959"/>
        <rFont val="Noto Sans CJK SC"/>
        <family val="2"/>
      </rPr>
      <t xml:space="preserve">為恆等式（非驗證，</t>
    </r>
    <r>
      <rPr>
        <sz val="9"/>
        <color rgb="FF595959"/>
        <rFont val="Arial"/>
        <family val="0"/>
        <charset val="1"/>
      </rPr>
      <t xml:space="preserve">v14.1 R2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V20 </t>
    </r>
    <r>
      <rPr>
        <sz val="9"/>
        <color rgb="FF595959"/>
        <rFont val="Noto Sans CJK SC"/>
        <family val="2"/>
      </rPr>
      <t xml:space="preserve">為校準相關（非獨立，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）：這些項目的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欄為文字，不計入驗證項目數；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方向證據，只判方向）｜</t>
    </r>
    <r>
      <rPr>
        <sz val="9"/>
        <color rgb="FF595959"/>
        <rFont val="Arial"/>
        <family val="0"/>
        <charset val="1"/>
      </rPr>
      <t xml:space="preserve">v13.0 K4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Total</t>
    </r>
    <r>
      <rPr>
        <sz val="9"/>
        <color rgb="FF595959"/>
        <rFont val="Noto Sans CJK SC"/>
        <family val="2"/>
      </rPr>
      <t xml:space="preserve">』是結構恆等式（恆等式（非驗證）），不計入驗證項目數；它由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以斷言守護。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</si>
  <si>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</si>
  <si>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欄為數字或『警示』者）｜恆等式（非驗證）：</t>
    </r>
    <r>
      <rPr>
        <b val="true"/>
        <sz val="10"/>
        <rFont val="Arial"/>
        <family val="0"/>
        <charset val="1"/>
      </rPr>
      <t xml:space="preserve">Pass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Fail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是結構恆等式（</t>
    </r>
    <r>
      <rPr>
        <b val="true"/>
        <sz val="10"/>
        <rFont val="Arial"/>
        <family val="0"/>
        <charset val="1"/>
      </rPr>
      <t xml:space="preserve">Fail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COUNT(F)−Pass </t>
    </r>
    <r>
      <rPr>
        <b val="true"/>
        <sz val="10"/>
        <rFont val="Noto Sans CJK SC"/>
        <family val="2"/>
      </rPr>
      <t xml:space="preserve">算出，</t>
    </r>
    <r>
      <rPr>
        <b val="true"/>
        <sz val="10"/>
        <rFont val="Arial"/>
        <family val="0"/>
        <charset val="1"/>
      </rPr>
      <t xml:space="preserve">Total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COUNT(F)</t>
    </r>
    <r>
      <rPr>
        <b val="true"/>
        <sz val="10"/>
        <rFont val="Noto Sans CJK SC"/>
        <family val="2"/>
      </rPr>
      <t xml:space="preserve">＋警示數算出），不能失敗，不是驗證項目，也不在本計數內（</t>
    </r>
    <r>
      <rPr>
        <b val="true"/>
        <sz val="10"/>
        <rFont val="Arial"/>
        <family val="0"/>
        <charset val="1"/>
      </rPr>
      <t xml:space="preserve">v13.0 K4</t>
    </r>
    <r>
      <rPr>
        <b val="true"/>
        <sz val="10"/>
        <rFont val="Noto Sans CJK SC"/>
        <family val="2"/>
      </rPr>
      <t xml:space="preserve">）</t>
    </r>
  </si>
  <si>
    <t xml:space="preserve">VP</t>
  </si>
  <si>
    <t xml:space="preserve">通過</t>
  </si>
  <si>
    <t xml:space="preserve">VF</t>
  </si>
  <si>
    <t xml:space="preserve">失敗</t>
  </si>
  <si>
    <t xml:space="preserve">VW</t>
  </si>
  <si>
    <r>
      <rPr>
        <b val="true"/>
        <sz val="10"/>
        <rFont val="Noto Sans CJK SC"/>
        <family val="2"/>
      </rPr>
      <t xml:space="preserve">警示（</t>
    </r>
    <r>
      <rPr>
        <b val="true"/>
        <sz val="10"/>
        <rFont val="Arial"/>
        <family val="0"/>
        <charset val="1"/>
      </rPr>
      <t xml:space="preserve">MLPerf server </t>
    </r>
    <r>
      <rPr>
        <b val="true"/>
        <sz val="10"/>
        <rFont val="Noto Sans CJK SC"/>
        <family val="2"/>
      </rPr>
      <t xml:space="preserve">軟上限：模型高於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但未超過 </t>
    </r>
    <r>
      <rPr>
        <b val="true"/>
        <sz val="10"/>
        <rFont val="Arial"/>
        <family val="0"/>
        <charset val="1"/>
      </rPr>
      <t xml:space="preserve">CHK_SoftCapFail</t>
    </r>
    <r>
      <rPr>
        <b val="true"/>
        <sz val="10"/>
        <rFont val="Noto Sans CJK SC"/>
        <family val="2"/>
      </rPr>
      <t xml:space="preserve">，不計失敗；</t>
    </r>
    <r>
      <rPr>
        <b val="true"/>
        <sz val="10"/>
        <rFont val="Arial"/>
        <family val="0"/>
        <charset val="1"/>
      </rPr>
      <t xml:space="preserve">v11.0 G4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v12.0 H1</t>
    </r>
    <r>
      <rPr>
        <b val="true"/>
        <sz val="10"/>
        <rFont val="Noto Sans CJK SC"/>
        <family val="2"/>
      </rPr>
      <t xml:space="preserve">）</t>
    </r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</si>
  <si>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</si>
  <si>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</si>
  <si>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</si>
  <si>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</si>
  <si>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失敗／警示／—）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</si>
  <si>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</si>
  <si>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</si>
  <si>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</si>
  <si>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</si>
  <si>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</si>
  <si>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</si>
  <si>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低，上限偏寬）｜</t>
    </r>
    <r>
      <rPr>
        <sz val="9"/>
        <color rgb="FF595959"/>
        <rFont val="Arial"/>
        <family val="0"/>
        <charset val="1"/>
      </rPr>
      <t xml:space="preserve">v13.1 D15</t>
    </r>
    <r>
      <rPr>
        <sz val="9"/>
        <color rgb="FF595959"/>
        <rFont val="Noto Sans CJK SC"/>
        <family val="2"/>
      </rPr>
      <t xml:space="preserve">：對照值未回查（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556 </t>
    </r>
    <r>
      <rPr>
        <sz val="9"/>
        <color rgb="FF595959"/>
        <rFont val="Noto Sans CJK SC"/>
        <family val="2"/>
      </rPr>
      <t xml:space="preserve">待回查：</t>
    </r>
    <r>
      <rPr>
        <sz val="9"/>
        <color rgb="FF595959"/>
        <rFont val="Arial"/>
        <family val="0"/>
        <charset val="1"/>
      </rPr>
      <t xml:space="preserve">MLCommons v5.1 </t>
    </r>
    <r>
      <rPr>
        <sz val="9"/>
        <color rgb="FF595959"/>
        <rFont val="Noto Sans CJK SC"/>
        <family val="2"/>
      </rPr>
      <t xml:space="preserve">原始資料找不到 </t>
    </r>
    <r>
      <rPr>
        <sz val="9"/>
        <color rgb="FF595959"/>
        <rFont val="Arial"/>
        <family val="0"/>
        <charset val="1"/>
      </rPr>
      <t xml:space="preserve">H200 Server 556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2026-10-17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Decisions D15-11</t>
    </r>
    <r>
      <rPr>
        <sz val="9"/>
        <color rgb="FF595959"/>
        <rFont val="Noto Sans CJK SC"/>
        <family val="2"/>
      </rPr>
      <t xml:space="preserve">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</si>
  <si>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</si>
  <si>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</si>
  <si>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</si>
  <si>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</si>
  <si>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（軟上限：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警示；</t>
    </r>
    <r>
      <rPr>
        <sz val="10"/>
        <color rgb="FF000000"/>
        <rFont val="Arial"/>
        <family val="0"/>
        <charset val="1"/>
      </rPr>
      <t xml:space="preserve">&gt; CHK_SoftCapFail </t>
    </r>
    <r>
      <rPr>
        <sz val="10"/>
        <color rgb="FF000000"/>
        <rFont val="Noto Sans CJK SC"/>
        <family val="2"/>
      </rPr>
      <t xml:space="preserve">失敗）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</si>
  <si>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</si>
  <si>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</si>
  <si>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</si>
  <si>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</si>
  <si>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</si>
  <si>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</si>
  <si>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</si>
  <si>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</si>
  <si>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</si>
  <si>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</si>
  <si>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</si>
  <si>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</si>
  <si>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</si>
  <si>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</si>
  <si>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</si>
  <si>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</si>
  <si>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</si>
  <si>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</si>
  <si>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</si>
  <si>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</si>
  <si>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</si>
  <si>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</si>
  <si>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</si>
  <si>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</si>
  <si>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</si>
  <si>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</si>
  <si>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</si>
  <si>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</si>
  <si>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</si>
  <si>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</si>
  <si>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</si>
  <si>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</si>
  <si>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</si>
  <si>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</si>
  <si>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</si>
  <si>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</si>
  <si>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</si>
  <si>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</si>
  <si>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</si>
  <si>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</si>
  <si>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</si>
  <si>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</si>
  <si>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</si>
  <si>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Tech_Registry K </t>
    </r>
    <r>
      <rPr>
        <sz val="10"/>
        <color rgb="FF000000"/>
        <rFont val="Noto Sans CJK SC"/>
        <family val="2"/>
      </rPr>
      <t xml:space="preserve">欄（主流判定）：每一列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＝『主流』與『公開採用實驗室數 </t>
    </r>
    <r>
      <rPr>
        <sz val="10"/>
        <color rgb="FF000000"/>
        <rFont val="Arial"/>
        <family val="0"/>
        <charset val="1"/>
      </rPr>
      <t xml:space="preserve">J ≥ </t>
    </r>
    <r>
      <rPr>
        <sz val="10"/>
        <color rgb="FF000000"/>
        <rFont val="Noto Sans CJK SC"/>
        <family val="2"/>
      </rPr>
      <t xml:space="preserve">門檻（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）』一致——不一致列數＝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【恆等式（非驗證）】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</si>
  <si>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 </t>
    </r>
    <r>
      <rPr>
        <sz val="9"/>
        <color rgb="FF595959"/>
        <rFont val="Noto Sans CJK SC"/>
        <family val="2"/>
      </rPr>
      <t xml:space="preserve">改標恆等式（非驗證）：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欄的公式本身就是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，本項重述同一條件，只有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被手填覆寫時才會不等；無法改成獨立於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的檢查（判定依據只有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與門檻），故移出驗證計數（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欄顯示文字，不計入驗證項目數／通過／失敗）。模型值＝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為『主流』的條目數，對照值＝</t>
    </r>
    <r>
      <rPr>
        <sz val="9"/>
        <color rgb="FF595959"/>
        <rFont val="Arial"/>
        <family val="0"/>
        <charset val="1"/>
      </rPr>
      <t xml:space="preserve">J ≥ </t>
    </r>
    <r>
      <rPr>
        <sz val="9"/>
        <color rgb="FF595959"/>
        <rFont val="Noto Sans CJK SC"/>
        <family val="2"/>
      </rPr>
      <t xml:space="preserve">門檻的條目數，結果欄＝逐列不一致的列數（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被改寫而與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脫節時，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欄改顯示『恆等式不成立』）。不比對狀態欄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T06</t>
    </r>
    <r>
      <rPr>
        <sz val="9"/>
        <color rgb="FF595959"/>
        <rFont val="Noto Sans CJK SC"/>
        <family val="2"/>
      </rPr>
      <t xml:space="preserve">（狀態『早期採用』、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 ≥ </t>
    </r>
    <r>
      <rPr>
        <sz val="9"/>
        <color rgb="FF595959"/>
        <rFont val="Noto Sans CJK SC"/>
        <family val="2"/>
      </rPr>
      <t xml:space="preserve">門檻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為『主流』而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不是，屬狀態欄口徑差，列『待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判斷』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</si>
  <si>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</si>
  <si>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Tech_Registry T </t>
    </r>
    <r>
      <rPr>
        <sz val="10"/>
        <color rgb="FF000000"/>
        <rFont val="Noto Sans CJK SC"/>
        <family val="2"/>
      </rPr>
      <t xml:space="preserve">欄（一致性檢查）：由公式自行重算每列應有的判定，與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欄比對——不符列數＋實質不一致列數＝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</si>
  <si>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v10.3 F3 </t>
    </r>
    <r>
      <rPr>
        <sz val="9"/>
        <color rgb="FF595959"/>
        <rFont val="Noto Sans CJK SC"/>
        <family val="2"/>
      </rPr>
      <t xml:space="preserve">新增；</t>
    </r>
    <r>
      <rPr>
        <sz val="9"/>
        <color rgb="FF595959"/>
        <rFont val="Arial"/>
        <family val="0"/>
        <charset val="1"/>
      </rPr>
      <t xml:space="preserve">v12.0 H7</t>
    </r>
    <r>
      <rPr>
        <sz val="9"/>
        <color rgb="FF595959"/>
        <rFont val="Noto Sans CJK SC"/>
        <family val="2"/>
      </rPr>
      <t xml:space="preserve">（查核 </t>
    </r>
    <r>
      <rPr>
        <sz val="9"/>
        <color rgb="FF595959"/>
        <rFont val="Arial"/>
        <family val="0"/>
        <charset val="1"/>
      </rPr>
      <t xml:space="preserve">#87 </t>
    </r>
    <r>
      <rPr>
        <sz val="9"/>
        <color rgb="FF595959"/>
        <rFont val="Noto Sans CJK SC"/>
        <family val="2"/>
      </rPr>
      <t xml:space="preserve">觀察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）：舊版以 </t>
    </r>
    <r>
      <rPr>
        <sz val="9"/>
        <color rgb="FF595959"/>
        <rFont val="Arial"/>
        <family val="0"/>
        <charset val="1"/>
      </rPr>
      <t xml:space="preserve">COUNTA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COUNTIF(…,"</t>
    </r>
    <r>
      <rPr>
        <sz val="9"/>
        <color rgb="FF595959"/>
        <rFont val="Noto Sans CJK SC"/>
        <family val="2"/>
      </rPr>
      <t xml:space="preserve">一致</t>
    </r>
    <r>
      <rPr>
        <sz val="9"/>
        <color rgb="FF595959"/>
        <rFont val="Arial"/>
        <family val="0"/>
        <charset val="1"/>
      </rPr>
      <t xml:space="preserve">")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欄被清空或手填『一致』時兩者同步改變、差值仍為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。現改為不讀 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公式的結果，直接由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J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欄與 </t>
    </r>
    <r>
      <rPr>
        <sz val="9"/>
        <color rgb="FF595959"/>
        <rFont val="Arial"/>
        <family val="0"/>
        <charset val="1"/>
      </rPr>
      <t xml:space="preserve">CST_MainMin </t>
    </r>
    <r>
      <rPr>
        <sz val="9"/>
        <color rgb="FF595959"/>
        <rFont val="Noto Sans CJK SC"/>
        <family val="2"/>
      </rPr>
      <t xml:space="preserve">重算每列應有的判定（主流＝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有值取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、否則 </t>
    </r>
    <r>
      <rPr>
        <sz val="9"/>
        <color rgb="FF595959"/>
        <rFont val="Arial"/>
        <family val="0"/>
        <charset val="1"/>
      </rPr>
      <t xml:space="preserve">J ≥ CST_MainMin</t>
    </r>
    <r>
      <rPr>
        <sz val="9"/>
        <color rgb="FF595959"/>
        <rFont val="Noto Sans CJK SC"/>
        <family val="2"/>
      </rPr>
      <t xml:space="preserve">；主流但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＝否，或非主流但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＝是且狀態非『早期採用』，即實質不一致）。模型值＝重算後實質不一致的列數；對照值＝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欄非『一致』（含空白）的列數；結果欄＝（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欄是否一致與重算判定不符的列數）＋模型值，為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才通過：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欄被清空、手填，或實質不一致（『主流但未入基準：須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判定』、『非主流卻在基準』）都會失敗。</t>
    </r>
    <r>
      <rPr>
        <sz val="9"/>
        <color rgb="FF595959"/>
        <rFont val="Arial"/>
        <family val="0"/>
        <charset val="1"/>
      </rPr>
      <t xml:space="preserve">T </t>
    </r>
    <r>
      <rPr>
        <sz val="9"/>
        <color rgb="FF595959"/>
        <rFont val="Noto Sans CJK SC"/>
        <family val="2"/>
      </rPr>
      <t xml:space="preserve">欄用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欄（有值時取代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）判讀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</si>
  <si>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</si>
  <si>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（批次口徑：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）【校準相關（非獨立），不計入驗證】</t>
    </r>
  </si>
  <si>
    <t xml:space="preserve">校準相關（非獨立）</t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</si>
  <si>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SRC_PERF_079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6,752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CoreWeave 64 GPU 7,323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Google 72 GPU 4,276 </t>
    </r>
    <r>
      <rPr>
        <sz val="9"/>
        <color rgb="FF595959"/>
        <rFont val="Noto Sans CJK SC"/>
        <family val="2"/>
      </rPr>
      <t xml:space="preserve">未登錄）；模型值＝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欄（輸入 </t>
    </r>
    <r>
      <rPr>
        <sz val="9"/>
        <color rgb="FF595959"/>
        <rFont val="Arial"/>
        <family val="0"/>
        <charset val="1"/>
      </rPr>
      <t xml:space="preserve">800</t>
    </r>
    <r>
      <rPr>
        <sz val="9"/>
        <color rgb="FF595959"/>
        <rFont val="Noto Sans CJK SC"/>
        <family val="2"/>
      </rPr>
      <t xml:space="preserve">／輸出 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、批次填滿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校準（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欄），本點不用於校準｜</t>
    </r>
    <r>
      <rPr>
        <sz val="9"/>
        <color rgb="FF595959"/>
        <rFont val="Arial"/>
        <family val="0"/>
        <charset val="1"/>
      </rPr>
      <t xml:space="preserve">v12.0 H2</t>
    </r>
    <r>
      <rPr>
        <sz val="9"/>
        <color rgb="FF595959"/>
        <rFont val="Noto Sans CJK SC"/>
        <family val="2"/>
      </rPr>
      <t xml:space="preserve">：【校準相關（非獨立）】</t>
    </r>
    <r>
      <rPr>
        <sz val="9"/>
        <color rgb="FF595959"/>
        <rFont val="Arial"/>
        <family val="0"/>
        <charset val="1"/>
      </rPr>
      <t xml:space="preserve">D156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＝√</t>
    </r>
    <r>
      <rPr>
        <sz val="9"/>
        <color rgb="FF595959"/>
        <rFont val="Arial"/>
        <family val="0"/>
        <charset val="1"/>
      </rPr>
      <t xml:space="preserve">(1.83 × 3.04)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1.83 </t>
    </r>
    <r>
      <rPr>
        <sz val="9"/>
        <color rgb="FF595959"/>
        <rFont val="Noto Sans CJK SC"/>
        <family val="2"/>
      </rPr>
      <t xml:space="preserve">正是本點（</t>
    </r>
    <r>
      <rPr>
        <sz val="9"/>
        <color rgb="FF595959"/>
        <rFont val="Arial"/>
        <family val="0"/>
        <charset val="1"/>
      </rPr>
      <t xml:space="preserve">MLPerf v6.0 offline 6,752</t>
    </r>
    <r>
      <rPr>
        <sz val="9"/>
        <color rgb="FF595959"/>
        <rFont val="Noto Sans CJK SC"/>
        <family val="2"/>
      </rPr>
      <t xml:space="preserve">）反推的倍數、</t>
    </r>
    <r>
      <rPr>
        <sz val="9"/>
        <color rgb="FF595959"/>
        <rFont val="Arial"/>
        <family val="0"/>
        <charset val="1"/>
      </rPr>
      <t xml:space="preserve">3.04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vLLM 10.1K </t>
    </r>
    <r>
      <rPr>
        <sz val="9"/>
        <color rgb="FF595959"/>
        <rFont val="Noto Sans CJK SC"/>
        <family val="2"/>
      </rPr>
      <t xml:space="preserve">反推，兩個校準點同時被用到，本點因此不再是獨立驗證點；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欄顯示文字（帶內／帶外），不計入驗證項目數／通過／失敗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</si>
  <si>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</si>
  <si>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MLPerf v6.0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，大批次）——模型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</si>
  <si>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8,987</t>
    </r>
    <r>
      <rPr>
        <sz val="9"/>
        <color rgb="FF595959"/>
        <rFont val="Noto Sans CJK SC"/>
        <family val="2"/>
      </rPr>
      <t xml:space="preserve">；第二來源 </t>
    </r>
    <r>
      <rPr>
        <sz val="9"/>
        <color rgb="FF595959"/>
        <rFont val="Arial"/>
        <family val="0"/>
        <charset val="1"/>
      </rPr>
      <t xml:space="preserve">Nebius 72 GPU 9,360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SRC_PERF_083</t>
    </r>
    <r>
      <rPr>
        <sz val="9"/>
        <color rgb="FF595959"/>
        <rFont val="Noto Sans CJK SC"/>
        <family val="2"/>
      </rPr>
      <t xml:space="preserve">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欄（同 </t>
    </r>
    <r>
      <rPr>
        <sz val="9"/>
        <color rgb="FF595959"/>
        <rFont val="Arial"/>
        <family val="0"/>
        <charset val="1"/>
      </rPr>
      <t xml:space="preserve">V20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，未另校準）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</si>
  <si>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</si>
  <si>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TensorRT-LLM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（批次口徑）</t>
    </r>
  </si>
  <si>
    <r>
      <rPr>
        <sz val="9"/>
        <color rgb="FF595959"/>
        <rFont val="Arial"/>
        <family val="0"/>
        <charset val="1"/>
      </rPr>
      <t xml:space="preserve">v11.0 G3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SRC_PERF_081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1,436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TensorRT-LLM 0.21.0rc1 </t>
    </r>
    <r>
      <rPr>
        <sz val="9"/>
        <color rgb="FF595959"/>
        <rFont val="Noto Sans CJK SC"/>
        <family val="2"/>
      </rPr>
      <t xml:space="preserve">文件，單一來源）；模型值＝</t>
    </r>
    <r>
      <rPr>
        <sz val="9"/>
        <color rgb="FF595959"/>
        <rFont val="Arial"/>
        <family val="0"/>
        <charset val="1"/>
      </rPr>
      <t xml:space="preserve">Calib L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規格 </t>
    </r>
    <r>
      <rPr>
        <sz val="9"/>
        <color rgb="FF595959"/>
        <rFont val="Arial"/>
        <family val="0"/>
        <charset val="1"/>
      </rPr>
      <t xml:space="preserve">141 GB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4.8 TB/s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EP8</t>
    </r>
    <r>
      <rPr>
        <sz val="9"/>
        <color rgb="FF595959"/>
        <rFont val="Noto Sans CJK SC"/>
        <family val="2"/>
      </rPr>
      <t xml:space="preserve">、固定批次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、無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× CAL_BatchEtaD</t>
    </r>
    <r>
      <rPr>
        <sz val="9"/>
        <color rgb="FF595959"/>
        <rFont val="Noto Sans CJK SC"/>
        <family val="2"/>
      </rPr>
      <t xml:space="preserve">、含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分攤）；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CAL_BatchEtaD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C68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下無解而未寫入（＝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），此項的結果隨之偏低；不用於校準</t>
    </r>
  </si>
  <si>
    <t xml:space="preserve">V23</t>
  </si>
  <si>
    <r>
      <rPr>
        <sz val="10"/>
        <color rgb="FF000000"/>
        <rFont val="Noto Sans CJK SC"/>
        <family val="2"/>
      </rPr>
      <t xml:space="preserve">實際每用戶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89 </t>
    </r>
    <r>
      <rPr>
        <sz val="10"/>
        <color rgb="FF000000"/>
        <rFont val="Noto Sans CJK SC"/>
        <family val="2"/>
      </rPr>
      <t xml:space="preserve">列對第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列；可達欄中低於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的欄數＝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；全部層級，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</si>
  <si>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節）：模型值＝低於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的可達欄數（</t>
    </r>
    <r>
      <rPr>
        <sz val="9"/>
        <color rgb="FF595959"/>
        <rFont val="Arial"/>
        <family val="0"/>
        <charset val="1"/>
      </rPr>
      <t xml:space="preserve">Perf 15 </t>
    </r>
    <r>
      <rPr>
        <sz val="9"/>
        <color rgb="FF595959"/>
        <rFont val="Noto Sans CJK SC"/>
        <family val="2"/>
      </rPr>
      <t xml:space="preserve">欄＋</t>
    </r>
    <r>
      <rPr>
        <sz val="9"/>
        <color rgb="FF595959"/>
        <rFont val="Arial"/>
        <family val="0"/>
        <charset val="1"/>
      </rPr>
      <t xml:space="preserve">Perf_Batch 17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的不可達欄不計）；對照值＝可達欄數（為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時本項判失敗，防止空轉）。結構性恆成立（</t>
    </r>
    <r>
      <rPr>
        <sz val="9"/>
        <color rgb="FF595959"/>
        <rFont val="Arial"/>
        <family val="0"/>
        <charset val="1"/>
      </rPr>
      <t xml:space="preserve">B*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MIN(SLO </t>
    </r>
    <r>
      <rPr>
        <sz val="9"/>
        <color rgb="FF595959"/>
        <rFont val="Noto Sans CJK SC"/>
        <family val="2"/>
      </rPr>
      <t xml:space="preserve">限制批次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記憶體限制批次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），程式或公式被改壞時才會失敗；專屬測試改寫 </t>
    </r>
    <r>
      <rPr>
        <sz val="9"/>
        <color rgb="FF595959"/>
        <rFont val="Arial"/>
        <family val="0"/>
        <charset val="1"/>
      </rPr>
      <t xml:space="preserve">Perf!C87 </t>
    </r>
    <r>
      <rPr>
        <sz val="9"/>
        <color rgb="FF595959"/>
        <rFont val="Noto Sans CJK SC"/>
        <family val="2"/>
      </rPr>
      <t xml:space="preserve">公式（無法只靠改輸入使其失敗，見報告）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</si>
  <si>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</si>
  <si>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整體一致：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單價））＝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（基準／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三格的最大絕對差，容差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）；層級＝整體，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（混合）【恆等式（非驗證）；</t>
    </r>
    <r>
      <rPr>
        <sz val="10"/>
        <color rgb="FF000000"/>
        <rFont val="Arial"/>
        <family val="0"/>
        <charset val="1"/>
      </rPr>
      <t xml:space="preserve">v14.1 R2</t>
    </r>
    <r>
      <rPr>
        <sz val="10"/>
        <color rgb="FF000000"/>
        <rFont val="Noto Sans CJK SC"/>
        <family val="2"/>
      </rPr>
      <t xml:space="preserve">】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</si>
  <si>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：兩條路徑各自算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三分合計；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列用合併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）；差異＝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才通過。目前兩者由同一組輸入恆等；公式被改寫（例如分子或分母漏項）時才會失敗；專屬測試改寫 </t>
    </r>
    <r>
      <rPr>
        <sz val="9"/>
        <color rgb="FF595959"/>
        <rFont val="Arial"/>
        <family val="0"/>
        <charset val="1"/>
      </rPr>
      <t xml:space="preserve">Cap_In!C147 </t>
    </r>
    <r>
      <rPr>
        <sz val="9"/>
        <color rgb="FF595959"/>
        <rFont val="Noto Sans CJK SC"/>
        <family val="2"/>
      </rPr>
      <t xml:space="preserve">公式（見報告）</t>
    </r>
  </si>
  <si>
    <t xml:space="preserve">V25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</si>
  <si>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上限讀法 ≤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列三格（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）的最大值；層級＝機隊，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（混合）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</si>
  <si>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：需求路線付費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上限路線付費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代表需求超過物理上限。</t>
    </r>
    <r>
      <rPr>
        <sz val="9"/>
        <color rgb="FF595959"/>
        <rFont val="Arial"/>
        <family val="0"/>
        <charset val="1"/>
      </rPr>
      <t xml:space="preserve">Checks M4 </t>
    </r>
    <r>
      <rPr>
        <sz val="9"/>
        <color rgb="FF595959"/>
        <rFont val="Noto Sans CJK SC"/>
        <family val="2"/>
      </rPr>
      <t xml:space="preserve">只比點估計（</t>
    </r>
    <r>
      <rPr>
        <sz val="9"/>
        <color rgb="FF595959"/>
        <rFont val="Arial"/>
        <family val="0"/>
        <charset val="1"/>
      </rPr>
      <t xml:space="preserve">0.5–2</t>
    </r>
    <r>
      <rPr>
        <sz val="9"/>
        <color rgb="FF595959"/>
        <rFont val="Noto Sans CJK SC"/>
        <family val="2"/>
      </rPr>
      <t xml:space="preserve">），本項補上限讀法。上限路線為文字（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不可達）時本項不適用（—）；專屬測試把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每日則數調高使比值 </t>
    </r>
    <r>
      <rPr>
        <sz val="9"/>
        <color rgb="FF595959"/>
        <rFont val="Arial"/>
        <family val="0"/>
        <charset val="1"/>
      </rPr>
      <t xml:space="preserve">&gt; 1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</si>
  <si>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</si>
  <si>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服務世代組合合計＝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215 </t>
    </r>
    <r>
      <rPr>
        <sz val="10"/>
        <color rgb="FF000000"/>
        <rFont val="Noto Sans CJK SC"/>
        <family val="2"/>
      </rPr>
      <t xml:space="preserve">列四格（</t>
    </r>
    <r>
      <rPr>
        <sz val="10"/>
        <color rgb="FF000000"/>
        <rFont val="Arial"/>
        <family val="0"/>
        <charset val="1"/>
      </rPr>
      <t xml:space="preserve">C–F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的最大絕對差（容差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）；層級＝全部，無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</t>
    </r>
  </si>
  <si>
    <r>
      <rPr>
        <sz val="9"/>
        <color rgb="FF595959"/>
        <rFont val="Arial"/>
        <family val="0"/>
        <charset val="1"/>
      </rPr>
      <t xml:space="preserve">v14.0 4-3B Q4</t>
    </r>
    <r>
      <rPr>
        <sz val="9"/>
        <color rgb="FF595959"/>
        <rFont val="Noto Sans CJK SC"/>
        <family val="2"/>
      </rPr>
      <t xml:space="preserve">：與 </t>
    </r>
    <r>
      <rPr>
        <sz val="9"/>
        <color rgb="FF595959"/>
        <rFont val="Arial"/>
        <family val="0"/>
        <charset val="1"/>
      </rPr>
      <t xml:space="preserve">Checks H1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服務世代組合，恆等式）並列；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三欄的組合是 </t>
    </r>
    <r>
      <rPr>
        <sz val="9"/>
        <color rgb="FF595959"/>
        <rFont val="Arial"/>
        <family val="0"/>
        <charset val="1"/>
      </rPr>
      <t xml:space="preserve">Cap_In D211:F214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輸入，合計不為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的權重失真；專屬測試把 </t>
    </r>
    <r>
      <rPr>
        <sz val="9"/>
        <color rgb="FF595959"/>
        <rFont val="Arial"/>
        <family val="0"/>
        <charset val="1"/>
      </rPr>
      <t xml:space="preserve">Cap_In!D214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0.05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0.10</t>
    </r>
  </si>
  <si>
    <r>
      <rPr>
        <b val="true"/>
        <sz val="10"/>
        <rFont val="Arial"/>
        <family val="0"/>
        <charset val="1"/>
      </rPr>
      <t xml:space="preserve">RG. </t>
    </r>
    <r>
      <rPr>
        <b val="true"/>
        <sz val="10"/>
        <rFont val="Noto Sans CJK SC"/>
        <family val="2"/>
      </rPr>
      <t xml:space="preserve">批次口徑區間時效檢查（</t>
    </r>
    <r>
      <rPr>
        <b val="true"/>
        <sz val="10"/>
        <rFont val="Arial"/>
        <family val="0"/>
        <charset val="1"/>
      </rPr>
      <t xml:space="preserve">v13.0 K2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4-2b-1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RG1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RG2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</t>
    </r>
    <r>
      <rPr>
        <b val="true"/>
        <sz val="10"/>
        <rFont val="Noto Sans CJK SC"/>
        <family val="2"/>
      </rPr>
      <t xml:space="preserve">，計入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（不阻擋）；端點本身由 </t>
    </r>
    <r>
      <rPr>
        <b val="true"/>
        <sz val="10"/>
        <rFont val="Arial"/>
        <family val="0"/>
        <charset val="1"/>
      </rPr>
      <t xml:space="preserve">tests/parity </t>
    </r>
    <r>
      <rPr>
        <b val="true"/>
        <sz val="10"/>
        <rFont val="Noto Sans CJK SC"/>
        <family val="2"/>
      </rPr>
      <t xml:space="preserve">以情境重算逐格比對</t>
    </r>
  </si>
  <si>
    <t xml:space="preserve">RG1</t>
  </si>
  <si>
    <r>
      <rPr>
        <sz val="10"/>
        <color rgb="FF000000"/>
        <rFont val="Noto Sans CJK SC"/>
        <family val="2"/>
      </rPr>
      <t xml:space="preserve">批次口徑區間的計算版本（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）不等於現行版本（</t>
    </r>
    <r>
      <rPr>
        <sz val="10"/>
        <color rgb="FF000000"/>
        <rFont val="Arial"/>
        <family val="0"/>
        <charset val="1"/>
      </rPr>
      <t xml:space="preserve">RNG_Current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＝區間過期</t>
    </r>
  </si>
  <si>
    <r>
      <rPr>
        <sz val="9"/>
        <color rgb="FF595959"/>
        <rFont val="Arial"/>
        <family val="0"/>
        <charset val="1"/>
      </rPr>
      <t xml:space="preserve">RNG_Version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RNG_Current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README!B5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</t>
    </r>
  </si>
  <si>
    <t xml:space="preserve">RG2</t>
  </si>
  <si>
    <r>
      <rPr>
        <sz val="10"/>
        <color rgb="FF000000"/>
        <rFont val="Noto Sans CJK SC"/>
        <family val="2"/>
      </rPr>
      <t xml:space="preserve">批次口徑區間：任一格基準值落在 </t>
    </r>
    <r>
      <rPr>
        <sz val="10"/>
        <color rgb="FF000000"/>
        <rFont val="Arial"/>
        <family val="0"/>
        <charset val="1"/>
      </rPr>
      <t xml:space="preserve">RNG_*_Lo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之外：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；上游輸入改動後區間不再涵蓋基準；格數見 </t>
    </r>
    <r>
      <rPr>
        <sz val="10"/>
        <color rgb="FF000000"/>
        <rFont val="Arial"/>
        <family val="0"/>
        <charset val="1"/>
      </rPr>
      <t xml:space="preserve">RNG_OutCount</t>
    </r>
    <r>
      <rPr>
        <sz val="10"/>
        <color rgb="FF000000"/>
        <rFont val="Noto Sans CJK SC"/>
        <family val="2"/>
      </rPr>
      <t xml:space="preserve">，計入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時最多算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</si>
  <si>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RNG_OutCount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Alloc O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欄</t>
    </r>
  </si>
  <si>
    <t xml:space="preserve">RG3</t>
  </si>
  <si>
    <r>
      <rPr>
        <sz val="10"/>
        <color rgb="FF000000"/>
        <rFont val="Noto Sans CJK SC"/>
        <family val="2"/>
      </rPr>
      <t xml:space="preserve">批次口徑區間：上游輸入指紋不符（</t>
    </r>
    <r>
      <rPr>
        <sz val="10"/>
        <color rgb="FF000000"/>
        <rFont val="Arial"/>
        <family val="0"/>
        <charset val="1"/>
      </rPr>
      <t xml:space="preserve">Alloc P </t>
    </r>
    <r>
      <rPr>
        <sz val="10"/>
        <color rgb="FF000000"/>
        <rFont val="Noto Sans CJK SC"/>
        <family val="2"/>
      </rPr>
      <t xml:space="preserve">節）：任一上游數值常數格與產生端點時的值不同：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＝是（基準可能仍在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之內；計入 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時與 </t>
    </r>
    <r>
      <rPr>
        <sz val="10"/>
        <color rgb="FF000000"/>
        <rFont val="Arial"/>
        <family val="0"/>
        <charset val="1"/>
      </rPr>
      <t xml:space="preserve">RG2 </t>
    </r>
    <r>
      <rPr>
        <sz val="10"/>
        <color rgb="FF000000"/>
        <rFont val="Noto Sans CJK SC"/>
        <family val="2"/>
      </rPr>
      <t xml:space="preserve">合算最多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</si>
  <si>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 P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欄（不符格數）；</t>
    </r>
    <r>
      <rPr>
        <sz val="9"/>
        <color rgb="FF595959"/>
        <rFont val="Arial"/>
        <family val="0"/>
        <charset val="1"/>
      </rPr>
      <t xml:space="preserve">builder/v1310_fingerprint.json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</si>
  <si>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</si>
  <si>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</si>
  <si>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</si>
  <si>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</si>
  <si>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</si>
  <si>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</si>
  <si>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</si>
  <si>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</si>
  <si>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</si>
  <si>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</si>
  <si>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</si>
  <si>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</si>
  <si>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</si>
  <si>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</si>
  <si>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</si>
  <si>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</si>
  <si>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</si>
  <si>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</si>
  <si>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</si>
  <si>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</si>
  <si>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</si>
  <si>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</si>
  <si>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</si>
  <si>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</si>
  <si>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</si>
  <si>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</si>
  <si>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</si>
  <si>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</si>
  <si>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</si>
  <si>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v13.0 前的類別與區間（保留原文；工作單 4-2b K3）</t>
  </si>
  <si>
    <t xml:space="preserve">GM001</t>
  </si>
  <si>
    <t xml:space="preserve">切片一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</si>
  <si>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</si>
  <si>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</si>
  <si>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</si>
  <si>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</si>
  <si>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</si>
  <si>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</si>
  <si>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</si>
  <si>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</si>
  <si>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</si>
  <si>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</si>
  <si>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</si>
  <si>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t xml:space="preserve">SRC_DC_018</t>
  </si>
  <si>
    <t xml:space="preserve">可比（Analogy：Google 全機隊年均 PUE 1.09；第二來源 SRC_DC_019 Uptime 全球平均 1.54，超大規模 1.10–1.15；全機隊≠液冷 AI 設施）</t>
  </si>
  <si>
    <t xml:space="preserve">AF3B-Q6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</si>
  <si>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</si>
  <si>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</si>
  <si>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GM006</t>
  </si>
  <si>
    <t xml:space="preserve">GM007</t>
  </si>
  <si>
    <t xml:space="preserve">GM008</t>
  </si>
  <si>
    <t xml:space="preserve">GM009</t>
  </si>
  <si>
    <t xml:space="preserve">GM010</t>
  </si>
  <si>
    <t xml:space="preserve">SRC_DC_006</t>
  </si>
  <si>
    <t xml:space="preserve">可比</t>
  </si>
  <si>
    <t xml:space="preserve">GM011</t>
  </si>
  <si>
    <t xml:space="preserve">GM012</t>
  </si>
  <si>
    <t xml:space="preserve">GM013</t>
  </si>
  <si>
    <t xml:space="preserve">SRC_DC_001</t>
  </si>
  <si>
    <t xml:space="preserve">GM014</t>
  </si>
  <si>
    <t xml:space="preserve">GM015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</si>
  <si>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</si>
  <si>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</si>
  <si>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</si>
  <si>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</si>
  <si>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</si>
  <si>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D15-04</t>
  </si>
  <si>
    <t xml:space="preserve">GM017</t>
  </si>
  <si>
    <t xml:space="preserve">GM018</t>
  </si>
  <si>
    <t xml:space="preserve">GM019</t>
  </si>
  <si>
    <t xml:space="preserve">GM020</t>
  </si>
  <si>
    <t xml:space="preserve">GM021</t>
  </si>
  <si>
    <t xml:space="preserve">GM022</t>
  </si>
  <si>
    <t xml:space="preserve">總額校準（D15-04：JLL 校準總額；分項本身為 Assumed）</t>
  </si>
  <si>
    <t xml:space="preserve">GM023</t>
  </si>
  <si>
    <t xml:space="preserve">GM024</t>
  </si>
  <si>
    <t xml:space="preserve">GM025</t>
  </si>
  <si>
    <t xml:space="preserve">分項為假設；總額以 JLL 校準（S12 → SRC_DC_003）</t>
  </si>
  <si>
    <t xml:space="preserve">中</t>
  </si>
  <si>
    <t xml:space="preserve">GM026</t>
  </si>
  <si>
    <t xml:space="preserve">GM027</t>
  </si>
  <si>
    <t xml:space="preserve">GM028</t>
  </si>
  <si>
    <t xml:space="preserve">GM029</t>
  </si>
  <si>
    <t xml:space="preserve">GM030</t>
  </si>
  <si>
    <t xml:space="preserve">GM031</t>
  </si>
  <si>
    <t xml:space="preserve">同第 17–19 列：分項假設、總額以 JLL 校準</t>
  </si>
  <si>
    <t xml:space="preserve">GM032</t>
  </si>
  <si>
    <t xml:space="preserve">GM033</t>
  </si>
  <si>
    <t xml:space="preserve">GM034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</si>
  <si>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</si>
  <si>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</si>
  <si>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GM036</t>
  </si>
  <si>
    <t xml:space="preserve">GM037</t>
  </si>
  <si>
    <t xml:space="preserve">GM038</t>
  </si>
  <si>
    <t xml:space="preserve">GM039</t>
  </si>
  <si>
    <t xml:space="preserve">GM040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</si>
  <si>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</si>
  <si>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</si>
  <si>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</si>
  <si>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</si>
  <si>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</si>
  <si>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</si>
  <si>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</si>
  <si>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</si>
  <si>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</si>
  <si>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</si>
  <si>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</si>
  <si>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</si>
  <si>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</si>
  <si>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GM045</t>
  </si>
  <si>
    <t xml:space="preserve">GM046</t>
  </si>
  <si>
    <t xml:space="preserve">GM047</t>
  </si>
  <si>
    <t xml:space="preserve">GM048</t>
  </si>
  <si>
    <t xml:space="preserve">GM049</t>
  </si>
  <si>
    <t xml:space="preserve">GM050</t>
  </si>
  <si>
    <t xml:space="preserve">GM051</t>
  </si>
  <si>
    <t xml:space="preserve">GM052</t>
  </si>
  <si>
    <t xml:space="preserve">GM053</t>
  </si>
  <si>
    <t xml:space="preserve">GM054</t>
  </si>
  <si>
    <t xml:space="preserve">GM055</t>
  </si>
  <si>
    <t xml:space="preserve">GM056</t>
  </si>
  <si>
    <t xml:space="preserve">GM057</t>
  </si>
  <si>
    <t xml:space="preserve">GM058</t>
  </si>
  <si>
    <t xml:space="preserve">SRC_DC_007</t>
  </si>
  <si>
    <t xml:space="preserve">D4</t>
  </si>
  <si>
    <t xml:space="preserve">連結 SRC（G1）</t>
  </si>
  <si>
    <t xml:space="preserve">GM059</t>
  </si>
  <si>
    <t xml:space="preserve">GM060</t>
  </si>
  <si>
    <t xml:space="preserve">F23</t>
  </si>
  <si>
    <t xml:space="preserve">SRC_DC_008</t>
  </si>
  <si>
    <t xml:space="preserve">GM061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</si>
  <si>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</si>
  <si>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</si>
  <si>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</si>
  <si>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</si>
  <si>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</si>
  <si>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</si>
  <si>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</si>
  <si>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</si>
  <si>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</si>
  <si>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</si>
  <si>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</si>
  <si>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</si>
  <si>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</si>
  <si>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</si>
  <si>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</si>
  <si>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</si>
  <si>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SRC_HW_047</t>
  </si>
  <si>
    <t xml:space="preserve">GM067</t>
  </si>
  <si>
    <t xml:space="preserve">GM068</t>
  </si>
  <si>
    <t xml:space="preserve">GM069</t>
  </si>
  <si>
    <t xml:space="preserve">SRC_HW_061</t>
  </si>
  <si>
    <t xml:space="preserve">GM070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</si>
  <si>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</si>
  <si>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</si>
  <si>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SRC_HW_004</t>
  </si>
  <si>
    <t xml:space="preserve">GM072</t>
  </si>
  <si>
    <t xml:space="preserve">SRC_HW_005</t>
  </si>
  <si>
    <t xml:space="preserve">GM073</t>
  </si>
  <si>
    <t xml:space="preserve">SRC_HW_011</t>
  </si>
  <si>
    <t xml:space="preserve">GM074</t>
  </si>
  <si>
    <t xml:space="preserve">D2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</si>
  <si>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</si>
  <si>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GM075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</si>
  <si>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</si>
  <si>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</si>
  <si>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</si>
  <si>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</si>
  <si>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</si>
  <si>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</si>
  <si>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</si>
  <si>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</si>
  <si>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</si>
  <si>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</si>
  <si>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</si>
  <si>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</si>
  <si>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</si>
  <si>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</si>
  <si>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</si>
  <si>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 ｜v13.1 D15 補登（原 J／H 欄為『—』）：決策：D2＋D3（J 欄放主要決策 D2；全部：D2＋D3）</t>
  </si>
  <si>
    <t xml:space="preserve">原始數據→Derived（v5.18 RU）</t>
  </si>
  <si>
    <t xml:space="preserve">GM080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</si>
  <si>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</si>
  <si>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</si>
  <si>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</si>
  <si>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</si>
  <si>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</si>
  <si>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</si>
  <si>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</si>
  <si>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D3</t>
    </r>
    <r>
      <rPr>
        <sz val="10"/>
        <color rgb="FF000000"/>
        <rFont val="Noto Sans CJK SC"/>
        <family val="2"/>
      </rPr>
      <t xml:space="preserve">）</t>
    </r>
  </si>
  <si>
    <t xml:space="preserve">GM085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</si>
  <si>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</si>
  <si>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</si>
  <si>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</si>
  <si>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</si>
  <si>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</si>
  <si>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</si>
  <si>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</si>
  <si>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</si>
  <si>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</si>
  <si>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</si>
  <si>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</si>
  <si>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</si>
  <si>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</si>
  <si>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</si>
  <si>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</si>
  <si>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</si>
  <si>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C3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</si>
  <si>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</si>
  <si>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</si>
  <si>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</si>
  <si>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</si>
  <si>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</si>
  <si>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</si>
  <si>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</si>
  <si>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</si>
  <si>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</si>
  <si>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</si>
  <si>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</si>
  <si>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</si>
  <si>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</si>
  <si>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</si>
  <si>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</si>
  <si>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</si>
  <si>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</si>
  <si>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</si>
  <si>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GM095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</si>
  <si>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</si>
  <si>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</si>
  <si>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</si>
  <si>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</si>
  <si>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</si>
  <si>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</si>
  <si>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</si>
  <si>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</si>
  <si>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</si>
  <si>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</si>
  <si>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</si>
  <si>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v10.3 4-2a F1</t>
    </r>
    <r>
      <rPr>
        <sz val="10"/>
        <color rgb="FF000000"/>
        <rFont val="Noto Sans CJK SC"/>
        <family val="2"/>
      </rPr>
      <t xml:space="preserve">：倍數已外露為 </t>
    </r>
    <r>
      <rPr>
        <sz val="10"/>
        <color rgb="FF000000"/>
        <rFont val="Arial"/>
        <family val="0"/>
        <charset val="1"/>
      </rPr>
      <t xml:space="preserve">SR_RU_PxMultLo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SR_RU_PxMultHi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機架價格倍數（</t>
    </r>
    <r>
      <rPr>
        <sz val="10"/>
        <color rgb="FF000000"/>
        <rFont val="Arial"/>
        <family val="0"/>
        <charset val="1"/>
      </rPr>
      <t xml:space="preserve">v10.3 F1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，無來源；待證據）」）；本格為公式 </t>
    </r>
    <r>
      <rPr>
        <sz val="10"/>
        <color rgb="FF000000"/>
        <rFont val="Arial"/>
        <family val="0"/>
        <charset val="1"/>
      </rPr>
      <t xml:space="preserve">=F12 × </t>
    </r>
    <r>
      <rPr>
        <sz val="10"/>
        <color rgb="FF000000"/>
        <rFont val="Noto Sans CJK SC"/>
        <family val="2"/>
      </rPr>
      <t xml:space="preserve">倍數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SL42-F1</t>
    </r>
    <r>
      <rPr>
        <sz val="10"/>
        <color rgb="FF000000"/>
        <rFont val="Noto Sans CJK SC"/>
        <family val="2"/>
      </rPr>
      <t xml:space="preserve">）</t>
    </r>
  </si>
  <si>
    <t xml:space="preserve">GM100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</si>
  <si>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</si>
  <si>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</si>
  <si>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</si>
  <si>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</si>
  <si>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</si>
  <si>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</si>
  <si>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</si>
  <si>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</si>
  <si>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</si>
  <si>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</si>
  <si>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</si>
  <si>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</si>
  <si>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</si>
  <si>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</si>
  <si>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</si>
  <si>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峰值（高情境：NVFP4 推論口徑）PF/GPU</t>
  </si>
  <si>
    <t xml:space="preserve">D15-03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</si>
  <si>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</si>
  <si>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</si>
  <si>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</si>
  <si>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</si>
  <si>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</si>
  <si>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</si>
  <si>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</si>
  <si>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</si>
  <si>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</si>
  <si>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</si>
  <si>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</si>
  <si>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SRC_HW_020</t>
  </si>
  <si>
    <t xml:space="preserve">GM111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</si>
  <si>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</si>
  <si>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</si>
  <si>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</si>
  <si>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</si>
  <si>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</si>
  <si>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</si>
  <si>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</si>
  <si>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</si>
  <si>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</si>
  <si>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</si>
  <si>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</si>
  <si>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</si>
  <si>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</si>
  <si>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</si>
  <si>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</si>
  <si>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</si>
  <si>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</si>
  <si>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</si>
  <si>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</si>
  <si>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</si>
  <si>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</si>
  <si>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</si>
  <si>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</si>
  <si>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</si>
  <si>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</si>
  <si>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SRC_HW_060</t>
  </si>
  <si>
    <t xml:space="preserve">公式換算</t>
  </si>
  <si>
    <t xml:space="preserve">GM121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</si>
  <si>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</si>
  <si>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</si>
  <si>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</si>
  <si>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</si>
  <si>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</si>
  <si>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</si>
  <si>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</si>
  <si>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</si>
  <si>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</si>
  <si>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</si>
  <si>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</si>
  <si>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</si>
  <si>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</si>
  <si>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</si>
  <si>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</si>
  <si>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</si>
  <si>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</si>
  <si>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</si>
  <si>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</si>
  <si>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</si>
  <si>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</si>
  <si>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</si>
  <si>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</si>
  <si>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</si>
  <si>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</si>
  <si>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</si>
  <si>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</si>
  <si>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</si>
  <si>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GM133</t>
  </si>
  <si>
    <t xml:space="preserve">GM134</t>
  </si>
  <si>
    <t xml:space="preserve">GM135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</si>
  <si>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</si>
  <si>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</si>
  <si>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</si>
  <si>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</si>
  <si>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</si>
  <si>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</si>
  <si>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</si>
  <si>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</si>
  <si>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</si>
  <si>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非專家權重 bytes/param</t>
  </si>
  <si>
    <t xml:space="preserve">D15-06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</si>
  <si>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</si>
  <si>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</si>
  <si>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</si>
  <si>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</si>
  <si>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</si>
  <si>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</si>
  <si>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</si>
  <si>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GM145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</si>
  <si>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</si>
  <si>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</si>
  <si>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</si>
  <si>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</si>
  <si>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</si>
  <si>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</si>
  <si>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</si>
  <si>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</si>
  <si>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</si>
  <si>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</si>
  <si>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</si>
  <si>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</si>
  <si>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</si>
  <si>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</si>
  <si>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</si>
  <si>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</si>
  <si>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</si>
  <si>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</si>
  <si>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</si>
  <si>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</si>
  <si>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</si>
  <si>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</si>
  <si>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</si>
  <si>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</si>
  <si>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</si>
  <si>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</si>
  <si>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</si>
  <si>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</si>
  <si>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</si>
  <si>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</si>
  <si>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</si>
  <si>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</si>
  <si>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</si>
  <si>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</si>
  <si>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</si>
  <si>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</si>
  <si>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</si>
  <si>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</si>
  <si>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</si>
  <si>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</si>
  <si>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</si>
  <si>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</si>
  <si>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</si>
  <si>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</si>
  <si>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</si>
  <si>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</si>
  <si>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</si>
  <si>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</si>
  <si>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</si>
  <si>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</si>
  <si>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</si>
  <si>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</si>
  <si>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</si>
  <si>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</si>
  <si>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</si>
  <si>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</si>
  <si>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</si>
  <si>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</si>
  <si>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</si>
  <si>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</si>
  <si>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</si>
  <si>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</si>
  <si>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</si>
  <si>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</si>
  <si>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</si>
  <si>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</si>
  <si>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</si>
  <si>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</si>
  <si>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</si>
  <si>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</si>
  <si>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</si>
  <si>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</si>
  <si>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SRC_MOD_005</t>
  </si>
  <si>
    <t xml:space="preserve">GM176</t>
  </si>
  <si>
    <t xml:space="preserve">SRC_MOD_001</t>
  </si>
  <si>
    <t xml:space="preserve">GM177</t>
  </si>
  <si>
    <t xml:space="preserve">SRC_MOD_006</t>
  </si>
  <si>
    <t xml:space="preserve">GM178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</si>
  <si>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</si>
  <si>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</si>
  <si>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</si>
  <si>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</si>
  <si>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</si>
  <si>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</si>
  <si>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</si>
  <si>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</si>
  <si>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</si>
  <si>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</si>
  <si>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</si>
  <si>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</si>
  <si>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</si>
  <si>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</si>
  <si>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</si>
  <si>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</si>
  <si>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</si>
  <si>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SRC_MOD_013</t>
  </si>
  <si>
    <t xml:space="preserve">GM188</t>
  </si>
  <si>
    <t xml:space="preserve">GM189</t>
  </si>
  <si>
    <t xml:space="preserve">SRC_MOD_014</t>
  </si>
  <si>
    <t xml:space="preserve">GM190</t>
  </si>
  <si>
    <t xml:space="preserve">D15</t>
  </si>
  <si>
    <t xml:space="preserve">GM191</t>
  </si>
  <si>
    <t xml:space="preserve">SRC_MOD_015</t>
  </si>
  <si>
    <t xml:space="preserve">GM192</t>
  </si>
  <si>
    <t xml:space="preserve">GM193</t>
  </si>
  <si>
    <t xml:space="preserve">SRC_MOD_016</t>
  </si>
  <si>
    <t xml:space="preserve">GM194</t>
  </si>
  <si>
    <t xml:space="preserve">GM195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</si>
  <si>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</si>
  <si>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</si>
  <si>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</si>
  <si>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</si>
  <si>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</si>
  <si>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</si>
  <si>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</si>
  <si>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</si>
  <si>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</si>
  <si>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</si>
  <si>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</si>
  <si>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</si>
  <si>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</si>
  <si>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</si>
  <si>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</si>
  <si>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</si>
  <si>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</si>
  <si>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t xml:space="preserve">D5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</si>
  <si>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</si>
  <si>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</si>
  <si>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</si>
  <si>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</si>
  <si>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</si>
  <si>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</t>
    </r>
    <r>
      <rPr>
        <sz val="10"/>
        <color rgb="FF000000"/>
        <rFont val="Arial"/>
        <family val="0"/>
        <charset val="1"/>
      </rPr>
      <t xml:space="preserve">Arch E8 </t>
    </r>
    <r>
      <rPr>
        <sz val="10"/>
        <color rgb="FF000000"/>
        <rFont val="Noto Sans CJK SC"/>
        <family val="2"/>
      </rPr>
      <t xml:space="preserve">頁內標記以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為準，改為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（修訂九：原字樣保留於 </t>
    </r>
    <r>
      <rPr>
        <sz val="10"/>
        <color rgb="FF000000"/>
        <rFont val="Arial"/>
        <family val="0"/>
        <charset val="1"/>
      </rPr>
      <t xml:space="preserve">Arch G8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Decisions D15-10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</si>
  <si>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</si>
  <si>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</si>
  <si>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</si>
  <si>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</si>
  <si>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</si>
  <si>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</si>
  <si>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</si>
  <si>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</si>
  <si>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</si>
  <si>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V4-Pro 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V4-Flash 256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011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</si>
  <si>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</si>
  <si>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</si>
  <si>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；可比對象：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</t>
    </r>
  </si>
  <si>
    <t xml:space="preserve">GM211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</si>
  <si>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</si>
  <si>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</si>
  <si>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結構，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</si>
  <si>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GM213</t>
  </si>
  <si>
    <t xml:space="preserve">J1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</si>
  <si>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情境：全層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為基準）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</si>
  <si>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</si>
  <si>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</si>
  <si>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</si>
  <si>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</si>
  <si>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</si>
  <si>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建議標記：定義（結構選擇）（類別欄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</si>
  <si>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GM217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</si>
  <si>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</si>
  <si>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</si>
  <si>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v5.13 D 改公式（值不變）：輸入見 Arch「KV 推導輸入」列 ｜v13.1 D15 補登（原 J／H 欄為『—』）：決策：J1＋D15-03（J 欄放主要決策 J1；全部：J1＋D15-03）</t>
  </si>
  <si>
    <t xml:space="preserve">GM219</t>
  </si>
  <si>
    <t xml:space="preserve">GM220</t>
  </si>
  <si>
    <t xml:space="preserve">GM221</t>
  </si>
  <si>
    <t xml:space="preserve">GM222</t>
  </si>
  <si>
    <t xml:space="preserve">GM223</t>
  </si>
  <si>
    <t xml:space="preserve">GM224</t>
  </si>
  <si>
    <t xml:space="preserve">GM225</t>
  </si>
  <si>
    <t xml:space="preserve">GM226</t>
  </si>
  <si>
    <t xml:space="preserve">GM227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</si>
  <si>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</si>
  <si>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</si>
  <si>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</si>
  <si>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</si>
  <si>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</si>
  <si>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</si>
  <si>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</si>
  <si>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</si>
  <si>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</si>
  <si>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</si>
  <si>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</si>
  <si>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</si>
  <si>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</si>
  <si>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</si>
  <si>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</si>
  <si>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</si>
  <si>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</si>
  <si>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</si>
  <si>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</si>
  <si>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</si>
  <si>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</si>
  <si>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</si>
  <si>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</si>
  <si>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</si>
  <si>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</si>
  <si>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</si>
  <si>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</si>
  <si>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</si>
  <si>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</si>
  <si>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</si>
  <si>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</si>
  <si>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</si>
  <si>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</si>
  <si>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</si>
  <si>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</si>
  <si>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</si>
  <si>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</si>
  <si>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</si>
  <si>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</si>
  <si>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t xml:space="preserve">原始數據／Decision → Derived（公式）（v10.2 E2）</t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</si>
  <si>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</si>
  <si>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</si>
  <si>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</si>
  <si>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</si>
  <si>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</si>
  <si>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</si>
  <si>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</si>
  <si>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</si>
  <si>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</si>
  <si>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</si>
  <si>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t xml:space="preserve">AF2-TTFT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</si>
  <si>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</si>
  <si>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</si>
  <si>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</si>
  <si>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</si>
  <si>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</si>
  <si>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</si>
  <si>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SRC_DEM_014</t>
  </si>
  <si>
    <t xml:space="preserve">對照（OpenRouter State of AI 2025-12：每請求輸入 &gt;6K、輸出約 400，SRC_DEM_014–017；單一資料集，非來源）</t>
  </si>
  <si>
    <t xml:space="preserve">X12</t>
  </si>
  <si>
    <t xml:space="preserve">參考 ISL：Astra 用於長任務；上下文敏感度見 Sens_Perf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</si>
  <si>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</si>
  <si>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 ｜v13.1 D15 補登（原 J／H 欄為『—』）：決策：X12（ISL／OSL 基準不改）、AF2e-M3（κ 已套到價格端）；對照：SRC_DEM_014–017（OpenRouter State of AI，2025-12：每請求輸入 &gt;6K、輸出約 400、程式類 3–4 倍；本段 WebFetch 重讀確認）（J 欄放主要決策 X12；全部：X12＋AF2e-M3）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</si>
  <si>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</si>
  <si>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</si>
  <si>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</si>
  <si>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</si>
  <si>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 ｜v13.1 D15 補登（原 J／H 欄為『—』）：決策：X12（Luna OSL 下限放寬到 400）、AF2e-M3；對照：SRC_DEM_014–017（OpenRouter 輸出約 400，含推理）（J 欄放主要決策 X12；全部：X12＋AF2e-M3）</t>
  </si>
  <si>
    <t xml:space="preserve">GM249</t>
  </si>
  <si>
    <t xml:space="preserve">GM250</t>
  </si>
  <si>
    <t xml:space="preserve">GM251</t>
  </si>
  <si>
    <t xml:space="preserve">Workload</t>
  </si>
  <si>
    <t xml:space="preserve">輪數 T</t>
  </si>
  <si>
    <t xml:space="preserve">C4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</si>
  <si>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</si>
  <si>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 ｜v13.1 D15 補登（原 J／H 欄為『—』）：決策：C4＋D15-05（J 欄放主要決策 C4；全部：C4＋D15-05）</t>
  </si>
  <si>
    <t xml:space="preserve">GM252</t>
  </si>
  <si>
    <t xml:space="preserve">GM253</t>
  </si>
  <si>
    <t xml:space="preserve">GM254</t>
  </si>
  <si>
    <t xml:space="preserve">GM255</t>
  </si>
  <si>
    <t xml:space="preserve">標準任務定義（Assumed）；Stage 2 以 Har_In 證據校準 ｜v5.18 r3 I1：區間不改，Copilot 追蹤已讀且已涵蓋（E208；單位對應見該列） ｜v13.1 D15 補登（原 J／H 欄為『—』）：決策：C4＋D15-05（J 欄放主要決策 C4；全部：C4＋D15-05）</t>
  </si>
  <si>
    <t xml:space="preserve">GM256</t>
  </si>
  <si>
    <t xml:space="preserve">初始上下文 S（系統提示、歷史、工具定義）</t>
  </si>
  <si>
    <t xml:space="preserve">D15-05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</si>
  <si>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</si>
  <si>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</si>
  <si>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</si>
  <si>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</si>
  <si>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</si>
  <si>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</si>
  <si>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</si>
  <si>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</si>
  <si>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</si>
  <si>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</si>
  <si>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GM265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</si>
  <si>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</si>
  <si>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</si>
  <si>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</si>
  <si>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</si>
  <si>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</si>
  <si>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</si>
  <si>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</si>
  <si>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</si>
  <si>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</si>
  <si>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</si>
  <si>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</si>
  <si>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</si>
  <si>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</si>
  <si>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</si>
  <si>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</si>
  <si>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</si>
  <si>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</si>
  <si>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</si>
  <si>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</si>
  <si>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</si>
  <si>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</si>
  <si>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</si>
  <si>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</si>
  <si>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</si>
  <si>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</si>
  <si>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</si>
  <si>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</si>
  <si>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</si>
  <si>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</si>
  <si>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</si>
  <si>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</si>
  <si>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</si>
  <si>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</si>
  <si>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</si>
  <si>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</si>
  <si>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</si>
  <si>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</si>
  <si>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</si>
  <si>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</si>
  <si>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</si>
  <si>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</si>
  <si>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</si>
  <si>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</si>
  <si>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</si>
  <si>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</si>
  <si>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</si>
  <si>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</si>
  <si>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</si>
  <si>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</si>
  <si>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</si>
  <si>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</si>
  <si>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</si>
  <si>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</si>
  <si>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 ｜v13.1 D15 補登（原 J／H 欄為『—』）：決策：D15-05＋L7（J 欄放主要決策 D15-05；全部：D15-05＋L7） ｜v13.1 D15 建議標記：定義（比較基準）（類別欄 F 現為 Assumed，本版未改，待 Project 判斷）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</si>
  <si>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</si>
  <si>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</si>
  <si>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</si>
  <si>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</si>
  <si>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</si>
  <si>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</si>
  <si>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</si>
  <si>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</si>
  <si>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</si>
  <si>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</si>
  <si>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</si>
  <si>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</si>
  <si>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</si>
  <si>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D15-01</t>
  </si>
  <si>
    <t xml:space="preserve">錨點世代索引 ｜v13.1 D15 建議標記：定義（類別欄 F 現為 情境選擇，本版未改，待 Project 判斷）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</si>
  <si>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</si>
  <si>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</si>
  <si>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</si>
  <si>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</si>
  <si>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</si>
  <si>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</si>
  <si>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</si>
  <si>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</si>
  <si>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</si>
  <si>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</si>
  <si>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</si>
  <si>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</si>
  <si>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</si>
  <si>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</si>
  <si>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</si>
  <si>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</si>
  <si>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</si>
  <si>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</si>
  <si>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</si>
  <si>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</si>
  <si>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</si>
  <si>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</si>
  <si>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</si>
  <si>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</si>
  <si>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</si>
  <si>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</si>
  <si>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</si>
  <si>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</si>
  <si>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</si>
  <si>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</si>
  <si>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</si>
  <si>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</si>
  <si>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</si>
  <si>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GM329</t>
  </si>
  <si>
    <t xml:space="preserve">GM330</t>
  </si>
  <si>
    <t xml:space="preserve">G17</t>
  </si>
  <si>
    <t xml:space="preserve">GM331</t>
  </si>
  <si>
    <t xml:space="preserve">SRC_PERF_014</t>
  </si>
  <si>
    <t xml:space="preserve">GM332</t>
  </si>
  <si>
    <t xml:space="preserve">GM333</t>
  </si>
  <si>
    <t xml:space="preserve">GM334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</si>
  <si>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</si>
  <si>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</si>
  <si>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</si>
  <si>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</si>
  <si>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</si>
  <si>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</si>
  <si>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</si>
  <si>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</si>
  <si>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</si>
  <si>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</si>
  <si>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</si>
  <si>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</si>
  <si>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</si>
  <si>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</si>
  <si>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</si>
  <si>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</si>
  <si>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</si>
  <si>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</si>
  <si>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</si>
  <si>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</si>
  <si>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</si>
  <si>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</si>
  <si>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GM344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</si>
  <si>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</si>
  <si>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</si>
  <si>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GM346</t>
  </si>
  <si>
    <t xml:space="preserve">BB2-H4</t>
  </si>
  <si>
    <r>
      <rPr>
        <sz val="10"/>
        <color rgb="FF000000"/>
        <rFont val="Arial"/>
        <family val="0"/>
        <charset val="1"/>
      </rPr>
      <t xml:space="preserve">1.0–1.5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v12.0 H4</t>
    </r>
    <r>
      <rPr>
        <sz val="10"/>
        <color rgb="FF000000"/>
        <rFont val="Noto Sans CJK SC"/>
        <family val="2"/>
      </rPr>
      <t xml:space="preserve">：下端＝無額外跨節點延遲；上端＝現值）</t>
    </r>
  </si>
  <si>
    <t xml:space="preserve">倒推 → Assumed（v12.0 H4 更正；原字樣『倒推』保留於 AL 欄；類別依修訂九更正為 Assumed，見 Decisions BB2-H4、BB3-K3） ｜v13.0 K3：類別欄由『倒推』改為 Assumed，原字樣保留於 AL 欄</t>
  </si>
  <si>
    <r>
      <rPr>
        <sz val="11"/>
        <color theme="1"/>
        <rFont val="Calibri"/>
        <family val="2"/>
        <charset val="1"/>
      </rPr>
      <t xml:space="preserve">v13.0 </t>
    </r>
    <r>
      <rPr>
        <sz val="11"/>
        <color theme="1"/>
        <rFont val="Noto Sans CJK SC"/>
        <family val="2"/>
      </rPr>
      <t xml:space="preserve">前：類別＝倒推（</t>
    </r>
    <r>
      <rPr>
        <sz val="11"/>
        <color theme="1"/>
        <rFont val="Calibri"/>
        <family val="2"/>
        <charset val="1"/>
      </rPr>
      <t xml:space="preserve">v5.11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v12.0 H4 </t>
    </r>
    <r>
      <rPr>
        <sz val="11"/>
        <color theme="1"/>
        <rFont val="Noto Sans CJK SC"/>
        <family val="2"/>
      </rPr>
      <t xml:space="preserve">已註明無證據，</t>
    </r>
    <r>
      <rPr>
        <sz val="11"/>
        <color theme="1"/>
        <rFont val="Calibri"/>
        <family val="2"/>
        <charset val="1"/>
      </rPr>
      <t xml:space="preserve">Decisions BB2-H4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 </t>
    </r>
    <r>
      <rPr>
        <sz val="11"/>
        <color theme="1"/>
        <rFont val="Noto Sans CJK SC"/>
        <family val="2"/>
      </rPr>
      <t xml:space="preserve">前：區間文字＝</t>
    </r>
    <r>
      <rPr>
        <sz val="11"/>
        <color theme="1"/>
        <rFont val="Calibri"/>
        <family val="2"/>
        <charset val="1"/>
      </rPr>
      <t xml:space="preserve">1–3</t>
    </r>
    <r>
      <rPr>
        <sz val="11"/>
        <color theme="1"/>
        <rFont val="Noto Sans CJK SC"/>
        <family val="2"/>
      </rPr>
      <t xml:space="preserve">（原註）（低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v12.0</t>
    </r>
    <r>
      <rPr>
        <sz val="11"/>
        <color theme="1"/>
        <rFont val="Noto Sans CJK SC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1.0–1.5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）；現行區間 </t>
    </r>
    <r>
      <rPr>
        <sz val="11"/>
        <color theme="1"/>
        <rFont val="Calibri"/>
        <family val="2"/>
        <charset val="1"/>
      </rPr>
      <t xml:space="preserve">1.0–1.5 </t>
    </r>
    <r>
      <rPr>
        <sz val="11"/>
        <color theme="1"/>
        <rFont val="Noto Sans CJK SC"/>
        <family val="2"/>
      </rPr>
      <t xml:space="preserve">維持</t>
    </r>
  </si>
  <si>
    <t xml:space="preserve">GM347</t>
  </si>
  <si>
    <t xml:space="preserve">C2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</si>
  <si>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</si>
  <si>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 ｜v13.1 D15 補登（原 J／H 欄為『—』）：決策：C2（明文列名 GM346–350） ｜v13.1 D15 建議標記：定義（1＝沿用 GB300 擬合，NVLink 域內無跨節點延遲）（類別欄 F 現為 Assumed，本版未改，待 Project 判斷）</t>
  </si>
  <si>
    <t xml:space="preserve">GM348</t>
  </si>
  <si>
    <t xml:space="preserve">GM349</t>
  </si>
  <si>
    <t xml:space="preserve">GM350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</si>
  <si>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</si>
  <si>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</si>
  <si>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</si>
  <si>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</si>
  <si>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</si>
  <si>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</si>
  <si>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D15-09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</si>
  <si>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</si>
  <si>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D15-09</t>
    </r>
    <r>
      <rPr>
        <sz val="10"/>
        <color rgb="FF000000"/>
        <rFont val="Noto Sans CJK SC"/>
        <family val="2"/>
      </rPr>
      <t xml:space="preserve">（提議把 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擴用到本格）；同列 </t>
    </r>
    <r>
      <rPr>
        <sz val="10"/>
        <color rgb="FF000000"/>
        <rFont val="Arial"/>
        <family val="0"/>
        <charset val="1"/>
      </rPr>
      <t xml:space="preserve">F69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決定：擴用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（已搜尋，無可比對象）至本格（</t>
    </r>
    <r>
      <rPr>
        <sz val="10"/>
        <color rgb="FF000000"/>
        <rFont val="Arial"/>
        <family val="0"/>
        <charset val="1"/>
      </rPr>
      <t xml:space="preserve">Decisions D15-09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原列不改</t>
    </r>
  </si>
  <si>
    <t xml:space="preserve">GM353</t>
  </si>
  <si>
    <t xml:space="preserve">GM354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</si>
  <si>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 </t>
    </r>
    <r>
      <rPr>
        <sz val="10"/>
        <color rgb="FF000000"/>
        <rFont val="Noto Sans CJK SC"/>
        <family val="2"/>
      </rPr>
      <t xml:space="preserve">已追加 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</si>
  <si>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</si>
  <si>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GM356</t>
  </si>
  <si>
    <t xml:space="preserve">C90:E90</t>
  </si>
  <si>
    <t xml:space="preserve">情境值</t>
  </si>
  <si>
    <t xml:space="preserve">D15-02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</si>
  <si>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</si>
  <si>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</si>
  <si>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</si>
  <si>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</si>
  <si>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</si>
  <si>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</si>
  <si>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</si>
  <si>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</si>
  <si>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</si>
  <si>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</si>
  <si>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</si>
  <si>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</si>
  <si>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</si>
  <si>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</si>
  <si>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</si>
  <si>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</si>
  <si>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</si>
  <si>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</si>
  <si>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</si>
  <si>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</si>
  <si>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</si>
  <si>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</si>
  <si>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</si>
  <si>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</si>
  <si>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</si>
  <si>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</si>
  <si>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</si>
  <si>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</si>
  <si>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</si>
  <si>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</si>
  <si>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</si>
  <si>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</si>
  <si>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</si>
  <si>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</si>
  <si>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</si>
  <si>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</si>
  <si>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</si>
  <si>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</si>
  <si>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</si>
  <si>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</si>
  <si>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</si>
  <si>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</si>
  <si>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</si>
  <si>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情境選擇，本版未改，待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</si>
  <si>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</si>
  <si>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</si>
  <si>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</si>
  <si>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</si>
  <si>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</si>
  <si>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</si>
  <si>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</si>
  <si>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</si>
  <si>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</si>
  <si>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</si>
  <si>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</si>
  <si>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</si>
  <si>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</si>
  <si>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</si>
  <si>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</si>
  <si>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</si>
  <si>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</si>
  <si>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</si>
  <si>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</si>
  <si>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</si>
  <si>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</si>
  <si>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</si>
  <si>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</si>
  <si>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</si>
  <si>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</si>
  <si>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</si>
  <si>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</si>
  <si>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</si>
  <si>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</si>
  <si>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</si>
  <si>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</si>
  <si>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</si>
  <si>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</si>
  <si>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</si>
  <si>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</si>
  <si>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</si>
  <si>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</si>
  <si>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</si>
  <si>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</si>
  <si>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</si>
  <si>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t xml:space="preserve">D15-07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</si>
  <si>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</si>
  <si>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</si>
  <si>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</si>
  <si>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</si>
  <si>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</si>
  <si>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</si>
  <si>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</si>
  <si>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</si>
  <si>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</si>
  <si>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</si>
  <si>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</si>
  <si>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</si>
  <si>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</si>
  <si>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</si>
  <si>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</si>
  <si>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</si>
  <si>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</si>
  <si>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</si>
  <si>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</si>
  <si>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</si>
  <si>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</si>
  <si>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</si>
  <si>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</si>
  <si>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</si>
  <si>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</si>
  <si>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</si>
  <si>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</si>
  <si>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</si>
  <si>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</si>
  <si>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</si>
  <si>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</si>
  <si>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</si>
  <si>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</si>
  <si>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</si>
  <si>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</si>
  <si>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</si>
  <si>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</si>
  <si>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</si>
  <si>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</si>
  <si>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</si>
  <si>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</si>
  <si>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</si>
  <si>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</si>
  <si>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</si>
  <si>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C6:Q6</t>
  </si>
  <si>
    <t xml:space="preserve">世代／層級索引 ｜v13.1 D15 建議標記：定義（類別欄 F 現為 情境選擇，本版未改，待 Project 判斷）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</si>
  <si>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</si>
  <si>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</si>
  <si>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</si>
  <si>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</si>
  <si>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</si>
  <si>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</si>
  <si>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</si>
  <si>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</si>
  <si>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 ｜v13.1 D15 建議標記：定義（情境設定）（類別欄 F 現為 情境值，本版未改，待 Project 判斷）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</si>
  <si>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</si>
  <si>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</si>
  <si>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</si>
  <si>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</si>
  <si>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</si>
  <si>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</si>
  <si>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</si>
  <si>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</si>
  <si>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</si>
  <si>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</si>
  <si>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</si>
  <si>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 ｜v13.1 D15 建議標記：定義（情境設定）（類別欄 F 現為 情境值，本版未改，待 Project 判斷）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</si>
  <si>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</si>
  <si>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</si>
  <si>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</si>
  <si>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</si>
  <si>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 ｜v13.1 D15 建議標記：定義（情境設定）（類別欄 F 現為 情境值，本版未改，待 Project 判斷）</t>
  </si>
  <si>
    <t xml:space="preserve">GM426</t>
  </si>
  <si>
    <t xml:space="preserve">GM427</t>
  </si>
  <si>
    <t xml:space="preserve">切片二頁（v5.11 只登錄已連結格）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</si>
  <si>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</si>
  <si>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</si>
  <si>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</si>
  <si>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</si>
  <si>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</si>
  <si>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</si>
  <si>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</si>
  <si>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</si>
  <si>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</si>
  <si>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</si>
  <si>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</si>
  <si>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</si>
  <si>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</si>
  <si>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</si>
  <si>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</si>
  <si>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</si>
  <si>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</si>
  <si>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</si>
  <si>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</si>
  <si>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</si>
  <si>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</si>
  <si>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</si>
  <si>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</si>
  <si>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</si>
  <si>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 ｜v13.1 D15 建議標記：定義（顯示用）（類別欄 F 現為 Assumed，本版未改，待 Project 判斷）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</si>
  <si>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</si>
  <si>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</si>
  <si>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</si>
  <si>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</si>
  <si>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</si>
  <si>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</si>
  <si>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</si>
  <si>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</si>
  <si>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</si>
  <si>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</si>
  <si>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</si>
  <si>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</si>
  <si>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</si>
  <si>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</si>
  <si>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</si>
  <si>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</si>
  <si>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</si>
  <si>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</si>
  <si>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</si>
  <si>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</si>
  <si>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</si>
  <si>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有效折扣（Batch／Flex 半價＋企業議價，加權）</t>
  </si>
  <si>
    <t xml:space="preserve">SRC_PRC_045</t>
  </si>
  <si>
    <t xml:space="preserve">牌價事實（Batch 半價：OpenAI SRC_PRC_045、Anthropic SRC_PRC_046；占比與企業議價為假設）</t>
  </si>
  <si>
    <t xml:space="preserve">X40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</si>
  <si>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</si>
  <si>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 ｜v13.1 D15 補登（原 J／H 欄為『—』）：決策：X40（區間 0.1–0.4）；牌價事實：OpenAI Batch API「50% cost discount」（developers.openai.com／api／docs／guides／batch）、Anthropic Message Batches「50% of the standard API prices」（platform.claude.com 文件），本段 WebFetch 讀取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</si>
  <si>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</si>
  <si>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</si>
  <si>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</si>
  <si>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</si>
  <si>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</si>
  <si>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</si>
  <si>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SRC_DEM_046</t>
  </si>
  <si>
    <t xml:space="preserve">對照（程式代理實測 SRC_DEM_046–048：Pegatron 99.3%、Requesty Claude Code 91.9%，只代表一種用途）</t>
  </si>
  <si>
    <t xml:space="preserve">AF2e-M1</t>
  </si>
  <si>
    <t xml:space="preserve">參考請求快取命中率；成本與營收用同一 χ；與 OpenAI 模型 v0.5 一致 ｜v13.1 D15 補登（原 J／H 欄為『—』）：決策：AF2e-M1（快取命中同時進價格與產能）；對照：SRC_DEM_046–048（Pegatron 99.3%、Requesty Claude Code 91.9%，程式代理）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</si>
  <si>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</si>
  <si>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</si>
  <si>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</si>
  <si>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參考請求快取命中率；成本與營收用同一 χ；與 OpenAI 模型 v0.5 一致</t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</si>
  <si>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</si>
  <si>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</si>
  <si>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</si>
  <si>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</si>
  <si>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</si>
  <si>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</si>
  <si>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</si>
  <si>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</si>
  <si>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 ｜v13.1 D15 建議標記：定義（情境設定）（類別欄 F 現為 情境值，本版未改，待 Project 判斷）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</si>
  <si>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</si>
  <si>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</si>
  <si>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</si>
  <si>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</si>
  <si>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</si>
  <si>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</si>
  <si>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</si>
  <si>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</si>
  <si>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</si>
  <si>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</si>
  <si>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</si>
  <si>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</si>
  <si>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</si>
  <si>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</si>
  <si>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</si>
  <si>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</si>
  <si>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</si>
  <si>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</si>
  <si>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</si>
  <si>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</si>
  <si>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</si>
  <si>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</si>
  <si>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</si>
  <si>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</si>
  <si>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</si>
  <si>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</si>
  <si>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</si>
  <si>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</si>
  <si>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</si>
  <si>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</si>
  <si>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</si>
  <si>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</si>
  <si>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</si>
  <si>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</si>
  <si>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</si>
  <si>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</si>
  <si>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</si>
  <si>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</si>
  <si>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</si>
  <si>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</si>
  <si>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</si>
  <si>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</si>
  <si>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</si>
  <si>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</si>
  <si>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</si>
  <si>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</si>
  <si>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</si>
  <si>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</si>
  <si>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</si>
  <si>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</si>
  <si>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</si>
  <si>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</si>
  <si>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</si>
  <si>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</si>
  <si>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</si>
  <si>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</si>
  <si>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</si>
  <si>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</si>
  <si>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</si>
  <si>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</si>
  <si>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</si>
  <si>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</si>
  <si>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</si>
  <si>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</si>
  <si>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</si>
  <si>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</si>
  <si>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</si>
  <si>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</si>
  <si>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</si>
  <si>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</si>
  <si>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</si>
  <si>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</si>
  <si>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</si>
  <si>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</si>
  <si>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</si>
  <si>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</si>
  <si>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</si>
  <si>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</si>
  <si>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</si>
  <si>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</si>
  <si>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</si>
  <si>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</si>
  <si>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</si>
  <si>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</si>
  <si>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</si>
  <si>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</si>
  <si>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</si>
  <si>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</si>
  <si>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</si>
  <si>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</si>
  <si>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</si>
  <si>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</si>
  <si>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</si>
  <si>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</si>
  <si>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</si>
  <si>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</si>
  <si>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</si>
  <si>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</si>
  <si>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</si>
  <si>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</si>
  <si>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</si>
  <si>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</si>
  <si>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</si>
  <si>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</si>
  <si>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</si>
  <si>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</si>
  <si>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</si>
  <si>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</si>
  <si>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</si>
  <si>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</si>
  <si>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</si>
  <si>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</si>
  <si>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</si>
  <si>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</si>
  <si>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</si>
  <si>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</si>
  <si>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</si>
  <si>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</si>
  <si>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</si>
  <si>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</si>
  <si>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</si>
  <si>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</si>
  <si>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</si>
  <si>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</si>
  <si>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</si>
  <si>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</si>
  <si>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t xml:space="preserve">AF3B-Q3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</si>
  <si>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</si>
  <si>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</si>
  <si>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</si>
  <si>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</si>
  <si>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</si>
  <si>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</si>
  <si>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 ｜v13.1 D15 補登（原 J／H 欄為『—』）：決策：L1＋D15-05（J 欄放主要決策 L1；全部：L1＋D15-05）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</si>
  <si>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</si>
  <si>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</si>
  <si>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</si>
  <si>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</si>
  <si>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 ｜v13.1 D15 補登（原 J／H 欄為『—』）：決策：L1＋D15-05（J 欄放主要決策 L1；全部：L1＋D15-05）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</si>
  <si>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</si>
  <si>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</si>
  <si>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</si>
  <si>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</si>
  <si>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 ｜v13.1 D15 補登（原 J／H 欄為『—』）：決策：L1＋D15-05（J 欄放主要決策 L1；全部：L1＋D15-05）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</si>
  <si>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</si>
  <si>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</si>
  <si>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</si>
  <si>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 ｜v13.1 D15 補登（原 J／H 欄為『—』）：決策：L1＋D15-05（J 欄放主要決策 L1；全部：L1＋D15-05）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</si>
  <si>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</si>
  <si>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</si>
  <si>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</si>
  <si>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 ｜v13.1 D15 補登（原 J／H 欄為『—』）：決策：L1＋D15-05（J 欄放主要決策 L1；全部：L1＋D15-05）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</si>
  <si>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</si>
  <si>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</si>
  <si>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</si>
  <si>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 ｜v13.1 D15 補登（原 J／H 欄為『—』）：決策：L1＋D15-05（J 欄放主要決策 L1；全部：L1＋D15-05）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</si>
  <si>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</si>
  <si>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</si>
  <si>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</si>
  <si>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</si>
  <si>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</si>
  <si>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</si>
  <si>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</si>
  <si>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</si>
  <si>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</si>
  <si>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 ｜v13.1 D15 補登（原 J／H 欄為『—』）：決策：L1＋D15-05（J 欄放主要決策 L1；全部：L1＋D15-05） ｜v14.1 已移除（R3，修訂九更正註記）：Har_In C20:G20 的旗標值已清空（無任何公式讀取）；本列原文與原值保留於此與 Decisions SL44-3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</si>
  <si>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</si>
  <si>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</si>
  <si>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</si>
  <si>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</si>
  <si>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 ｜v13.1 D15 補登（原 J／H 欄為『—』）：決策：L1＋D15-05（J 欄放主要決策 L1；全部：L1＋D15-05）</t>
  </si>
  <si>
    <t xml:space="preserve">GM491</t>
  </si>
  <si>
    <t xml:space="preserve">C25:G25</t>
  </si>
  <si>
    <t xml:space="preserve">檔案 3（多代理編排）：思考保留；基準 0 ｜v13.1 D15 補登（原 J／H 欄為『—』）：決策：L1＋D15-05（J 欄放主要決策 L1；全部：L1＋D15-05）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</si>
  <si>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</si>
  <si>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</si>
  <si>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</si>
  <si>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 ｜v13.1 D15 補登（原 J／H 欄為『—』）：決策：L1＋D15-05（J 欄放主要決策 L1；全部：L1＋D15-05）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</si>
  <si>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</si>
  <si>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</si>
  <si>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</si>
  <si>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 ｜v13.1 D15 補登（原 J／H 欄為『—』）：決策：L1＋D15-05（J 欄放主要決策 L1；全部：L1＋D15-05）</t>
  </si>
  <si>
    <t xml:space="preserve">GM494</t>
  </si>
  <si>
    <t xml:space="preserve">C28:G28</t>
  </si>
  <si>
    <t xml:space="preserve">檔案 3（多代理編排）：快取命中變動；基準 0 ｜v13.1 D15 補登（原 J／H 欄為『—』）：決策：L1＋D15-05（J 欄放主要決策 L1；全部：L1＋D15-05）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</si>
  <si>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</si>
  <si>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</si>
  <si>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</si>
  <si>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 ｜v13.1 D15 補登（原 J／H 欄為『—』）：決策：L1＋D15-05（J 欄放主要決策 L1；全部：L1＋D15-05）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</si>
  <si>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</si>
  <si>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</si>
  <si>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</si>
  <si>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 ｜v13.1 D15 補登（原 J／H 欄為『—』）：決策：L1＋D15-05（J 欄放主要決策 L1；全部：L1＋D15-05）</t>
  </si>
  <si>
    <t xml:space="preserve">GM497</t>
  </si>
  <si>
    <t xml:space="preserve">C32:G32</t>
  </si>
  <si>
    <t xml:space="preserve">檔案 3（多代理編排）：供應商專屬旗標：編排框架多為開源或自建（0） ｜v13.1 D15 補登（原 J／H 欄為『—』）：決策：L1＋D15-05（J 欄放主要決策 L1；全部：L1＋D15-05） ｜v14.1 已移除（R3，修訂九更正註記）：Har_In C32:G32 的旗標值已清空（無任何公式讀取）；本列原文與原值保留於此與 Decisions SL44-3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</si>
  <si>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</si>
  <si>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</si>
  <si>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</si>
  <si>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</si>
  <si>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</si>
  <si>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</si>
  <si>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</si>
  <si>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</si>
  <si>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</si>
  <si>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</si>
  <si>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</si>
  <si>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</si>
  <si>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</si>
  <si>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</si>
  <si>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</si>
  <si>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</si>
  <si>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</si>
  <si>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</si>
  <si>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</si>
  <si>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</si>
  <si>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</si>
  <si>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</si>
  <si>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</si>
  <si>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</si>
  <si>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</si>
  <si>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</si>
  <si>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</si>
  <si>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</si>
  <si>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</si>
  <si>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</si>
  <si>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</si>
  <si>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</si>
  <si>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D15-05</t>
    </r>
    <r>
      <rPr>
        <sz val="10"/>
        <color rgb="FF000000"/>
        <rFont val="Noto Sans CJK SC"/>
        <family val="2"/>
      </rPr>
      <t xml:space="preserve">）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</si>
  <si>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</si>
  <si>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</si>
  <si>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D15-02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</si>
  <si>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</si>
  <si>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</si>
  <si>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</si>
  <si>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</si>
  <si>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</si>
  <si>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</si>
  <si>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</si>
  <si>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</si>
  <si>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</si>
  <si>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</si>
  <si>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</si>
  <si>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</si>
  <si>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</si>
  <si>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</si>
  <si>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</si>
  <si>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</si>
  <si>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</si>
  <si>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</si>
  <si>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</si>
  <si>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</si>
  <si>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</si>
  <si>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</si>
  <si>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</si>
  <si>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</si>
  <si>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</si>
  <si>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</si>
  <si>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</si>
  <si>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</si>
  <si>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</si>
  <si>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</si>
  <si>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</si>
  <si>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</si>
  <si>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 ｜v13.1 D15 建議標記：定義（類別欄 F 現為 情境選擇，本版未改，待 Project 判斷）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</si>
  <si>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</si>
  <si>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</si>
  <si>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</si>
  <si>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</si>
  <si>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</si>
  <si>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</si>
  <si>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</si>
  <si>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</si>
  <si>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</si>
  <si>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</si>
  <si>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</si>
  <si>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 ｜v13.1 D15 補登（原 J／H 欄為『—』）：決策：G0-6＋L3（J 欄放主要決策 G0-6；全部：G0-6＋L3） ｜v13.1 D15 建議標記：定義（採用比例定義域 0–1）（類別欄 F 現為 Assumed，本版未改，待 Project 判斷）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</si>
  <si>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</si>
  <si>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</si>
  <si>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</si>
  <si>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</si>
  <si>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</si>
  <si>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</si>
  <si>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</si>
  <si>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</si>
  <si>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</si>
  <si>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</si>
  <si>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</si>
  <si>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</si>
  <si>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</si>
  <si>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</si>
  <si>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</si>
  <si>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t xml:space="preserve">D15-08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</si>
  <si>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</si>
  <si>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</si>
  <si>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</si>
  <si>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</si>
  <si>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</si>
  <si>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</si>
  <si>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</si>
  <si>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</si>
  <si>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建議標記：定義（方法選擇）（類別欄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</si>
  <si>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</si>
  <si>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</si>
  <si>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</si>
  <si>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</si>
  <si>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</si>
  <si>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</si>
  <si>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</si>
  <si>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</si>
  <si>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</si>
  <si>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</si>
  <si>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</si>
  <si>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</si>
  <si>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</si>
  <si>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</si>
  <si>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</si>
  <si>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</si>
  <si>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</si>
  <si>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</si>
  <si>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</si>
  <si>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</si>
  <si>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</si>
  <si>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</si>
  <si>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</si>
  <si>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</si>
  <si>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</si>
  <si>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</si>
  <si>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</si>
  <si>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</si>
  <si>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</si>
  <si>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</si>
  <si>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</si>
  <si>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</si>
  <si>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</si>
  <si>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</si>
  <si>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</si>
  <si>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</si>
  <si>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</si>
  <si>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</si>
  <si>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</si>
  <si>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</si>
  <si>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</si>
  <si>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</si>
  <si>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</si>
  <si>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</si>
  <si>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</si>
  <si>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</si>
  <si>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</si>
  <si>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</si>
  <si>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</si>
  <si>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</si>
  <si>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</si>
  <si>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</si>
  <si>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</si>
  <si>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</si>
  <si>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</si>
  <si>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</si>
  <si>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</si>
  <si>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</si>
  <si>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</si>
  <si>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</si>
  <si>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</si>
  <si>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</si>
  <si>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</si>
  <si>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</si>
  <si>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</si>
  <si>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</si>
  <si>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</si>
  <si>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</si>
  <si>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</si>
  <si>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</si>
  <si>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</si>
  <si>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</si>
  <si>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</si>
  <si>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</si>
  <si>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</si>
  <si>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</si>
  <si>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</si>
  <si>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</si>
  <si>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</si>
  <si>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</si>
  <si>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</si>
  <si>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</si>
  <si>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</si>
  <si>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</si>
  <si>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</si>
  <si>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</si>
  <si>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</si>
  <si>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</si>
  <si>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</si>
  <si>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世代索引 ｜v13.1 D15 建議標記：定義（類別欄 F 現為 情境選擇，本版未改，待 Project 判斷）</t>
  </si>
  <si>
    <t xml:space="preserve">GM550</t>
  </si>
  <si>
    <t xml:space="preserve">層級索引 ｜v13.1 D15 建議標記：定義（類別欄 F 現為 情境選擇，本版未改，待 Project 判斷）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</si>
  <si>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</si>
  <si>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</si>
  <si>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</si>
  <si>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</si>
  <si>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</si>
  <si>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</si>
  <si>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</si>
  <si>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</si>
  <si>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</si>
  <si>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</si>
  <si>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</si>
  <si>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</si>
  <si>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</si>
  <si>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</si>
  <si>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</si>
  <si>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</si>
  <si>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</si>
  <si>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GM556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</si>
  <si>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</si>
  <si>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</si>
  <si>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</si>
  <si>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</si>
  <si>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</si>
  <si>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</si>
  <si>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</si>
  <si>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</si>
  <si>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</si>
  <si>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</si>
  <si>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</si>
  <si>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</si>
  <si>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</si>
  <si>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</si>
  <si>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</si>
  <si>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</si>
  <si>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</si>
  <si>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</si>
  <si>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</si>
  <si>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</si>
  <si>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</si>
  <si>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</si>
  <si>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</si>
  <si>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</si>
  <si>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</si>
  <si>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</si>
  <si>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</si>
  <si>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</si>
  <si>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</si>
  <si>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</si>
  <si>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</si>
  <si>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</si>
  <si>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</si>
  <si>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</si>
  <si>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</si>
  <si>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</si>
  <si>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v10.3 4-2a 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B20:B21 </t>
    </r>
    <r>
      <rPr>
        <sz val="10"/>
        <color rgb="FF000000"/>
        <rFont val="Noto Sans CJK SC"/>
        <family val="2"/>
      </rPr>
      <t xml:space="preserve">已改為公式（讀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商業壽命低／高），本列保留登錄（情境值的範圍說明）；改值請改 </t>
    </r>
    <r>
      <rPr>
        <sz val="10"/>
        <color rgb="FF000000"/>
        <rFont val="Arial"/>
        <family val="0"/>
        <charset val="1"/>
      </rPr>
      <t xml:space="preserve">Cap_In D23:D24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</si>
  <si>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</si>
  <si>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</si>
  <si>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</si>
  <si>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 ｜v13.1 D15 建議標記：定義（情境設定）（類別欄 F 現為 情境值，本版未改，待 Project 判斷）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</si>
  <si>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</si>
  <si>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</si>
  <si>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建議標記：定義（情境設定）（類別欄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情境值，本版未改，待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</si>
  <si>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</si>
  <si>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</si>
  <si>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</si>
  <si>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</si>
  <si>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t xml:space="preserve">推導自 V4 模型卡結構（SRC_MOD_009 KV head、016 壓縮 128×、018／019 CSA top-k 與塊長、015／054 全注意力層比例）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</si>
  <si>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</si>
  <si>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head 512 </t>
    </r>
    <r>
      <rPr>
        <sz val="10"/>
        <color rgb="FF000000"/>
        <rFont val="Noto Sans CJK SC"/>
        <family val="2"/>
      </rPr>
      <t xml:space="preserve">維）、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HCA </t>
    </r>
    <r>
      <rPr>
        <sz val="10"/>
        <color rgb="FF000000"/>
        <rFont val="Noto Sans CJK SC"/>
        <family val="2"/>
      </rPr>
      <t xml:space="preserve">壓縮 </t>
    </r>
    <r>
      <rPr>
        <sz val="10"/>
        <color rgb="FF000000"/>
        <rFont val="Arial"/>
        <family val="0"/>
        <charset val="1"/>
      </rPr>
      <t xml:space="preserve">128×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CSA top-k 1,024 </t>
    </r>
    <r>
      <rPr>
        <sz val="10"/>
        <color rgb="FF000000"/>
        <rFont val="Noto Sans CJK SC"/>
        <family val="2"/>
      </rPr>
      <t xml:space="preserve">塊、塊長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（全注意力層比例）；決策：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建議標記：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（由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模型卡結構推得）（類別欄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現為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，本版未改，待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</si>
  <si>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</si>
  <si>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</si>
  <si>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</si>
  <si>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</si>
  <si>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</si>
  <si>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</si>
  <si>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</si>
  <si>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</si>
  <si>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</si>
  <si>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</si>
  <si>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</si>
  <si>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</si>
  <si>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</si>
  <si>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</si>
  <si>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</si>
  <si>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</si>
  <si>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t xml:space="preserve">A7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</si>
  <si>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</si>
  <si>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</si>
  <si>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</si>
  <si>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</si>
  <si>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</si>
  <si>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</si>
  <si>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</si>
  <si>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t xml:space="preserve">A2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</si>
  <si>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</si>
  <si>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</si>
  <si>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</si>
  <si>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</si>
  <si>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</si>
  <si>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</si>
  <si>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</si>
  <si>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</si>
  <si>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t xml:space="preserve">A3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</si>
  <si>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</si>
  <si>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</si>
  <si>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</si>
  <si>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</si>
  <si>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</si>
  <si>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</si>
  <si>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</si>
  <si>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t xml:space="preserve">A6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</si>
  <si>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</si>
  <si>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</si>
  <si>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</si>
  <si>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</si>
  <si>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</si>
  <si>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</si>
  <si>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</si>
  <si>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t xml:space="preserve">A9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</si>
  <si>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年化方法）；</t>
    </r>
    <r>
      <rPr>
        <sz val="10"/>
        <color rgb="FF000000"/>
        <rFont val="Arial"/>
        <family val="0"/>
        <charset val="1"/>
      </rPr>
      <t xml:space="preserve">E260 </t>
    </r>
    <r>
      <rPr>
        <sz val="10"/>
        <color rgb="FF000000"/>
        <rFont val="Noto Sans CJK SC"/>
        <family val="2"/>
      </rPr>
      <t xml:space="preserve">不採納（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系列）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</si>
  <si>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</si>
  <si>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</si>
  <si>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</si>
  <si>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</si>
  <si>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</si>
  <si>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</si>
  <si>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</si>
  <si>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t xml:space="preserve">A10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</si>
  <si>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數）、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（高端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v13.1 D15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照預設，</t>
    </r>
    <r>
      <rPr>
        <sz val="10"/>
        <color rgb="FF000000"/>
        <rFont val="Arial"/>
        <family val="0"/>
        <charset val="1"/>
      </rPr>
      <t xml:space="preserve">Decisions D15-12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不動；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 38,186 </t>
    </r>
    <r>
      <rPr>
        <sz val="10"/>
        <color rgb="FF000000"/>
        <rFont val="Noto Sans CJK SC"/>
        <family val="2"/>
      </rPr>
      <t xml:space="preserve">為輸入區間上限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</si>
  <si>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</si>
  <si>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</si>
  <si>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</si>
  <si>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</si>
  <si>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</si>
  <si>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t xml:space="preserve">X30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</si>
  <si>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</si>
  <si>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 ｜v13.1 D15 補登（原 J／H 欄為『—』）：決策：X30（免費占比不改，並列支出口徑對照）、AF2e-M2（免費占比一律 token 口徑）（J 欄放主要決策 X30；全部：X30＋AF2e-M2）</t>
  </si>
  <si>
    <t xml:space="preserve">GM590</t>
  </si>
  <si>
    <t xml:space="preserve">C9:C12</t>
  </si>
  <si>
    <t xml:space="preserve">服務世代組合（Hopper／GB200／GB300／VR200）</t>
  </si>
  <si>
    <t xml:space="preserve">AF3B-D3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</si>
  <si>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</si>
  <si>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 ｜</t>
    </r>
    <r>
      <rPr>
        <sz val="10"/>
        <color rgb="FF000000"/>
        <rFont val="Arial"/>
        <family val="0"/>
        <charset val="1"/>
      </rPr>
      <t xml:space="preserve">v13.1 D15 </t>
    </r>
    <r>
      <rPr>
        <sz val="10"/>
        <color rgb="FF000000"/>
        <rFont val="Noto Sans CJK SC"/>
        <family val="2"/>
      </rPr>
      <t xml:space="preserve">補登（原 </t>
    </r>
    <r>
      <rPr>
        <sz val="10"/>
        <color rgb="FF000000"/>
        <rFont val="Arial"/>
        <family val="0"/>
        <charset val="1"/>
      </rPr>
      <t xml:space="preserve">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欄為『—』）：決策：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全年平均區間）、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基準年世代組合）（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欄放主要決策 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；全部：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</si>
  <si>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</si>
  <si>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</si>
  <si>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</si>
  <si>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</si>
  <si>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</si>
  <si>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</si>
  <si>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</si>
  <si>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</si>
  <si>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</si>
  <si>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</si>
  <si>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</si>
  <si>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</si>
  <si>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</si>
  <si>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</si>
  <si>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</si>
  <si>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</si>
  <si>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</si>
  <si>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</si>
  <si>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</si>
  <si>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</si>
  <si>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</si>
  <si>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</si>
  <si>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</si>
  <si>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</si>
  <si>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</si>
  <si>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</si>
  <si>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</si>
  <si>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</si>
  <si>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</si>
  <si>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</si>
  <si>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</si>
  <si>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</si>
  <si>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</si>
  <si>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</si>
  <si>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</si>
  <si>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</si>
  <si>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</si>
  <si>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</si>
  <si>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</si>
  <si>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</si>
  <si>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</si>
  <si>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</si>
  <si>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</si>
  <si>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</si>
  <si>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</si>
  <si>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</si>
  <si>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</si>
  <si>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</si>
  <si>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</si>
  <si>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</si>
  <si>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</si>
  <si>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</si>
  <si>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</si>
  <si>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</si>
  <si>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</si>
  <si>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</si>
  <si>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</si>
  <si>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</si>
  <si>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</si>
  <si>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</si>
  <si>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</si>
  <si>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</si>
  <si>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</si>
  <si>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</si>
  <si>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</si>
  <si>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</si>
  <si>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</si>
  <si>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</si>
  <si>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</si>
  <si>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</si>
  <si>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</si>
  <si>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</si>
  <si>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</si>
  <si>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</si>
  <si>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</si>
  <si>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</si>
  <si>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</si>
  <si>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</si>
  <si>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</si>
  <si>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</si>
  <si>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</si>
  <si>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</si>
  <si>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</si>
  <si>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</si>
  <si>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</si>
  <si>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</si>
  <si>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</si>
  <si>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</si>
  <si>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</si>
  <si>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</si>
  <si>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</si>
  <si>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</si>
  <si>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</si>
  <si>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</si>
  <si>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</si>
  <si>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</si>
  <si>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</si>
  <si>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</si>
  <si>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</si>
  <si>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</si>
  <si>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</si>
  <si>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</si>
  <si>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</si>
  <si>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</si>
  <si>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</si>
  <si>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</si>
  <si>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</si>
  <si>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</si>
  <si>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</si>
  <si>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</si>
  <si>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</si>
  <si>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</si>
  <si>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</si>
  <si>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</si>
  <si>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</si>
  <si>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</si>
  <si>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</si>
  <si>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</si>
  <si>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</si>
  <si>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</si>
  <si>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</si>
  <si>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</si>
  <si>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</si>
  <si>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</si>
  <si>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</si>
  <si>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</si>
  <si>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</si>
  <si>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</si>
  <si>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</si>
  <si>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</si>
  <si>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</si>
  <si>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</si>
  <si>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</si>
  <si>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</si>
  <si>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</si>
  <si>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</si>
  <si>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</si>
  <si>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</si>
  <si>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</si>
  <si>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</si>
  <si>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</si>
  <si>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</si>
  <si>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</si>
  <si>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</si>
  <si>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</si>
  <si>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</si>
  <si>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</si>
  <si>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</si>
  <si>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</si>
  <si>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</si>
  <si>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</si>
  <si>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</si>
  <si>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</si>
  <si>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</si>
  <si>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</si>
  <si>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</si>
  <si>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</si>
  <si>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</si>
  <si>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</si>
  <si>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</si>
  <si>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</si>
  <si>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</si>
  <si>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</si>
  <si>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</si>
  <si>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</si>
  <si>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</si>
  <si>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</si>
  <si>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</si>
  <si>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</si>
  <si>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</si>
  <si>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</si>
  <si>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</si>
  <si>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</si>
  <si>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</si>
  <si>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</si>
  <si>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</si>
  <si>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</si>
  <si>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</si>
  <si>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</si>
  <si>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已清空（修訂九更正註記；</t>
    </r>
    <r>
      <rPr>
        <sz val="10"/>
        <color rgb="FF000000"/>
        <rFont val="Arial"/>
        <family val="0"/>
        <charset val="1"/>
      </rPr>
      <t xml:space="preserve">v14.1 R6 </t>
    </r>
    <r>
      <rPr>
        <sz val="10"/>
        <color rgb="FF000000"/>
        <rFont val="Noto Sans CJK SC"/>
        <family val="2"/>
      </rPr>
      <t xml:space="preserve">補記）：</t>
    </r>
    <r>
      <rPr>
        <sz val="10"/>
        <color rgb="FF000000"/>
        <rFont val="Arial"/>
        <family val="0"/>
        <charset val="1"/>
      </rPr>
      <t xml:space="preserve">Cap_In C204:F204 </t>
    </r>
    <r>
      <rPr>
        <sz val="10"/>
        <color rgb="FF000000"/>
        <rFont val="Noto Sans CJK SC"/>
        <family val="2"/>
      </rPr>
      <t xml:space="preserve">的值已於 </t>
    </r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4-3B Q1</t>
    </r>
    <r>
      <rPr>
        <sz val="10"/>
        <color rgb="FF000000"/>
        <rFont val="Noto Sans CJK SC"/>
        <family val="2"/>
      </rPr>
      <t xml:space="preserve">）清空，本列原文保留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</si>
  <si>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</si>
  <si>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</si>
  <si>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</si>
  <si>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</si>
  <si>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</si>
  <si>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</si>
  <si>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</si>
  <si>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</si>
  <si>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</si>
  <si>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</si>
  <si>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</si>
  <si>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</si>
  <si>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</si>
  <si>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</si>
  <si>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</si>
  <si>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</si>
  <si>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</si>
  <si>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</si>
  <si>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</si>
  <si>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</si>
  <si>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</si>
  <si>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</si>
  <si>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</si>
  <si>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</si>
  <si>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</si>
  <si>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</si>
  <si>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</si>
  <si>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</si>
  <si>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</si>
  <si>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</si>
  <si>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</si>
  <si>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</si>
  <si>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</si>
  <si>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</si>
  <si>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</si>
  <si>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</si>
  <si>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</si>
  <si>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</si>
  <si>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</si>
  <si>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</si>
  <si>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</si>
  <si>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</si>
  <si>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</si>
  <si>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</si>
  <si>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</si>
  <si>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</si>
  <si>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</si>
  <si>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</si>
  <si>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</si>
  <si>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</si>
  <si>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</si>
  <si>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</si>
  <si>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</si>
  <si>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</si>
  <si>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</si>
  <si>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</si>
  <si>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</si>
  <si>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</si>
  <si>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</si>
  <si>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</si>
  <si>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</si>
  <si>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</si>
  <si>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</si>
  <si>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</si>
  <si>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</si>
  <si>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</si>
  <si>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</si>
  <si>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</si>
  <si>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</si>
  <si>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</si>
  <si>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</si>
  <si>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</si>
  <si>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</si>
  <si>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</si>
  <si>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</si>
  <si>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</si>
  <si>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</si>
  <si>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</si>
  <si>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</si>
  <si>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</si>
  <si>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</si>
  <si>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</si>
  <si>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</si>
  <si>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</si>
  <si>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</si>
  <si>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</si>
  <si>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</si>
  <si>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</si>
  <si>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</si>
  <si>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</si>
  <si>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</si>
  <si>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</si>
  <si>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</si>
  <si>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</si>
  <si>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</si>
  <si>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</si>
  <si>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</si>
  <si>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</si>
  <si>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</si>
  <si>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</si>
  <si>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</si>
  <si>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</si>
  <si>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</si>
  <si>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</si>
  <si>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</si>
  <si>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</si>
  <si>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</si>
  <si>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</si>
  <si>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</si>
  <si>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</si>
  <si>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</si>
  <si>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</si>
  <si>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</si>
  <si>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</si>
  <si>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</si>
  <si>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</si>
  <si>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</si>
  <si>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</si>
  <si>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</si>
  <si>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</si>
  <si>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</si>
  <si>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</si>
  <si>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</si>
  <si>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</si>
  <si>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</si>
  <si>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</si>
  <si>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</si>
  <si>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</si>
  <si>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</si>
  <si>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</si>
  <si>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</si>
  <si>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</si>
  <si>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</si>
  <si>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</si>
  <si>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</si>
  <si>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</si>
  <si>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</si>
  <si>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</si>
  <si>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</si>
  <si>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</si>
  <si>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</si>
  <si>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</si>
  <si>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</si>
  <si>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</si>
  <si>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</si>
  <si>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</si>
  <si>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</si>
  <si>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</si>
  <si>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</si>
  <si>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</si>
  <si>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</si>
  <si>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</si>
  <si>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</si>
  <si>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</si>
  <si>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</si>
  <si>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</si>
  <si>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</si>
  <si>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</si>
  <si>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</si>
  <si>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</si>
  <si>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</si>
  <si>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</si>
  <si>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</si>
  <si>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</si>
  <si>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</si>
  <si>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</si>
  <si>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</si>
  <si>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</si>
  <si>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</si>
  <si>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</si>
  <si>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</si>
  <si>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</si>
  <si>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</si>
  <si>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</si>
  <si>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</si>
  <si>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</si>
  <si>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</si>
  <si>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</si>
  <si>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</si>
  <si>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</si>
  <si>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</si>
  <si>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</si>
  <si>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</si>
  <si>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</si>
  <si>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</si>
  <si>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</si>
  <si>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</si>
  <si>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</si>
  <si>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</si>
  <si>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</si>
  <si>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</si>
  <si>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</si>
  <si>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</si>
  <si>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</si>
  <si>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</si>
  <si>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</si>
  <si>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</si>
  <si>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</si>
  <si>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</si>
  <si>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</si>
  <si>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</si>
  <si>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</si>
  <si>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</si>
  <si>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</si>
  <si>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I94:L95</t>
  </si>
  <si>
    <t xml:space="preserve">服務世代組合：全 GB200／全 VR200（G 節敏感度 one-hot 輸入）</t>
  </si>
  <si>
    <t xml:space="preserve">AF2c-J5</t>
  </si>
  <si>
    <t xml:space="preserve">敏感度情境設定：G 節第 94 列＝全 GB200（J94＝1）、第 95 列＝全 VR200（L95＝1），其餘為 0；黃底藍字。v6.2 起存在但未登錄，v10.1 補登（4-0 盤點 G2）；不改任何輸入值 ｜v13.1 D15 建議標記：定義（情境設定）（類別欄 F 現為 情境值，本版未改，待 Project 判斷）</t>
  </si>
  <si>
    <t xml:space="preserve">GM682</t>
  </si>
  <si>
    <t xml:space="preserve">切片四（v10.3 瘦身 4-2a）</t>
  </si>
  <si>
    <t xml:space="preserve">C207</t>
  </si>
  <si>
    <t xml:space="preserve">SL42-F1</t>
  </si>
  <si>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</si>
  <si>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外部對照欄 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的判讀容差（</t>
    </r>
    <r>
      <rPr>
        <sz val="10"/>
        <color rgb="FF000000"/>
        <rFont val="Arial"/>
        <family val="0"/>
        <charset val="1"/>
      </rPr>
      <t xml:space="preserve">±20%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96 </t>
    </r>
    <r>
      <rPr>
        <sz val="10"/>
        <color rgb="FF000000"/>
        <rFont val="Noto Sans CJK SC"/>
        <family val="2"/>
      </rPr>
      <t xml:space="preserve">格公式；外露後數值不變。非物理量，只決定文字判讀，不進任何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數值；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是慣例值，無來源；區間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端預設。已搜尋：無可比對象（判讀門檻不是可量測物理量）</t>
    </r>
  </si>
  <si>
    <t xml:space="preserve">GM683</t>
  </si>
  <si>
    <r>
      <rPr>
        <sz val="10"/>
        <color rgb="FF000000"/>
        <rFont val="Arial"/>
        <family val="0"/>
        <charset val="1"/>
      </rPr>
      <t xml:space="preserve">1.2–2.0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</si>
  <si>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單架機架價格低端倍數（＝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G11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</si>
  <si>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GM684</t>
  </si>
  <si>
    <r>
      <rPr>
        <sz val="10"/>
        <color rgb="FF000000"/>
        <rFont val="Arial"/>
        <family val="0"/>
        <charset val="1"/>
      </rPr>
      <t xml:space="preserve">2.0–3.0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</si>
  <si>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單架機架價格高端倍數（＝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F12 × </t>
    </r>
    <r>
      <rPr>
        <sz val="10"/>
        <color rgb="FF000000"/>
        <rFont val="Noto Sans CJK SC"/>
        <family val="2"/>
      </rPr>
      <t xml:space="preserve">本值，基準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前寫死在 </t>
    </r>
    <r>
      <rPr>
        <sz val="10"/>
        <color rgb="FF000000"/>
        <rFont val="Arial"/>
        <family val="0"/>
        <charset val="1"/>
      </rPr>
      <t xml:space="preserve">Spec_Rack G13 </t>
    </r>
    <r>
      <rPr>
        <sz val="10"/>
        <color rgb="FF000000"/>
        <rFont val="Noto Sans CJK SC"/>
        <family val="2"/>
      </rPr>
      <t xml:space="preserve">公式，外露後數值不變。無來源，待證據（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為推估欄，不進基準比較）；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節以區間呈現；區間為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端預設。已搜尋：未見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機架定價公開來源</t>
    </r>
  </si>
  <si>
    <t xml:space="preserve">GM685</t>
  </si>
  <si>
    <t xml:space="preserve">切片四（v11.0 大批次修正）</t>
  </si>
  <si>
    <t xml:space="preserve">批次口徑 η_d 倍數：GB200（CAL_BatchEtaD）</t>
  </si>
  <si>
    <t xml:space="preserve">SRC_PERF_074</t>
  </si>
  <si>
    <t xml:space="preserve">校準目標（vLLM GB200 10.1K，Calib J 節 D 欄；解 3.037）</t>
  </si>
  <si>
    <t xml:space="preserve">BB-G2</t>
  </si>
  <si>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（兩個批次口徑反推點：</t>
    </r>
    <r>
      <rPr>
        <sz val="10"/>
        <color rgb="FF000000"/>
        <rFont val="Arial"/>
        <family val="0"/>
        <charset val="1"/>
      </rPr>
      <t xml:space="preserve">V20 MLPerf offline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vLLM 10.1K 3.04</t>
    </r>
    <r>
      <rPr>
        <sz val="10"/>
        <color rgb="FF000000"/>
        <rFont val="Noto Sans CJK SC"/>
        <family val="2"/>
      </rPr>
      <t xml:space="preserve">；基準＝幾何平均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</si>
  <si>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：批次推論與訓練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）。校準：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）求解 </t>
    </r>
    <r>
      <rPr>
        <sz val="10"/>
        <color rgb="FF000000"/>
        <rFont val="Arial"/>
        <family val="0"/>
        <charset val="1"/>
      </rPr>
      <t xml:space="preserve">3.037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1.000</t>
    </r>
    <r>
      <rPr>
        <sz val="10"/>
        <color rgb="FF000000"/>
        <rFont val="Noto Sans CJK SC"/>
        <family val="2"/>
      </rPr>
      <t xml:space="preserve">）；標記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（校準，單一目標點，利害關係方來源）。區間涵蓋各驗證點反推的值（</t>
    </r>
    <r>
      <rPr>
        <sz val="10"/>
        <color rgb="FF000000"/>
        <rFont val="Arial"/>
        <family val="0"/>
        <charset val="1"/>
      </rPr>
      <t xml:space="preserve">V20 MLPerf offline GB200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V8 LMSYS NVFP4 </t>
    </r>
    <r>
      <rPr>
        <sz val="10"/>
        <color rgb="FF000000"/>
        <rFont val="Noto Sans CJK SC"/>
        <family val="2"/>
      </rPr>
      <t xml:space="preserve">的所需倍數，見 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節）。有效算力（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）約為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的批次口徑倍數尚未校準（＝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顯示 </t>
    </r>
    <r>
      <rPr>
        <sz val="10"/>
        <color rgb="FF000000"/>
        <rFont val="Arial"/>
        <family val="0"/>
        <charset val="1"/>
      </rPr>
      <t xml:space="preserve">GB300 offline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判斷是否校準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v12.0 H2</t>
    </r>
    <r>
      <rPr>
        <sz val="10"/>
        <color rgb="FF000000"/>
        <rFont val="Noto Sans CJK SC"/>
        <family val="2"/>
      </rPr>
      <t xml:space="preserve">：基準由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（兩點幾何平均）；區間改為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（原 </t>
    </r>
    <r>
      <rPr>
        <sz val="10"/>
        <color rgb="FF000000"/>
        <rFont val="Arial"/>
        <family val="0"/>
        <charset val="1"/>
      </rPr>
      <t xml:space="preserve">1.5–6.7</t>
    </r>
    <r>
      <rPr>
        <sz val="10"/>
        <color rgb="FF000000"/>
        <rFont val="Noto Sans CJK SC"/>
        <family val="2"/>
      </rPr>
      <t xml:space="preserve">：上端 </t>
    </r>
    <r>
      <rPr>
        <sz val="10"/>
        <color rgb="FF000000"/>
        <rFont val="Arial"/>
        <family val="0"/>
        <charset val="1"/>
      </rPr>
      <t xml:space="preserve">6.65 </t>
    </r>
    <r>
      <rPr>
        <sz val="10"/>
        <color rgb="FF000000"/>
        <rFont val="Noto Sans CJK SC"/>
        <family val="2"/>
      </rPr>
      <t xml:space="preserve">來自服務口徑的 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，與批次倍數口徑不一致，下端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無對應資料點；查核 </t>
    </r>
    <r>
      <rPr>
        <sz val="10"/>
        <color rgb="FF000000"/>
        <rFont val="Arial"/>
        <family val="0"/>
        <charset val="1"/>
      </rPr>
      <t xml:space="preserve">#89 </t>
    </r>
    <r>
      <rPr>
        <sz val="10"/>
        <color rgb="FF000000"/>
        <rFont val="Noto Sans CJK SC"/>
        <family val="2"/>
      </rPr>
      <t xml:space="preserve">觀察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）。見 </t>
    </r>
    <r>
      <rPr>
        <sz val="10"/>
        <color rgb="FF000000"/>
        <rFont val="Arial"/>
        <family val="0"/>
        <charset val="1"/>
      </rPr>
      <t xml:space="preserve">Decisions BB2-H2</t>
    </r>
  </si>
  <si>
    <t xml:space="preserve">GM686</t>
  </si>
  <si>
    <t xml:space="preserve">切片四（v12.0 v11.1 修補）</t>
  </si>
  <si>
    <t xml:space="preserve">C257</t>
  </si>
  <si>
    <t xml:space="preserve">驗證軟上限的失敗門檻（CHK_SoftCapFail）</t>
  </si>
  <si>
    <t xml:space="preserve">BB2-H1</t>
  </si>
  <si>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</si>
  <si>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Arial"/>
        <family val="0"/>
        <charset val="1"/>
      </rPr>
      <t xml:space="preserve">Checks V1–V3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軟上限）由『警示』改判『失敗』的比值門檻（基準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口徑，模型取平均，略高於實測屬口徑差；超過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倍表示模型高估，不再只是口徑差。非物理量，只決定檢查判定，不進任何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數值。無來源；區間 </t>
    </r>
    <r>
      <rPr>
        <sz val="10"/>
        <color rgb="FF000000"/>
        <rFont val="Arial"/>
        <family val="0"/>
        <charset val="1"/>
      </rPr>
      <t xml:space="preserve">1.5–3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端預設。已搜尋：無可比對象（判定門檻不是可量測物理量）</t>
    </r>
  </si>
  <si>
    <t xml:space="preserve">GM687</t>
  </si>
  <si>
    <t xml:space="preserve">批次口徑 η_d 倍數：Hopper（CAL_BatchEtaD）</t>
  </si>
  <si>
    <t xml:space="preserve">BB2-H3</t>
  </si>
  <si>
    <r>
      <rPr>
        <sz val="10"/>
        <color rgb="FF000000"/>
        <rFont val="Arial"/>
        <family val="0"/>
        <charset val="1"/>
      </rPr>
      <t xml:space="preserve">1–3.74</t>
    </r>
    <r>
      <rPr>
        <sz val="10"/>
        <color rgb="FF000000"/>
        <rFont val="Noto Sans CJK SC"/>
        <family val="2"/>
      </rPr>
      <t xml:space="preserve">（下端＝未校準；上端＝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下產出飽和處）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</si>
  <si>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倍數（只作用在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）。數值維持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（未校準）；已知低估、無解：在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再大，產出上限也只有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剖析點目標 </t>
    </r>
    <r>
      <rPr>
        <sz val="10"/>
        <color rgb="FF000000"/>
        <rFont val="Arial"/>
        <family val="0"/>
        <charset val="1"/>
      </rPr>
      <t xml:space="preserve">2,324 tok/s/GPU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0.941</t>
    </r>
    <r>
      <rPr>
        <sz val="10"/>
        <color rgb="FF000000"/>
        <rFont val="Noto Sans CJK SC"/>
        <family val="2"/>
      </rPr>
      <t xml:space="preserve">（超出 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），倍數 </t>
    </r>
    <r>
      <rPr>
        <sz val="10"/>
        <color rgb="FF000000"/>
        <rFont val="Arial"/>
        <family val="0"/>
        <charset val="1"/>
      </rPr>
      <t xml:space="preserve">3.74 </t>
    </r>
    <r>
      <rPr>
        <sz val="10"/>
        <color rgb="FF000000"/>
        <rFont val="Noto Sans CJK SC"/>
        <family val="2"/>
      </rPr>
      <t xml:space="preserve">即已飽和；若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則需 </t>
    </r>
    <r>
      <rPr>
        <sz val="10"/>
        <color rgb="FF000000"/>
        <rFont val="Arial"/>
        <family val="0"/>
        <charset val="1"/>
      </rPr>
      <t xml:space="preserve">4.32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MLPerf v6.0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TensorRT-LLM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）顯示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批次口徑實際倍數約 </t>
    </r>
    <r>
      <rPr>
        <sz val="10"/>
        <color rgb="FF000000"/>
        <rFont val="Arial"/>
        <family val="0"/>
        <charset val="1"/>
      </rPr>
      <t xml:space="preserve">3.3–3.7</t>
    </r>
    <r>
      <rPr>
        <sz val="10"/>
        <color rgb="FF000000"/>
        <rFont val="Noto Sans CJK SC"/>
        <family val="2"/>
      </rPr>
      <t xml:space="preserve">，故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是下界。區間 </t>
    </r>
    <r>
      <rPr>
        <sz val="10"/>
        <color rgb="FF000000"/>
        <rFont val="Arial"/>
        <family val="0"/>
        <charset val="1"/>
      </rPr>
      <t xml:space="preserve">1–3.74 </t>
    </r>
    <r>
      <rPr>
        <sz val="10"/>
        <color rgb="FF000000"/>
        <rFont val="Noto Sans CJK SC"/>
        <family val="2"/>
      </rPr>
      <t xml:space="preserve">用於呈現研發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的方向（情境 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節）：在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下這個值不會讓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達標。無來源（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判斷是否改 </t>
    </r>
    <r>
      <rPr>
        <sz val="10"/>
        <color rgb="FF000000"/>
        <rFont val="Arial"/>
        <family val="0"/>
        <charset val="1"/>
      </rPr>
      <t xml:space="preserve">C68</t>
    </r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</si>
  <si>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</si>
  <si>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</si>
  <si>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</si>
  <si>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</si>
  <si>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</si>
  <si>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</si>
  <si>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</si>
  <si>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</si>
  <si>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</si>
  <si>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</si>
  <si>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</si>
  <si>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</si>
  <si>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</si>
  <si>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</si>
  <si>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</si>
  <si>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</si>
  <si>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</si>
  <si>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</si>
  <si>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</si>
  <si>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</si>
  <si>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</si>
  <si>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</si>
  <si>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</si>
  <si>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</si>
  <si>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</si>
  <si>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</si>
  <si>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</si>
  <si>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</si>
  <si>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</si>
  <si>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</si>
  <si>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</si>
  <si>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</si>
  <si>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</si>
  <si>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</si>
  <si>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</si>
  <si>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</si>
  <si>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</si>
  <si>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</si>
  <si>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</si>
  <si>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</si>
  <si>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</si>
  <si>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</si>
  <si>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</si>
  <si>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</si>
  <si>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</si>
  <si>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</si>
  <si>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</si>
  <si>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</si>
  <si>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</si>
  <si>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</si>
  <si>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</si>
  <si>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</si>
  <si>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</si>
  <si>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</si>
  <si>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</si>
  <si>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</si>
  <si>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</si>
  <si>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</si>
  <si>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</si>
  <si>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</si>
  <si>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</si>
  <si>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</si>
  <si>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</si>
  <si>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</si>
  <si>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</si>
  <si>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</si>
  <si>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</si>
  <si>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</si>
  <si>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</si>
  <si>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</si>
  <si>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</si>
  <si>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</si>
  <si>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</si>
  <si>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</si>
  <si>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</si>
  <si>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</si>
  <si>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</si>
  <si>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</si>
  <si>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</si>
  <si>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</si>
  <si>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</si>
  <si>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</si>
  <si>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</si>
  <si>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</si>
  <si>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</si>
  <si>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</si>
  <si>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</si>
  <si>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</si>
  <si>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</si>
  <si>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</si>
  <si>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</si>
  <si>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</si>
  <si>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</si>
  <si>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</si>
  <si>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</si>
  <si>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</si>
  <si>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</si>
  <si>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</si>
  <si>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</si>
  <si>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</si>
  <si>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</si>
  <si>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</si>
  <si>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</si>
  <si>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</si>
  <si>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</si>
  <si>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</si>
  <si>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</si>
  <si>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</si>
  <si>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</si>
  <si>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</si>
  <si>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</si>
  <si>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</si>
  <si>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</si>
  <si>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</si>
  <si>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</si>
  <si>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</si>
  <si>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</si>
  <si>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</si>
  <si>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</si>
  <si>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</si>
  <si>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</si>
  <si>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</si>
  <si>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</si>
  <si>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</si>
  <si>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</si>
  <si>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</si>
  <si>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</si>
  <si>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</si>
  <si>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</si>
  <si>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</si>
  <si>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</si>
  <si>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</si>
  <si>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</si>
  <si>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</si>
  <si>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</si>
  <si>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</si>
  <si>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</si>
  <si>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</si>
  <si>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</si>
  <si>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</si>
  <si>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</si>
  <si>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</si>
  <si>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</si>
  <si>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</si>
  <si>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</si>
  <si>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</si>
  <si>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</si>
  <si>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</si>
  <si>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</si>
  <si>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</si>
  <si>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</si>
  <si>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</si>
  <si>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</si>
  <si>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</si>
  <si>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非 GPU harness 成本</t>
  </si>
  <si>
    <t xml:space="preserve">不入第 0 層，列待辦（缺每任務沙盒／CPU 成本公開數據）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</si>
  <si>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</si>
  <si>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</si>
  <si>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</si>
  <si>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</si>
  <si>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</si>
  <si>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</si>
  <si>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</si>
  <si>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</si>
  <si>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</si>
  <si>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</si>
  <si>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</si>
  <si>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</si>
  <si>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</si>
  <si>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</si>
  <si>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</si>
  <si>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</si>
  <si>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</si>
  <si>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</si>
  <si>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</si>
  <si>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</si>
  <si>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</si>
  <si>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</si>
  <si>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</si>
  <si>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</si>
  <si>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</si>
  <si>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</si>
  <si>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</si>
  <si>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</si>
  <si>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</si>
  <si>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</si>
  <si>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</si>
  <si>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</si>
  <si>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</si>
  <si>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</si>
  <si>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</si>
  <si>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</si>
  <si>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</si>
  <si>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</si>
  <si>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</si>
  <si>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</si>
  <si>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</si>
  <si>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</si>
  <si>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</si>
  <si>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</si>
  <si>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</si>
  <si>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</si>
  <si>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</si>
  <si>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</si>
  <si>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</si>
  <si>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</si>
  <si>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</si>
  <si>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</si>
  <si>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</si>
  <si>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</si>
  <si>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</si>
  <si>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</si>
  <si>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</si>
  <si>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</si>
  <si>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改版計畫</t>
  </si>
  <si>
    <t xml:space="preserve">計入改版計畫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</si>
  <si>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</si>
  <si>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</si>
  <si>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</si>
  <si>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</si>
  <si>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</si>
  <si>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</si>
  <si>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</si>
  <si>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</si>
  <si>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成長情境</t>
  </si>
  <si>
    <t xml:space="preserve">成長只作情境：為下一代準備的研發計畫依未來需求定規模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</si>
  <si>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</si>
  <si>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</si>
  <si>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</si>
  <si>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</si>
  <si>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</si>
  <si>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</si>
  <si>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</si>
  <si>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</si>
  <si>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</si>
  <si>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</si>
  <si>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</si>
  <si>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</si>
  <si>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</si>
  <si>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</si>
  <si>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</si>
  <si>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</si>
  <si>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</si>
  <si>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</si>
  <si>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</si>
  <si>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</si>
  <si>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</si>
  <si>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</si>
  <si>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</si>
  <si>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</si>
  <si>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</si>
  <si>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</si>
  <si>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</si>
  <si>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</si>
  <si>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</si>
  <si>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</si>
  <si>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</si>
  <si>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</si>
  <si>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</si>
  <si>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</si>
  <si>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</si>
  <si>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</si>
  <si>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</si>
  <si>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</si>
  <si>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</si>
  <si>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</si>
  <si>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</si>
  <si>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</si>
  <si>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</si>
  <si>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</si>
  <si>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</si>
  <si>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</si>
  <si>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</si>
  <si>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</si>
  <si>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</si>
  <si>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</si>
  <si>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</si>
  <si>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</si>
  <si>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</si>
  <si>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</si>
  <si>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</si>
  <si>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</si>
  <si>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</si>
  <si>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</si>
  <si>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</si>
  <si>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</si>
  <si>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</si>
  <si>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</si>
  <si>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</si>
  <si>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</si>
  <si>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</si>
  <si>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</si>
  <si>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</si>
  <si>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</si>
  <si>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</si>
  <si>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</si>
  <si>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</si>
  <si>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</si>
  <si>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</si>
  <si>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</si>
  <si>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</si>
  <si>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</si>
  <si>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</si>
  <si>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</si>
  <si>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</si>
  <si>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</si>
  <si>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</si>
  <si>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</si>
  <si>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</si>
  <si>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</si>
  <si>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</si>
  <si>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</si>
  <si>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</si>
  <si>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</si>
  <si>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</si>
  <si>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</si>
  <si>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</si>
  <si>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</si>
  <si>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</si>
  <si>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</si>
  <si>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</si>
  <si>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</si>
  <si>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</si>
  <si>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</si>
  <si>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</si>
  <si>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</si>
  <si>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</si>
  <si>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</si>
  <si>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</si>
  <si>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</si>
  <si>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</si>
  <si>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</si>
  <si>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</si>
  <si>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</si>
  <si>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</si>
  <si>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</si>
  <si>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</si>
  <si>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</si>
  <si>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</si>
  <si>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</si>
  <si>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</si>
  <si>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</si>
  <si>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</si>
  <si>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</si>
  <si>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</si>
  <si>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</si>
  <si>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</si>
  <si>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</si>
  <si>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</si>
  <si>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</si>
  <si>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</si>
  <si>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</si>
  <si>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</si>
  <si>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</si>
  <si>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</si>
  <si>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</si>
  <si>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</si>
  <si>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</si>
  <si>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</si>
  <si>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</si>
  <si>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</si>
  <si>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</si>
  <si>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</si>
  <si>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</si>
  <si>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</si>
  <si>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</si>
  <si>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</si>
  <si>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</si>
  <si>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</si>
  <si>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</si>
  <si>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</si>
  <si>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</si>
  <si>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</si>
  <si>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</si>
  <si>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</si>
  <si>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</si>
  <si>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</si>
  <si>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</si>
  <si>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</si>
  <si>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</si>
  <si>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</si>
  <si>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</si>
  <si>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</si>
  <si>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</si>
  <si>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</si>
  <si>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</si>
  <si>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</si>
  <si>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</si>
  <si>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</si>
  <si>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</si>
  <si>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</si>
  <si>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</si>
  <si>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</si>
  <si>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</si>
  <si>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</si>
  <si>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</si>
  <si>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</si>
  <si>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</si>
  <si>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</si>
  <si>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</si>
  <si>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</si>
  <si>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</si>
  <si>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</si>
  <si>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</si>
  <si>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</si>
  <si>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</si>
  <si>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</si>
  <si>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</si>
  <si>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</si>
  <si>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</si>
  <si>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</si>
  <si>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</si>
  <si>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</si>
  <si>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</si>
  <si>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</si>
  <si>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</si>
  <si>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</si>
  <si>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</si>
  <si>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</si>
  <si>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</si>
  <si>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</si>
  <si>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</si>
  <si>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</si>
  <si>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</si>
  <si>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</si>
  <si>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</si>
  <si>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</si>
  <si>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</si>
  <si>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</si>
  <si>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</si>
  <si>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</si>
  <si>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</si>
  <si>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</si>
  <si>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</si>
  <si>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</si>
  <si>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</si>
  <si>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</si>
  <si>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</si>
  <si>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</si>
  <si>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</si>
  <si>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</si>
  <si>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</si>
  <si>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</si>
  <si>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</si>
  <si>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</si>
  <si>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</si>
  <si>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</si>
  <si>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</si>
  <si>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</si>
  <si>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</si>
  <si>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</si>
  <si>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</si>
  <si>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</si>
  <si>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</si>
  <si>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</si>
  <si>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</si>
  <si>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</si>
  <si>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</si>
  <si>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</si>
  <si>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</si>
  <si>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</si>
  <si>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</si>
  <si>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</si>
  <si>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</si>
  <si>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</si>
  <si>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</si>
  <si>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</si>
  <si>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</si>
  <si>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</si>
  <si>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</si>
  <si>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</si>
  <si>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</si>
  <si>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</si>
  <si>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</si>
  <si>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</si>
  <si>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</si>
  <si>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</si>
  <si>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</si>
  <si>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</si>
  <si>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</si>
  <si>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</si>
  <si>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</si>
  <si>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</si>
  <si>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</si>
  <si>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</si>
  <si>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</si>
  <si>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</si>
  <si>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</si>
  <si>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</si>
  <si>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</si>
  <si>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</si>
  <si>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</si>
  <si>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</si>
  <si>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</si>
  <si>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</si>
  <si>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</si>
  <si>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</si>
  <si>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</si>
  <si>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</si>
  <si>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</si>
  <si>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</si>
  <si>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</si>
  <si>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</si>
  <si>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</si>
  <si>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</si>
  <si>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</si>
  <si>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</si>
  <si>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</si>
  <si>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</si>
  <si>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</si>
  <si>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</si>
  <si>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</si>
  <si>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</si>
  <si>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</si>
  <si>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</si>
  <si>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</si>
  <si>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</si>
  <si>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</si>
  <si>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</si>
  <si>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</si>
  <si>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</si>
  <si>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</si>
  <si>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</si>
  <si>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</si>
  <si>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</si>
  <si>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</si>
  <si>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</si>
  <si>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</si>
  <si>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</si>
  <si>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</si>
  <si>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</si>
  <si>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</si>
  <si>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</si>
  <si>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</si>
  <si>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</si>
  <si>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</si>
  <si>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</si>
  <si>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</si>
  <si>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</si>
  <si>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</si>
  <si>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</si>
  <si>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</si>
  <si>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</si>
  <si>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</si>
  <si>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</si>
  <si>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</si>
  <si>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</si>
  <si>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</si>
  <si>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</si>
  <si>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</si>
  <si>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</si>
  <si>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</si>
  <si>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</si>
  <si>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</si>
  <si>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</si>
  <si>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</si>
  <si>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</si>
  <si>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</si>
  <si>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</si>
  <si>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</si>
  <si>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</si>
  <si>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</si>
  <si>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</si>
  <si>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</si>
  <si>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</si>
  <si>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</si>
  <si>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</si>
  <si>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</si>
  <si>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</si>
  <si>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</si>
  <si>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</si>
  <si>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</si>
  <si>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</si>
  <si>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</si>
  <si>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</si>
  <si>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</si>
  <si>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</si>
  <si>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</si>
  <si>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</si>
  <si>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</si>
  <si>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</si>
  <si>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</si>
  <si>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</si>
  <si>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</si>
  <si>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</si>
  <si>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</si>
  <si>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</si>
  <si>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</si>
  <si>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</si>
  <si>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</si>
  <si>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</si>
  <si>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</si>
  <si>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</si>
  <si>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</si>
  <si>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</si>
  <si>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</si>
  <si>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</si>
  <si>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</si>
  <si>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</si>
  <si>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</si>
  <si>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</si>
  <si>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</si>
  <si>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</si>
  <si>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</si>
  <si>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</si>
  <si>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</si>
  <si>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</si>
  <si>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</si>
  <si>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</si>
  <si>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</si>
  <si>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</si>
  <si>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</si>
  <si>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</si>
  <si>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</si>
  <si>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</si>
  <si>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</si>
  <si>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</si>
  <si>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</si>
  <si>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</si>
  <si>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</si>
  <si>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</si>
  <si>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</si>
  <si>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</si>
  <si>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</si>
  <si>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</si>
  <si>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</si>
  <si>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</si>
  <si>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</si>
  <si>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</si>
  <si>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</si>
  <si>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</si>
  <si>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</si>
  <si>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</si>
  <si>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</si>
  <si>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</si>
  <si>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</si>
  <si>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</si>
  <si>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</si>
  <si>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</si>
  <si>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</si>
  <si>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</si>
  <si>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</si>
  <si>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</si>
  <si>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</si>
  <si>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</si>
  <si>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</si>
  <si>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</si>
  <si>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</si>
  <si>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</si>
  <si>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</si>
  <si>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</si>
  <si>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</si>
  <si>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</si>
  <si>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</si>
  <si>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</si>
  <si>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</si>
  <si>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</si>
  <si>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</si>
  <si>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</si>
  <si>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</si>
  <si>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</si>
  <si>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</si>
  <si>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</si>
  <si>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</si>
  <si>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</si>
  <si>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</si>
  <si>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</si>
  <si>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</si>
  <si>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</si>
  <si>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</si>
  <si>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</si>
  <si>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</si>
  <si>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</si>
  <si>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</si>
  <si>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</si>
  <si>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</si>
  <si>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</si>
  <si>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</si>
  <si>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</si>
  <si>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</si>
  <si>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</si>
  <si>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</si>
  <si>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</si>
  <si>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</si>
  <si>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</si>
  <si>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</si>
  <si>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</si>
  <si>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</si>
  <si>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</si>
  <si>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</si>
  <si>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</si>
  <si>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</si>
  <si>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</si>
  <si>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</si>
  <si>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</si>
  <si>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</si>
  <si>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</si>
  <si>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</si>
  <si>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</si>
  <si>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</si>
  <si>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</si>
  <si>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</si>
  <si>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</si>
  <si>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</si>
  <si>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</si>
  <si>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</si>
  <si>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</si>
  <si>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</si>
  <si>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</si>
  <si>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</si>
  <si>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</si>
  <si>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</si>
  <si>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</si>
  <si>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</si>
  <si>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</si>
  <si>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</si>
  <si>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</si>
  <si>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</si>
  <si>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</si>
  <si>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</si>
  <si>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</si>
  <si>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</si>
  <si>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</si>
  <si>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</si>
  <si>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</si>
  <si>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</si>
  <si>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</si>
  <si>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</si>
  <si>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</si>
  <si>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</si>
  <si>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</si>
  <si>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</si>
  <si>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</si>
  <si>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</si>
  <si>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</si>
  <si>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</si>
  <si>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</si>
  <si>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</si>
  <si>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</si>
  <si>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</si>
  <si>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</si>
  <si>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</si>
  <si>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</si>
  <si>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</si>
  <si>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</si>
  <si>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</si>
  <si>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</si>
  <si>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</si>
  <si>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</si>
  <si>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</si>
  <si>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</si>
  <si>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</si>
  <si>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</si>
  <si>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</si>
  <si>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</si>
  <si>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</si>
  <si>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</si>
  <si>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</si>
  <si>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</si>
  <si>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</si>
  <si>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</si>
  <si>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</si>
  <si>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</si>
  <si>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</si>
  <si>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</si>
  <si>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</si>
  <si>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</si>
  <si>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</si>
  <si>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</si>
  <si>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</si>
  <si>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</si>
  <si>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</si>
  <si>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</si>
  <si>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</si>
  <si>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</si>
  <si>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</si>
  <si>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</si>
  <si>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</si>
  <si>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</si>
  <si>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</si>
  <si>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</si>
  <si>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</si>
  <si>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</si>
  <si>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</si>
  <si>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</si>
  <si>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</si>
  <si>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</si>
  <si>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</si>
  <si>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</si>
  <si>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</si>
  <si>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</si>
  <si>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</si>
  <si>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</si>
  <si>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</si>
  <si>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</si>
  <si>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</si>
  <si>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</si>
  <si>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</si>
  <si>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</si>
  <si>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</si>
  <si>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</si>
  <si>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</si>
  <si>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</si>
  <si>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</si>
  <si>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</si>
  <si>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</si>
  <si>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</si>
  <si>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</si>
  <si>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</si>
  <si>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</si>
  <si>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</si>
  <si>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</si>
  <si>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</si>
  <si>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</si>
  <si>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</si>
  <si>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</si>
  <si>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</si>
  <si>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</si>
  <si>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</si>
  <si>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</si>
  <si>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</si>
  <si>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</si>
  <si>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</si>
  <si>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</si>
  <si>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</si>
  <si>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</si>
  <si>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</si>
  <si>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</si>
  <si>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</si>
  <si>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</si>
  <si>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</si>
  <si>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</si>
  <si>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</si>
  <si>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</si>
  <si>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</si>
  <si>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</si>
  <si>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</si>
  <si>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</si>
  <si>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</si>
  <si>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</si>
  <si>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</si>
  <si>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</si>
  <si>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</si>
  <si>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</si>
  <si>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</si>
  <si>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</si>
  <si>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</si>
  <si>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</si>
  <si>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</si>
  <si>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</si>
  <si>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</si>
  <si>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</si>
  <si>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</si>
  <si>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</si>
  <si>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</si>
  <si>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</si>
  <si>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</si>
  <si>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</si>
  <si>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</si>
  <si>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</si>
  <si>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</si>
  <si>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</si>
  <si>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</si>
  <si>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</si>
  <si>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</si>
  <si>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</si>
  <si>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</si>
  <si>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</si>
  <si>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</si>
  <si>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</si>
  <si>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</si>
  <si>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</si>
  <si>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</si>
  <si>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</si>
  <si>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</si>
  <si>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</si>
  <si>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</si>
  <si>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</si>
  <si>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</si>
  <si>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</si>
  <si>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</si>
  <si>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</si>
  <si>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</si>
  <si>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</si>
  <si>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</si>
  <si>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</si>
  <si>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</si>
  <si>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</si>
  <si>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</si>
  <si>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</si>
  <si>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</si>
  <si>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</si>
  <si>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</si>
  <si>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</si>
  <si>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</si>
  <si>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</si>
  <si>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</si>
  <si>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</si>
  <si>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</si>
  <si>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</si>
  <si>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</si>
  <si>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</si>
  <si>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</si>
  <si>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</si>
  <si>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</si>
  <si>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</si>
  <si>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</si>
  <si>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</si>
  <si>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</si>
  <si>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</si>
  <si>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</si>
  <si>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</si>
  <si>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</si>
  <si>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t xml:space="preserve">校準目標 DeepSeek profile 2,324 tok/s/GPU（H800，EP128，批次 128，4K）。Calib J 節 C 欄複本列（比照 H 節公式）在 C67＝1.2 時模型 ÷ 目標＝0.34。每序列時間被 EP 通訊項（0.2975 ms，IB 0.05 TB/s × η_link 0.7、3 B／元素）卡住：C67 加大到約 4.5（η_d 16%）後產出飽和在 2,187 tok/s/GPU（目標的 0.94），再加大也不增加，所以沒有 C67 值使模型 ÷ 目標＝1（±2%）。C67＝4.5 時 Hopper η_d 為 16%，高於 GB300 擬合值 3.6%。依工作單停損規則（解超出物理合理範圍即停、不寫入），C67 維持 1.2、C68 維持 1.5（J4）。若改用 C68 吸收：C67＝1.2 時即使每層延遲為 0 也只達目標的 0.37，同樣無解。待 Project 判斷：EP 通訊與計算的重疊（DeepSeek 兩個 micro-batch 重疊）是否納入模型、或另一種校準方式。</t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</si>
  <si>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</si>
  <si>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t xml:space="preserve">未寫入，待 Project 判斷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</si>
  <si>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</si>
  <si>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E1H</t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</si>
  <si>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</si>
  <si>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</si>
  <si>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t xml:space="preserve">校準目標 vLLM GB200 10.1K tok/s/GPU（decode 8 GPU 實例，批次填滿 HBM，無 SLO，2K／2K）。D 欄複本列在 D67＝1 時模型 ÷ 目標＝0.37（不在 0.9–1.1）。達標需 GB200 η_d 倍數約 3.04（η_d 10.9%），即 GB200 有效算力（η_d × 10 PF）高於 GB300 擬合值（3.6% × 15 PF）約 2 倍，且 V5（MLPerf v6.0 interactive GB200）模型 ÷ MLPerf 由 0.49 升至約 1.3 而失敗。同一個 η_d 無法同時滿足無 SLO 大批次點與 interactive 小批次點，表示 η_d 隨批次變化的問題仍在。依停損規則不寫入，D67 維持 1，不新增 CAL_EtaD_GB200 具名範圍。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</si>
  <si>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</si>
  <si>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docs/workorders/20261016_η校準.md（分支 claude/batch4-wo，PR #78） 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</si>
  <si>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</si>
  <si>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</si>
  <si>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</si>
  <si>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</si>
  <si>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t xml:space="preserve">工作單 docs/workorders/20261016_η校準.md（分支 claude/batch4-wo，PR #78） E2</t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</si>
  <si>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</si>
  <si>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</si>
  <si>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</si>
  <si>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</si>
  <si>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t xml:space="preserve">工作單 docs/workorders/20261016_η校準.md（分支 claude/batch4-wo，PR #78） E3</t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</si>
  <si>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</si>
  <si>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</si>
  <si>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</si>
  <si>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</si>
  <si>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t xml:space="preserve">工作單 docs/workorders/20261016_η校準.md（分支 claude/batch4-wo，PR #78） E4</t>
  </si>
  <si>
    <t xml:space="preserve">v10.3</t>
  </si>
  <si>
    <t xml:space="preserve">瘦身 4-2a：寫死參數外露（明細頁 4；數值不變）</t>
  </si>
  <si>
    <t xml:space="preserve">新增具名輸入 L1_JudgeTol＝0.2（Calib K 節；Assumed，區間 0.1–0.3；非物理量）：L1 欄 P 的 96 格判讀公式、Checks I3、Checks E5 改讀它。新增 SR_RU_PxMultLo＝1.5、SR_RU_PxMultHi＝2.5（Spec_Rack「Rubin Ultra 機架價格倍數」節；Assumed，無來源，待證據；區間 1.2–2.0／2.0–3.0）：Spec_Rack G11、G13 改讀它們。L1 M30、N30 已直接引用 SRC_PRC_001，只剩 /4（每實例 GPU 數）：加註。物理慣例（訓練 3 倍、6ND、ln4、注意力係數 4、位元組換算、層級數 3、索引 3*(g−1)+2）不外露，只在說明欄加註『物理慣例：…』。Fleet_1GW M33 的 COUNT(…)=3 判為層級數（4-0 列為『待判斷：未分類』），加註不外露。</t>
  </si>
  <si>
    <r>
      <rPr>
        <sz val="10"/>
        <color rgb="FF000000"/>
        <rFont val="Arial"/>
        <family val="0"/>
        <charset val="1"/>
      </rPr>
      <t xml:space="preserve">Andy 2026-10-16 20:54</t>
    </r>
    <r>
      <rPr>
        <sz val="10"/>
        <color rgb="FF000000"/>
        <rFont val="Noto Sans CJK SC"/>
        <family val="2"/>
      </rPr>
      <t xml:space="preserve">「依建議繼續作下去」；</t>
    </r>
    <r>
      <rPr>
        <sz val="10"/>
        <color rgb="FF000000"/>
        <rFont val="Arial"/>
        <family val="0"/>
        <charset val="1"/>
      </rPr>
      <t xml:space="preserve">F1–F7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</si>
  <si>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</si>
  <si>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新節；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I3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</si>
  <si>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docs/workorders/20261016_瘦身4-2.md（4-2a 段） F1</t>
  </si>
  <si>
    <t xml:space="preserve">SL42-F2</t>
  </si>
  <si>
    <t xml:space="preserve">瘦身 4-2a：重複定義處理（明細頁 2）</t>
  </si>
  <si>
    <r>
      <rPr>
        <sz val="10"/>
        <color rgb="FF000000"/>
        <rFont val="Arial"/>
        <family val="0"/>
        <charset val="1"/>
      </rPr>
      <t xml:space="preserve">D08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Sens_Rev B20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B21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Cap_In D23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欄；兩處皆為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，數值不變），標籤改為公式。</t>
    </r>
    <r>
      <rPr>
        <sz val="10"/>
        <color rgb="FF000000"/>
        <rFont val="Arial"/>
        <family val="0"/>
        <charset val="1"/>
      </rPr>
      <t xml:space="preserve">D09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C206–C209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C223 </t>
    </r>
    <r>
      <rPr>
        <sz val="10"/>
        <color rgb="FF000000"/>
        <rFont val="Noto Sans CJK SC"/>
        <family val="2"/>
      </rPr>
      <t xml:space="preserve">改直接引用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節對應格（</t>
    </r>
    <r>
      <rPr>
        <sz val="10"/>
        <color rgb="FF000000"/>
        <rFont val="Arial"/>
        <family val="0"/>
        <charset val="1"/>
      </rPr>
      <t xml:space="preserve">C144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C119</t>
    </r>
    <r>
      <rPr>
        <sz val="10"/>
        <color rgb="FF000000"/>
        <rFont val="Noto Sans CJK SC"/>
        <family val="2"/>
      </rPr>
      <t xml:space="preserve">；數值不變），第 </t>
    </r>
    <r>
      <rPr>
        <sz val="10"/>
        <color rgb="FF000000"/>
        <rFont val="Arial"/>
        <family val="0"/>
        <charset val="1"/>
      </rPr>
      <t xml:space="preserve">224 </t>
    </r>
    <r>
      <rPr>
        <sz val="10"/>
        <color rgb="FF000000"/>
        <rFont val="Noto Sans CJK SC"/>
        <family val="2"/>
      </rPr>
      <t xml:space="preserve">列一致性檢查保留。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：不執行——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列已於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清空，第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快照價（</t>
    </r>
    <r>
      <rPr>
        <sz val="10"/>
        <color rgb="FF000000"/>
        <rFont val="Arial"/>
        <family val="0"/>
        <charset val="1"/>
      </rPr>
      <t xml:space="preserve">Cap_In C90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年度價（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），兩處已不是同一個定義，也沒有同一個值；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單位不同（每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對每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機隊），不合併，新增永久測試（</t>
    </r>
    <r>
      <rPr>
        <sz val="10"/>
        <color rgb="FF000000"/>
        <rFont val="Arial"/>
        <family val="0"/>
        <charset val="1"/>
      </rPr>
      <t xml:space="preserve">tests/parity/test_slim.py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D02–D07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D12–D16 </t>
    </r>
    <r>
      <rPr>
        <sz val="10"/>
        <color rgb="FF000000"/>
        <rFont val="Noto Sans CJK SC"/>
        <family val="2"/>
      </rPr>
      <t xml:space="preserve">維持原決定。</t>
    </r>
  </si>
  <si>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不執行，待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</si>
  <si>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Arial"/>
        <family val="0"/>
        <charset val="1"/>
      </rPr>
      <t xml:space="preserve">Sens_Rev B20:B21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222–223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tests/parity/test_slim.py</t>
    </r>
  </si>
  <si>
    <t xml:space="preserve">工作單 docs/workorders/20261016_瘦身4-2.md（4-2a 段） F2</t>
  </si>
  <si>
    <t xml:space="preserve">SL42-F3</t>
  </si>
  <si>
    <t xml:space="preserve">瘦身 4-2a：Tech_Registry K、T 欄接進 Checks（原則 4）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</si>
  <si>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欄：『主流』條目數＝公開採用實驗室數 ≥ 門檻的條目數；公式被覆寫時失敗）與 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欄：非『一致』的條目數＝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）。計入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，不進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</si>
  <si>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Tech_Registry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</t>
    </r>
  </si>
  <si>
    <t xml:space="preserve">工作單 docs/workorders/20261016_瘦身4-2.md（4-2a 段） F3</t>
  </si>
  <si>
    <t xml:space="preserve">SL42-F4</t>
  </si>
  <si>
    <t xml:space="preserve">瘦身 4-2a：標記（原則 2）與死格測試加強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</si>
  <si>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個死格填『校準與驗證複製列（顯示用；無下游）』；</t>
    </r>
    <r>
      <rPr>
        <sz val="10"/>
        <color rgb="FF000000"/>
        <rFont val="Arial"/>
        <family val="0"/>
        <charset val="1"/>
      </rPr>
      <t xml:space="preserve">Alloc 27 </t>
    </r>
    <r>
      <rPr>
        <sz val="10"/>
        <color rgb="FF000000"/>
        <rFont val="Noto Sans CJK SC"/>
        <family val="2"/>
      </rPr>
      <t xml:space="preserve">個死格查明讀取者（皆為無人讀取的具名範圍或只讀死格的列）後填用途；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個無人引用的輸入填『區間端點（供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與情境）』或『備用（無公式讀取）』，不刪任何輸入。</t>
    </r>
    <r>
      <rPr>
        <sz val="10"/>
        <color rgb="FF000000"/>
        <rFont val="Arial"/>
        <family val="0"/>
        <charset val="1"/>
      </rPr>
      <t xml:space="preserve">test_slim </t>
    </r>
    <r>
      <rPr>
        <sz val="10"/>
        <color rgb="FF000000"/>
        <rFont val="Noto Sans CJK SC"/>
        <family val="2"/>
      </rPr>
      <t xml:space="preserve">新增：死格若不在基準名單（</t>
    </r>
    <r>
      <rPr>
        <sz val="10"/>
        <color rgb="FF000000"/>
        <rFont val="Arial"/>
        <family val="0"/>
        <charset val="1"/>
      </rPr>
      <t xml:space="preserve">v10.3 </t>
    </r>
    <r>
      <rPr>
        <sz val="10"/>
        <color rgb="FF000000"/>
        <rFont val="Noto Sans CJK SC"/>
        <family val="2"/>
      </rPr>
      <t xml:space="preserve">未標記死格）內，必須有用途標記。</t>
    </r>
  </si>
  <si>
    <t xml:space="preserve">各頁『用途』欄；tests/parity/test_slim.py；tests/parity/fixtures/dead_unmarked_baseline_v10.3.json</t>
  </si>
  <si>
    <t xml:space="preserve">工作單 docs/workorders/20261016_瘦身4-2.md（4-2a 段） F4</t>
  </si>
  <si>
    <t xml:space="preserve">SL42-F5</t>
  </si>
  <si>
    <t xml:space="preserve">瘦身 4-2a：測試補強（查核 D 第 4 項）</t>
  </si>
  <si>
    <t xml:space="preserve">契約名稱快照測試（tests/parity/fixtures/contract_snapshot_v10.3.json，相對容差 1e-9；之後每版預期變動須同 PR 更新快照並於報告列出）；驗證清單 V1–V19 逐項斷言；GOV 三項計數在新基準下斷言。</t>
  </si>
  <si>
    <r>
      <rPr>
        <sz val="10"/>
        <color rgb="FF000000"/>
        <rFont val="Arial"/>
        <family val="0"/>
        <charset val="1"/>
      </rPr>
      <t xml:space="preserve">tests/parity/test_snapshot.py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tests/parity/fixtures</t>
    </r>
  </si>
  <si>
    <t xml:space="preserve">工作單 docs/workorders/20261016_瘦身4-2.md（4-2a 段） F5</t>
  </si>
  <si>
    <t xml:space="preserve">SL42-F7a</t>
  </si>
  <si>
    <t xml:space="preserve">瘦身 4-2a：V13、V14 上限 3 保留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</si>
  <si>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的通過帶上限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v10.2 E3 chat </t>
    </r>
    <r>
      <rPr>
        <sz val="10"/>
        <color rgb="FF000000"/>
        <rFont val="Noto Sans CJK SC"/>
        <family val="2"/>
      </rPr>
      <t xml:space="preserve">端預設）保留（</t>
    </r>
    <r>
      <rPr>
        <sz val="10"/>
        <color rgb="FF000000"/>
        <rFont val="Arial"/>
        <family val="0"/>
        <charset val="1"/>
      </rPr>
      <t xml:space="preserve">Andy 2026-10-16 20:54 </t>
    </r>
    <r>
      <rPr>
        <sz val="10"/>
        <color rgb="FF000000"/>
        <rFont val="Noto Sans CJK SC"/>
        <family val="2"/>
      </rPr>
      <t xml:space="preserve">依建議）。</t>
    </r>
  </si>
  <si>
    <t xml:space="preserve">已決定（Andy 2026-10-16 20:54）</t>
  </si>
  <si>
    <r>
      <rPr>
        <sz val="10"/>
        <color rgb="FF000000"/>
        <rFont val="Arial"/>
        <family val="0"/>
        <charset val="1"/>
      </rPr>
      <t xml:space="preserve">Checks 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</t>
    </r>
  </si>
  <si>
    <t xml:space="preserve">工作單 docs/workorders/20261016_瘦身4-2.md（4-2a 段） F7a</t>
  </si>
  <si>
    <t xml:space="preserve">SL42-F7b</t>
  </si>
  <si>
    <t xml:space="preserve">瘦身 4-2a：η 校準 E1 停損；Hopper 與 GB200 大批次低估原因待查證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</si>
  <si>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E1 </t>
    </r>
    <r>
      <rPr>
        <sz val="10"/>
        <color rgb="FF000000"/>
        <rFont val="Noto Sans CJK SC"/>
        <family val="2"/>
      </rPr>
      <t xml:space="preserve">停損，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DeepSeek profile </t>
    </r>
    <r>
      <rPr>
        <sz val="10"/>
        <color rgb="FF000000"/>
        <rFont val="Noto Sans CJK SC"/>
        <family val="2"/>
      </rPr>
      <t xml:space="preserve">條件下即使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無限大，產出也只到目標的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，所以無解；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的解使有效算力高於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在大批次下模型低估實測的原因待查證：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通訊與計算重疊；</t>
    </r>
    <r>
      <rPr>
        <sz val="10"/>
        <color rgb="FF000000"/>
        <rFont val="Arial"/>
        <family val="0"/>
        <charset val="1"/>
      </rPr>
      <t xml:space="preserve">(b) η_d </t>
    </r>
    <r>
      <rPr>
        <sz val="10"/>
        <color rgb="FF000000"/>
        <rFont val="Noto Sans CJK SC"/>
        <family val="2"/>
      </rPr>
      <t xml:space="preserve">隨批次變化。查證另段進行（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大批次低估查證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）。</t>
    </r>
  </si>
  <si>
    <t xml:space="preserve">待查證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</si>
  <si>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Decisions ETA-E1H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ETA-E1G</t>
    </r>
  </si>
  <si>
    <t xml:space="preserve">工作單 docs/workorders/20261016_瘦身4-2.md（4-2a 段） F7b</t>
  </si>
  <si>
    <t xml:space="preserve">BB-G1</t>
  </si>
  <si>
    <t xml:space="preserve">v11.0</t>
  </si>
  <si>
    <t xml:space="preserve">大批次修正：C68（Hopper 每層延遲倍數 1.5）是否重複計算 EP 通訊：無法確認，不改</t>
  </si>
  <si>
    <t xml:space="preserve">追查：(1) Calib J68、Gov_Map GM346、Decisions D204／D171／E1H 與 J4（C187）：C68 標『Assumed／倒推（v5.5 建檔時與 C67 手算配對）1.5，區間 1–3』，說明為『Hopper EP 跨節點走 IB』，無來源，Excel 內無公式關聯；(2) 封存工作簿 v5.2、v5.4、v5.5、v5.12：C68 在 v5.2（2026-09-30，Calib 結構建立時）即為 1.5，每層延遲（採用）＝240.42 µs（GB300 擬合 160.28 × 1.5），不是 241.92 µs；v5.5 只把 C67 由 3 減半為 1.5（峰值更正 989→1,979 TF），C68 未動；(3) DeepSeek 論文每層 241.92 µs（雙 micro-batch 2×120.96）在 repo 內首見於 2026-10-16 的大批次查證（證據表第 5 列）；v10.2 擬合更新（161.19 µs）後乘積 241.78 µs，與 241.92 µs 相差 0.06%，是巧合；(4) 物理量不同：C68 作用在每層固定延遲（all-to-all 延遲、kernel 啟動、同步；與批次無關），EP 通訊項是資料量 ÷ 頻寬（隨批次線性）。判定：1.5 是先於該數字存在的整數假設，不是用 DeepSeek 數字反推或對齊；無證據顯示重複計算。依工作單『無法確認』列：C68 不改，列待 Project 判斷。假設 C68＝1.0 的試算（scratch，未寫入）：Hopper 服務側 IF_TokGW_Sol 3.363e10 → 3.738e10（+11.1%）；L1_MFleet 0.4073 → 0.3886；IF_AllocRDGW 0.2402 → 0.2359；IF_AllocServeGW 不變；且 Hopper 的 CAL_BatchEtaD 會有解（4.32；η_d 15.5%）。</t>
  </si>
  <si>
    <r>
      <rPr>
        <sz val="10"/>
        <color rgb="FF000000"/>
        <rFont val="Arial"/>
        <family val="0"/>
        <charset val="1"/>
      </rPr>
      <t xml:space="preserve">Andy 2026-10-16 21:55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both ok</t>
    </r>
    <r>
      <rPr>
        <sz val="10"/>
        <color rgb="FF000000"/>
        <rFont val="Noto Sans CJK SC"/>
        <family val="2"/>
      </rPr>
      <t xml:space="preserve">」（發本段、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改軟上限）；其餘細節為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</si>
  <si>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t xml:space="preserve">已查，C68 不改；待 Project 判斷</t>
  </si>
  <si>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；本決策；未改任何數值</t>
    </r>
  </si>
  <si>
    <t xml:space="preserve">工作單 docs/workorders/20261016_大批次修正.md G1</t>
  </si>
  <si>
    <t xml:space="preserve">大批次修正：校準 CAL_BatchEtaD：GB200 寫入 3.04；Hopper 無解，不寫入</t>
  </si>
  <si>
    <t xml:space="preserve">目標：GB200 vLLM 10.1K（Calib J 節 D 欄條件：2K／2K、批次填滿 HBM、無 SLO、無 MTP）。Calib J 節 C、D 欄的 η_d 改為（該世代 η_d）× CAL_BatchEtaD（批次口徑；E、F、G 欄服務口徑驗證點不變）。GB200 解 3.0373（η_d 10.9%），寫入 D156＝3.04，模型 ÷ 目標 1.000（容差 ±2%）；標記 Derived；區間 1.5–6.7（涵蓋各批次口徑點反推值：V20 MLPerf offline、V8 LMSYS，見 Calib L 節、J 節）。Hopper：目標 DeepSeek profile 2,324（批次 128、4K）在 C68＝1.5 下無解——EP 通訊項（0.2975 ms／序列）使產出上限只達目標的 0.941（η_d 無限大；C156＝3.74 即飽和），超出 ±2%，依工作單『無解停下』不寫入，C156 維持 1。若 C68＝1.0（G1 的另一種判定）則 Hopper 需 4.32。檢查：GB200 η_d × 峰值＝1.086 PF，不超過硬體峰值（η_d 10.9% &lt; 100%）；但約為 GB300 擬合值（0.536 PF）的 2 倍，GB300 批次口徑倍數未校準（＝1）。影響（只套 GB200）：IF_AllocRDGW 0.2402 → 0.1973；IF_AllocQ1 0.2110 → 0.1801；L1_ScaleRD 5.318 → 6.475；IF_AllocServeGW、L1_MFleet、L1_LReqFleet_Id 不變。若再加 Hopper C156＝3.74（假設）：IF_AllocRDGW 0.1626。</t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</si>
  <si>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</si>
  <si>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與狀態列）、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IF_AllocRDGW </t>
    </r>
    <r>
      <rPr>
        <sz val="10"/>
        <color rgb="FF000000"/>
        <rFont val="Noto Sans CJK SC"/>
        <family val="2"/>
      </rPr>
      <t xml:space="preserve">與下游</t>
    </r>
  </si>
  <si>
    <t xml:space="preserve">工作單 docs/workorders/20261016_大批次修正.md G2</t>
  </si>
  <si>
    <t xml:space="preserve">BB-G3</t>
  </si>
  <si>
    <t xml:space="preserve">大批次修正：新增大批次驗證點 V20–V22（Calib L 節；SRC_PERF_079–083、SRC_HW_067–068）</t>
  </si>
  <si>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MLPerf v6.0 offline GB200 NVL72 6,752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offline GB300 NVL72 8,987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TensorRT-LLM H200 8 GPU 1,436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、並行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規格 </t>
    </r>
    <r>
      <rPr>
        <sz val="10"/>
        <color rgb="FF000000"/>
        <rFont val="Arial"/>
        <family val="0"/>
        <charset val="1"/>
      </rPr>
      <t xml:space="preserve">141 GB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4.8 TB/s</t>
    </r>
    <r>
      <rPr>
        <sz val="10"/>
        <color rgb="FF000000"/>
        <rFont val="Noto Sans CJK SC"/>
        <family val="2"/>
      </rPr>
      <t xml:space="preserve">）。條件：無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、大批次；模型以 </t>
    </r>
    <r>
      <rPr>
        <sz val="10"/>
        <color rgb="FF000000"/>
        <rFont val="Arial"/>
        <family val="0"/>
        <charset val="1"/>
      </rPr>
      <t xml:space="preserve">η_d × CAL_BatchEtaD</t>
    </r>
    <r>
      <rPr>
        <sz val="10"/>
        <color rgb="FF000000"/>
        <rFont val="Noto Sans CJK SC"/>
        <family val="2"/>
      </rPr>
      <t xml:space="preserve">（批次口徑）、含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分攤（輸出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口徑）；通過帶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V20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有第二來源，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無）；不用於校準。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</si>
  <si>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</si>
  <si>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V20–V22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新列</t>
    </r>
  </si>
  <si>
    <t xml:space="preserve">工作單 docs/workorders/20261016_大批次修正.md G3</t>
  </si>
  <si>
    <t xml:space="preserve">BB-G4</t>
  </si>
  <si>
    <t xml:space="preserve">大批次修正：MLPerf server（V1–V3）改為軟上限；新增 CHK_VerifyWarn（主版）</t>
  </si>
  <si>
    <r>
      <rPr>
        <sz val="10"/>
        <color rgb="FF000000"/>
        <rFont val="Arial"/>
        <family val="0"/>
        <charset val="1"/>
      </rPr>
      <t xml:space="preserve">V1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：比值 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通過；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為『警示』（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TPOT 80 ms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p99 </t>
    </r>
    <r>
      <rPr>
        <sz val="10"/>
        <color rgb="FF000000"/>
        <rFont val="Noto Sans CJK SC"/>
        <family val="2"/>
      </rPr>
      <t xml:space="preserve">口徑，模型取平均；同條件 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MLPerf 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倍），不計失敗。新增具名範圍 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節），恆等式 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CHK_VerifyTotal </t>
    </r>
    <r>
      <rPr>
        <sz val="10"/>
        <color rgb="FF000000"/>
        <rFont val="Noto Sans CJK SC"/>
        <family val="2"/>
      </rPr>
      <t xml:space="preserve">含警示項）。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類（</t>
    </r>
    <r>
      <rPr>
        <sz val="10"/>
        <color rgb="FF000000"/>
        <rFont val="Arial"/>
        <family val="0"/>
        <charset val="1"/>
      </rPr>
      <t xml:space="preserve">V4–V6</t>
    </r>
    <r>
      <rPr>
        <sz val="10"/>
        <color rgb="FF000000"/>
        <rFont val="Noto Sans CJK SC"/>
        <family val="2"/>
      </rPr>
      <t xml:space="preserve">）維持硬上限（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端預設：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為低延遲口徑，與模型服務端口徑較接近）。新增契約名稱，故為主版 </t>
    </r>
    <r>
      <rPr>
        <sz val="10"/>
        <color rgb="FF000000"/>
        <rFont val="Arial"/>
        <family val="0"/>
        <charset val="1"/>
      </rPr>
      <t xml:space="preserve">v11.0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</si>
  <si>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節摘要列）；</t>
    </r>
    <r>
      <rPr>
        <sz val="10"/>
        <color rgb="FF000000"/>
        <rFont val="Arial"/>
        <family val="0"/>
        <charset val="1"/>
      </rPr>
      <t xml:space="preserve">CHK_VerifyWarn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</si>
  <si>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docs/workorders/20261016_大批次修正.md G4</t>
  </si>
  <si>
    <t xml:space="preserve">v12.0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</si>
  <si>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MLPerf server </t>
    </r>
    <r>
      <rPr>
        <sz val="10"/>
        <color rgb="FF000000"/>
        <rFont val="Noto Sans CJK SC"/>
        <family val="2"/>
      </rPr>
      <t xml:space="preserve">軟上限加失敗門檻 </t>
    </r>
    <r>
      <rPr>
        <sz val="10"/>
        <color rgb="FF000000"/>
        <rFont val="Arial"/>
        <family val="0"/>
        <charset val="1"/>
      </rPr>
      <t xml:space="preserve">CHK_SoftCapFail</t>
    </r>
    <r>
      <rPr>
        <sz val="10"/>
        <color rgb="FF000000"/>
        <rFont val="Noto Sans CJK SC"/>
        <family val="2"/>
      </rPr>
      <t xml:space="preserve">（原則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：檢查必須能失敗）</t>
    </r>
  </si>
  <si>
    <t xml:space="preserve">查核 #89：V1–V3 的 F 欄公式在比值 &gt; 1 時一律顯示『警示』，沒有第二道上限，比值為 10 也不會失敗。改為：比值 ≤ 1 通過；1 &lt; 比值 ≤ CHK_SoftCapFail 警示；&gt; CHK_SoftCapFail 失敗。新增具名輸入 CHK_SoftCapFail＝2（Calib M 節，藍字，Assumed，區間 1.5–3）：MLPerf server 的 TPOT 80 ms 為 p99 口徑，超過 2 倍表示模型高估，不再只是口徑差。恆等式 Pass＋Fail＋Warn＝Total 維持成立。更正舊描述：v11.0 報告、契約文件、CHANGELOG 寫『高於 1 但不超過上限＝警示』，實際上沒有上限，V1–V3 永遠不會失敗；現已有上限。新增專屬測試：把 V1 的比值以情境推到 2.5 判失敗、推到 1.5 判警示。新增契約名稱 CHK_SoftCapFail，故為主版 v12.0。</t>
  </si>
  <si>
    <r>
      <rPr>
        <sz val="10"/>
        <color rgb="FF000000"/>
        <rFont val="Arial"/>
        <family val="0"/>
        <charset val="1"/>
      </rPr>
      <t xml:space="preserve">Andy 2026-10-16 23:45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H1–H5 </t>
    </r>
    <r>
      <rPr>
        <sz val="10"/>
        <color rgb="FF000000"/>
        <rFont val="Noto Sans CJK SC"/>
        <family val="2"/>
      </rPr>
      <t xml:space="preserve">預設）；</t>
    </r>
    <r>
      <rPr>
        <sz val="10"/>
        <color rgb="FF000000"/>
        <rFont val="Arial"/>
        <family val="0"/>
        <charset val="1"/>
      </rPr>
      <t xml:space="preserve">H6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</si>
  <si>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</si>
  <si>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V1–V3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欄公式與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節說明；下游契約文件</t>
    </r>
  </si>
  <si>
    <t xml:space="preserve">工作單 docs/workorders/20261016_v11.1修補.md H1</t>
  </si>
  <si>
    <t xml:space="preserve">BB2-H2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</si>
  <si>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批次口徑倍數改用兩點幾何平均 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改為校準相關（非獨立）</t>
    </r>
  </si>
  <si>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3.04 </t>
    </r>
    <r>
      <rPr>
        <sz val="10"/>
        <color rgb="FF000000"/>
        <rFont val="Noto Sans CJK SC"/>
        <family val="2"/>
      </rPr>
      <t xml:space="preserve">只由 </t>
    </r>
    <r>
      <rPr>
        <sz val="10"/>
        <color rgb="FF000000"/>
        <rFont val="Arial"/>
        <family val="0"/>
        <charset val="1"/>
      </rPr>
      <t xml:space="preserve">vLLM 10.1K </t>
    </r>
    <r>
      <rPr>
        <sz val="10"/>
        <color rgb="FF000000"/>
        <rFont val="Noto Sans CJK SC"/>
        <family val="2"/>
      </rPr>
      <t xml:space="preserve">一點校準，與獨立的 </t>
    </r>
    <r>
      <rPr>
        <sz val="10"/>
        <color rgb="FF000000"/>
        <rFont val="Arial"/>
        <family val="0"/>
        <charset val="1"/>
      </rPr>
      <t xml:space="preserve">MLPerf v6.0 offline </t>
    </r>
    <r>
      <rPr>
        <sz val="10"/>
        <color rgb="FF000000"/>
        <rFont val="Noto Sans CJK SC"/>
        <family val="2"/>
      </rPr>
      <t xml:space="preserve">不一致（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反推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）。兩點各自來源：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MLPerf v6.0 offline GB200 6,752 tok/s/GPU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1.8297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vLLM GB200 10.1K </t>
    </r>
    <r>
      <rPr>
        <sz val="10"/>
        <color rgb="FF000000"/>
        <rFont val="Noto Sans CJK SC"/>
        <family val="2"/>
      </rPr>
      <t xml:space="preserve">反推（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欄，</t>
    </r>
    <r>
      <rPr>
        <sz val="10"/>
        <color rgb="FF000000"/>
        <rFont val="Arial"/>
        <family val="0"/>
        <charset val="1"/>
      </rPr>
      <t xml:space="preserve">3.0373</t>
    </r>
    <r>
      <rPr>
        <sz val="10"/>
        <color rgb="FF000000"/>
        <rFont val="Noto Sans CJK SC"/>
        <family val="2"/>
      </rPr>
      <t xml:space="preserve">）；兩個值都以 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重算確認。取幾何平均 √</t>
    </r>
    <r>
      <rPr>
        <sz val="10"/>
        <color rgb="FF000000"/>
        <rFont val="Arial"/>
        <family val="0"/>
        <charset val="1"/>
      </rPr>
      <t xml:space="preserve">(1.83 × 3.04)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2.358</t>
    </r>
    <r>
      <rPr>
        <sz val="10"/>
        <color rgb="FF000000"/>
        <rFont val="Noto Sans CJK SC"/>
        <family val="2"/>
      </rPr>
      <t xml:space="preserve">，寫入 </t>
    </r>
    <r>
      <rPr>
        <sz val="10"/>
        <color rgb="FF000000"/>
        <rFont val="Arial"/>
        <family val="0"/>
        <charset val="1"/>
      </rPr>
      <t xml:space="preserve">D156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1.83–3.04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）。新增情境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batch_gb200_hi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點同時被用到，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不再是獨立驗證點：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標『校準相關（非獨立）』，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欄改顯示文字，移出驗證計數（若有更好的做法列入待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判斷）。影響：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批次路徑 → </t>
    </r>
    <r>
      <rPr>
        <sz val="10"/>
        <color rgb="FF000000"/>
        <rFont val="Arial"/>
        <family val="0"/>
        <charset val="1"/>
      </rPr>
      <t xml:space="preserve">Training → 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欄訓練鏈名稱；服務端（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、維護率不變。</t>
    </r>
  </si>
  <si>
    <r>
      <rPr>
        <sz val="10"/>
        <color rgb="FF000000"/>
        <rFont val="Arial"/>
        <family val="0"/>
        <charset val="1"/>
      </rPr>
      <t xml:space="preserve">Calib D156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D156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V20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→ </t>
    </r>
    <r>
      <rPr>
        <sz val="10"/>
        <color rgb="FF000000"/>
        <rFont val="Arial"/>
        <family val="0"/>
        <charset val="1"/>
      </rPr>
      <t xml:space="preserve">Training → Alloc</t>
    </r>
  </si>
  <si>
    <t xml:space="preserve">工作單 docs/workorders/20261016_v11.1修補.md H2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</si>
  <si>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批次口徑倍數維持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：已知低估、無解；區間 </t>
    </r>
    <r>
      <rPr>
        <sz val="10"/>
        <color rgb="FF000000"/>
        <rFont val="Arial"/>
        <family val="0"/>
        <charset val="1"/>
      </rPr>
      <t xml:space="preserve">1–3.74</t>
    </r>
  </si>
  <si>
    <t xml:space="preserve">數值維持 1。標記改為『已知低估、無解』：在 C68＝1.5 下，η_d 再大，產出上限也只有 DeepSeek 剖析點目標的 0.941。Gov_Map 區間 1–3.74（新增列；C156 同時改為藍字輸入）。新增情境 batch_hopper_hi（3.74）：在 C68＝1.5 下這個值不會讓 Hopper 達標，但能呈現研發 GW 的下限方向。獨立的 TensorRT-LLM H200 點（V22）在 Hopper 3.74 下由 0.50 升到 1.05，顯示 1 是下界。</t>
  </si>
  <si>
    <r>
      <rPr>
        <sz val="10"/>
        <color rgb="FF000000"/>
        <rFont val="Arial"/>
        <family val="0"/>
        <charset val="1"/>
      </rPr>
      <t xml:space="preserve">Calib C156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J156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新列；情境 </t>
    </r>
    <r>
      <rPr>
        <sz val="10"/>
        <color rgb="FF000000"/>
        <rFont val="Arial"/>
        <family val="0"/>
        <charset val="1"/>
      </rPr>
      <t xml:space="preserve">batch_hopper_hi</t>
    </r>
  </si>
  <si>
    <t xml:space="preserve">工作單 docs/workorders/20261016_v11.1修補.md H3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</si>
  <si>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修補：更正：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，無來源（原『倒推』一語無證據）</t>
    </r>
  </si>
  <si>
    <t xml:space="preserve">數值維持 1.5。依 CLAUDE.md 第 6 節不得刪改既有的來源與標記欄，故原字樣保留：Gov_Map GM346 類別欄『倒推』、Calib J68 的『倒推（v5.5 建檔時與 C67 手算配對；Excel 內無公式關聯）』不動；更正做法＝在 Calib J68、Gov_Map 理由欄與『標記變更』欄加更正註記，並在本筆 Decisions 記錄：『倒推、與 C67 手算配對』一語出自稽核第 2 批工作單 J4（2026-10-16，d25bb75），v5.2–v5.12 各版工作簿標記皆為 Assumed，沒有證據；正確標記為 Assumed，說明『無來源（v5.2 建檔以來的整數假設）』。Gov_Map 區間 1.0–1.5（原 1–3）。新增情境 c68_1（C68＝1.0）。是否改 C68 仍待 Project 判斷（見 BB-G1）。</t>
  </si>
  <si>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已建（更正註記）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</si>
  <si>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欄；情境 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</si>
  <si>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H4</t>
  </si>
  <si>
    <t xml:space="preserve">BB2-H5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</si>
  <si>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以區間呈現（</t>
    </r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</si>
  <si>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</t>
    </r>
    <r>
      <rPr>
        <sz val="10"/>
        <color rgb="FF000000"/>
        <rFont val="Noto Sans CJK SC"/>
        <family val="2"/>
      </rPr>
      <t xml:space="preserve">沒有低／高欄（</t>
    </r>
    <r>
      <rPr>
        <sz val="10"/>
        <color rgb="FF000000"/>
        <rFont val="Arial"/>
        <family val="0"/>
        <charset val="1"/>
      </rPr>
      <t xml:space="preserve">L1_Ans1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 </t>
    </r>
    <r>
      <rPr>
        <sz val="10"/>
        <color rgb="FF000000"/>
        <rFont val="Noto Sans CJK SC"/>
        <family val="2"/>
      </rPr>
      <t xml:space="preserve">只含 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節一次動一個輸入的敏感度，不含批次口徑倍數），故在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節『區間（情境）』並建 </t>
    </r>
    <r>
      <rPr>
        <sz val="10"/>
        <color rgb="FF000000"/>
        <rFont val="Arial"/>
        <family val="0"/>
        <charset val="1"/>
      </rPr>
      <t xml:space="preserve">AL_RngRDGW_Lo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AL_RngQ1_Lo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（顯示用，下游不得連結）。低端＝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；高端＝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。情境值為建置時以 </t>
    </r>
    <r>
      <rPr>
        <sz val="10"/>
        <color rgb="FF000000"/>
        <rFont val="Arial"/>
        <family val="0"/>
        <charset val="1"/>
      </rPr>
      <t xml:space="preserve">LibreOffice </t>
    </r>
    <r>
      <rPr>
        <sz val="10"/>
        <color rgb="FF000000"/>
        <rFont val="Noto Sans CJK SC"/>
        <family val="2"/>
      </rPr>
      <t xml:space="preserve">重算寫入的常數（第一列基準為即時公式），</t>
    </r>
    <r>
      <rPr>
        <sz val="10"/>
        <color rgb="FF000000"/>
        <rFont val="Arial"/>
        <family val="0"/>
        <charset val="1"/>
      </rPr>
      <t xml:space="preserve">tests/parity </t>
    </r>
    <r>
      <rPr>
        <sz val="10"/>
        <color rgb="FF000000"/>
        <rFont val="Noto Sans CJK SC"/>
        <family val="2"/>
      </rPr>
      <t xml:space="preserve">以情境重算逐列比對。各情境值：高端（</t>
    </r>
    <r>
      <rPr>
        <sz val="10"/>
        <color rgb="FF000000"/>
        <rFont val="Arial"/>
        <family val="0"/>
        <charset val="1"/>
      </rPr>
      <t xml:space="preserve">GB200 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0.2116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0.1907</t>
    </r>
    <r>
      <rPr>
        <sz val="10"/>
        <color rgb="FF000000"/>
        <rFont val="Noto Sans CJK SC"/>
        <family val="2"/>
      </rPr>
      <t xml:space="preserve">；低端（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3.04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v11.0 </t>
    </r>
    <r>
      <rPr>
        <sz val="10"/>
        <color rgb="FF000000"/>
        <rFont val="Noto Sans CJK SC"/>
        <family val="2"/>
      </rPr>
      <t xml:space="preserve">的基準）：</t>
    </r>
    <r>
      <rPr>
        <sz val="10"/>
        <color rgb="FF000000"/>
        <rFont val="Arial"/>
        <family val="0"/>
        <charset val="1"/>
      </rPr>
      <t xml:space="preserve">IF_AllocRDGW 0.1973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3.74</t>
    </r>
    <r>
      <rPr>
        <sz val="10"/>
        <color rgb="FF000000"/>
        <rFont val="Noto Sans CJK SC"/>
        <family val="2"/>
      </rPr>
      <t xml:space="preserve">（只加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IF_AllocRDGW 0.1664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0.1563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 2.36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Hopper 1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也會改變）：</t>
    </r>
    <r>
      <rPr>
        <sz val="10"/>
        <color rgb="FF000000"/>
        <rFont val="Arial"/>
        <family val="0"/>
        <charset val="1"/>
      </rPr>
      <t xml:space="preserve">IF_AllocRDGW 0.1999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 0.1820</t>
    </r>
    <r>
      <rPr>
        <sz val="10"/>
        <color rgb="FF000000"/>
        <rFont val="Noto Sans CJK SC"/>
        <family val="2"/>
      </rPr>
      <t xml:space="preserve">。下游應視為區間，不是點值。</t>
    </r>
  </si>
  <si>
    <r>
      <rPr>
        <sz val="10"/>
        <color rgb="FF000000"/>
        <rFont val="Arial"/>
        <family val="0"/>
        <charset val="1"/>
      </rPr>
      <t xml:space="preserve">Alloc N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AL_Rng*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batch_gb200_lo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batch_hopper_hi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batch_range_lo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c68_1</t>
    </r>
  </si>
  <si>
    <t xml:space="preserve">工作單 docs/workorders/20261016_v11.1修補.md H5</t>
  </si>
  <si>
    <t xml:space="preserve">BB2-H6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</si>
  <si>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修補：文字與解釋</t>
    </r>
  </si>
  <si>
    <t xml:space="preserve">契約抬頭 v10.2 → v12.0；Calib H156 的區間字樣（原僅 VR200 的 0.70–1.0，與 D156 並列時自相矛盾）改為逐世代說明；scenarios.yaml 的過時說明更新。IF_AmortDefault_Astra 在 v11.0 的 GB200 欄上升 0.9% 的原因（追溯公式鏈，不改機制）：K6 預設 (c)＝由上而下總額（固定，3,904）× 該層級在自下而上總額中的占比（Amortize 第 47 列＝第 32 列 × 第 41 列）；GB200 批次倍數只壓低 RL rollout 成本，研發計畫成本 Luna −30.7%、Sol −23.7%、Astra −20.2%（Astra 的預訓練占比最高），自下而上總額 −20.9%，Astra 占比因此由 3.86% 升到 3.90%（+0.9%）。</t>
  </si>
  <si>
    <t xml:space="preserve">契約文件抬頭；Calib H156；tests/parity/scenarios.yaml；報告</t>
  </si>
  <si>
    <t xml:space="preserve">工作單 docs/workorders/20261016_v11.1修補.md H6</t>
  </si>
  <si>
    <t xml:space="preserve">BB2-H7</t>
  </si>
  <si>
    <r>
      <rPr>
        <sz val="10"/>
        <color rgb="FF000000"/>
        <rFont val="Arial"/>
        <family val="0"/>
        <charset val="1"/>
      </rPr>
      <t xml:space="preserve">v11.1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V19 </t>
    </r>
    <r>
      <rPr>
        <sz val="10"/>
        <color rgb="FF000000"/>
        <rFont val="Noto Sans CJK SC"/>
        <family val="2"/>
      </rPr>
      <t xml:space="preserve">改為重算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欄應有判定再比對；</t>
    </r>
    <r>
      <rPr>
        <sz val="10"/>
        <color rgb="FF000000"/>
        <rFont val="Arial"/>
        <family val="0"/>
        <charset val="1"/>
      </rPr>
      <t xml:space="preserve">V18 </t>
    </r>
    <r>
      <rPr>
        <sz val="10"/>
        <color rgb="FF000000"/>
        <rFont val="Noto Sans CJK SC"/>
        <family val="2"/>
      </rPr>
      <t xml:space="preserve">標恆等式（非驗證）</t>
    </r>
  </si>
  <si>
    <t xml:space="preserve">查核 #87：V19 以 COUNTA 對 COUNTIF(…,"一致")，T 欄被清空或被手填『一致』時差值仍為 0。改為由公式自行重算每列應有的判定（I、J、L、M 欄與 CST_MainMin；不讀 T 公式的結果），與 T 欄逐列比對；結果＝不符列數＋實質不一致列數，為 0 才通過。V18：K 欄公式本身就是 J ≥ CST_MainMin，V18 重述同一條件，無法改成獨立於 K 的檢查，標『恆等式（非驗證）』並移出驗證計數。新增專屬測試：清空 T 欄一格，V19 必須判失敗。T06（狀態『早期採用』、J＝2 ≥ 門檻）的口徑差仍列待 Project 判斷。</t>
  </si>
  <si>
    <r>
      <rPr>
        <sz val="10"/>
        <color rgb="FF000000"/>
        <rFont val="Arial"/>
        <family val="0"/>
        <charset val="1"/>
      </rPr>
      <t xml:space="preserve">Checks V18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CHK_Verify*</t>
    </r>
  </si>
  <si>
    <t xml:space="preserve">工作單 docs/workorders/20261016_v11.1修補.md H7</t>
  </si>
  <si>
    <t xml:space="preserve">BB3-K1</t>
  </si>
  <si>
    <t xml:space="preserve">v13.0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</si>
  <si>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：批次口徑倍數區間：全部受影響的契約名稱補低／高端（</t>
    </r>
    <r>
      <rPr>
        <sz val="10"/>
        <color rgb="FF000000"/>
        <rFont val="Arial"/>
        <family val="0"/>
        <charset val="1"/>
      </rPr>
      <t xml:space="preserve">RNG_&lt;</t>
    </r>
    <r>
      <rPr>
        <sz val="10"/>
        <color rgb="FF000000"/>
        <rFont val="Noto Sans CJK SC"/>
        <family val="2"/>
      </rPr>
      <t xml:space="preserve">名稱</t>
    </r>
    <r>
      <rPr>
        <sz val="10"/>
        <color rgb="FF000000"/>
        <rFont val="Arial"/>
        <family val="0"/>
        <charset val="1"/>
      </rPr>
      <t xml:space="preserve">&gt;_Lo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</si>
  <si>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查核 #92 第 1 項：v12.0 只給 IF_AllocRDGW、IF_AllocQ1 區間，其餘隨 GB200／Hopper 倍數變動的名稱仍是點值。本版依賴圖＋情境重算決定名單：納入 53 個契約名稱（IF_／L1_），共 557 格；端點＝兩個端點情境（高端：GB200 1.83；低端：GB200 3.04、Hopper 3.74）每格的較小／較大者，並確認其他三個角落（1.83×3.74、3.04×1、Hopper 3.74 單獨）與基準都落在端點之內。有 9 個名稱隨倍數增加而下降或反向（_Lo 對應情境的高端），故 _Lo／_Hi 一律指數值較小／較大端。依賴圖上游含 CAL_BatchEtaD 但兩個端點情境下值不變者另列於 Alloc O 節末（只經 VR200 欄或與倍數無關的路徑），本版不建區間。IF_AllocRDGW、IF_AllocQ1 的舊表 AL_RngRDGW／Q1_Lo／Hi（6 位小數、v12.0）保留不動，新表 RNG_IF_AllocRDGW／Q1_* 為全精度，兩者差異 &lt; 5e-7。</t>
  </si>
  <si>
    <t xml:space="preserve">2026-10-17</t>
  </si>
  <si>
    <r>
      <rPr>
        <sz val="10"/>
        <color rgb="FF000000"/>
        <rFont val="Arial"/>
        <family val="0"/>
        <charset val="1"/>
      </rPr>
      <t xml:space="preserve">Andy 2026-10-17 01:46</t>
    </r>
    <r>
      <rPr>
        <sz val="10"/>
        <color rgb="FF000000"/>
        <rFont val="Noto Sans CJK SC"/>
        <family val="2"/>
      </rPr>
      <t xml:space="preserve">「開始」（工作單 </t>
    </r>
    <r>
      <rPr>
        <sz val="10"/>
        <color rgb="FF000000"/>
        <rFont val="Arial"/>
        <family val="0"/>
        <charset val="1"/>
      </rPr>
      <t xml:space="preserve">4-2b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K1–K5 </t>
    </r>
    <r>
      <rPr>
        <sz val="10"/>
        <color rgb="FF000000"/>
        <rFont val="Noto Sans CJK SC"/>
        <family val="2"/>
      </rPr>
      <t xml:space="preserve">的處理方式為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</si>
  <si>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</si>
  <si>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RNG_*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tools/gen_ranges.py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builder/v1300_ranges.json</t>
    </r>
    <r>
      <rPr>
        <sz val="10"/>
        <color rgb="FF000000"/>
        <rFont val="Noto Sans CJK SC"/>
        <family val="2"/>
      </rPr>
      <t xml:space="preserve">；下游契約文件</t>
    </r>
  </si>
  <si>
    <t xml:space="preserve">工作單 docs/workorders/20261017_4-2b.md 第 1 節（4-2b-1） K1</t>
  </si>
  <si>
    <t xml:space="preserve">BB3-K2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</si>
  <si>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：區間時效保證（</t>
    </r>
    <r>
      <rPr>
        <sz val="10"/>
        <color rgb="FF000000"/>
        <rFont val="Arial"/>
        <family val="0"/>
        <charset val="1"/>
      </rPr>
      <t xml:space="preserve">RNG_Version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RNG_StaleFlag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RG1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逐格重算）</t>
    </r>
  </si>
  <si>
    <t xml:space="preserve">查核 #92 第 2 項（原則 2：搜得到的數字不得是陷阱）：區間端點是情境重算結果，只能以數值寫入 Excel，輸入改動後會悄悄過期。四道保證：（1）RNG_Version 記錄產生端點時的版本；（2）RNG_Current 讀 README!B5，兩者不同或基準落在區間外時 RNG_StaleFlag 顯示『區間過期』；（3）Checks RG1／RG2（WARN）計入 GOV_Warnings；（4）tests/parity 的 test_v1300_ranges_equal_scenarios 以情境重算全部端點並要求等於 Excel 內的值（容差 1e-9），名單也由重算結果決定（新出現受倍數影響的契約名稱而沒有區間，測試失敗）；（5）全部 RNG_*_Lo／_Hi 與 AL_Rng* 納入契約快照。（4）才是真正的時效保證；（1）–（3）是使用者在 Excel 內看得到的警告。</t>
  </si>
  <si>
    <r>
      <rPr>
        <sz val="10"/>
        <color rgb="FF000000"/>
        <rFont val="Arial"/>
        <family val="0"/>
        <charset val="1"/>
      </rPr>
      <t xml:space="preserve">Alloc O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</si>
  <si>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docs/workorders/20261017_4-2b.md 第 1 節（4-2b-1） K2</t>
  </si>
  <si>
    <t xml:space="preserve">BB3-K3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</si>
  <si>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類別欄更正為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，進入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；原類別與 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以前區間保留於 </t>
    </r>
    <r>
      <rPr>
        <sz val="10"/>
        <color rgb="FF000000"/>
        <rFont val="Arial"/>
        <family val="0"/>
        <charset val="1"/>
      </rPr>
      <t xml:space="preserve">Gov_Map AL </t>
    </r>
    <r>
      <rPr>
        <sz val="10"/>
        <color rgb="FF000000"/>
        <rFont val="Noto Sans CJK SC"/>
        <family val="2"/>
      </rPr>
      <t xml:space="preserve">欄</t>
    </r>
  </si>
  <si>
    <t xml:space="preserve">查核 #92 第 3 項：v12.0 H4 把 C68 的正確標記說成 Assumed，但 Gov_Map F 欄仍是『倒推』，所以 C68 不在 Load_Bearing（類別∈{Assumed, Analogy} 且高段）。本版依工作單把 F 欄改為 Assumed，並在新增的 Gov_Map AL 欄保留『v13.0 前：類別＝倒推』與『v12.0 前：區間文字 1–3（原註）、低 1、高 3』，N 欄理由與 O 欄標記變更追加更正說明。現行區間 1.0–1.5 維持。注意：這是改動標記欄（CLAUDE.md 第 6 節），原字樣已保留，依工作單明文處理，見報告待 Project 判斷。Calib J68 的『倒推』舊字樣不動（v12.0 H4 已加更正註記）。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</si>
  <si>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350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GM346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LB_Rows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LB_LiveCount</t>
    </r>
  </si>
  <si>
    <t xml:space="preserve">工作單 docs/workorders/20261017_4-2b.md 第 1 節（4-2b-1） K3</t>
  </si>
  <si>
    <t xml:space="preserve">BB3-K4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</si>
  <si>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：『</t>
    </r>
    <r>
      <rPr>
        <sz val="10"/>
        <color rgb="FF000000"/>
        <rFont val="Arial"/>
        <family val="0"/>
        <charset val="1"/>
      </rPr>
      <t xml:space="preserve">Pass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Fail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</t>
    </r>
    <r>
      <rPr>
        <sz val="10"/>
        <color rgb="FF000000"/>
        <rFont val="Noto Sans CJK SC"/>
        <family val="2"/>
      </rPr>
      <t xml:space="preserve">』標為恆等式（非驗證）</t>
    </r>
  </si>
  <si>
    <t xml:space="preserve">查核 #92 第 4 項：Fail 以 COUNT(F)−Pass 算出，故恆等式在結構上不可能失敗，不是獨立檢查。它本來就不是 Checks V 的 F 欄項目，不在驗證計數內，所以只改標籤：Checks VT 列與 V 節說明追加『恆等式（非驗證）』。CHK_VerifyTotal／Pass／Fail／Warn 的數值與公式不變（20／12／7／1）。是否另設獨立計數使其可失敗，列待 Project 判斷。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</si>
  <si>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</t>
    </r>
  </si>
  <si>
    <t xml:space="preserve">工作單 docs/workorders/20261017_4-2b.md 第 1 節（4-2b-1） K4</t>
  </si>
  <si>
    <t xml:space="preserve">BB3-K5</t>
  </si>
  <si>
    <r>
      <rPr>
        <sz val="10"/>
        <color rgb="FF000000"/>
        <rFont val="Arial"/>
        <family val="0"/>
        <charset val="1"/>
      </rPr>
      <t xml:space="preserve">4-2b-1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v12.0 </t>
    </r>
    <r>
      <rPr>
        <sz val="10"/>
        <color rgb="FF000000"/>
        <rFont val="Noto Sans CJK SC"/>
        <family val="2"/>
      </rPr>
      <t xml:space="preserve">建置報告的名稱數更正（文字，不改模型）</t>
    </r>
  </si>
  <si>
    <t xml:space="preserve">查核 #92 第 5 項：v12.0 報告寫『新增 6 個名稱、73 個值有變動』。重算：（i）活頁簿具名範圍 1,370 → 1,375，新增 5 個（CHK_SoftCapFail、AL_Rng*_Lo／Hi 四個）；『6』是契約快照的條目數（637 → 643），其中 3 個是真正的新名稱（CHK_SoftCapFail、AL_RngRDGW_Lo、AL_RngQ1_Lo），3 個是既有名稱首次被快照收錄（CAL_BatchEtaD、SRC_HW_067、SRC_PERF_079）；（ii）值有變動：快照名稱 57 個（IF_ 41、L1_ 12、CHK_Verify 2、GOV_ 2，共 129 格），全部具名範圍 87 個（另含 AL_ 17、TRN_ 8、LB_ 3、IDX_ 1、CAL_ 1）；『73』在任何口徑下都無法重現，判定為報告筆誤。更正註記已追加於 docs/reports/20261016_v11.1修補.md。</t>
  </si>
  <si>
    <r>
      <rPr>
        <sz val="10"/>
        <color rgb="FF000000"/>
        <rFont val="Arial"/>
        <family val="0"/>
        <charset val="1"/>
      </rPr>
      <t xml:space="preserve">docs/reports/20261016_v11.1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（追加更正）</t>
    </r>
  </si>
  <si>
    <t xml:space="preserve">工作單 docs/workorders/20261017_4-2b.md 第 1 節（4-2b-1） K5</t>
  </si>
  <si>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來源補齊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</si>
  <si>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：結構索引與情境選擇器</t>
    </r>
  </si>
  <si>
    <t xml:space="preserve">世代索引、層級索引、Tech_Registry 低／基準／高選擇器與顯示用常數屬模型結構定義，不需要外部來源；Gov_Map 類別維持「情境選擇」，決策 ID 填本號。</t>
  </si>
  <si>
    <r>
      <rPr>
        <sz val="10"/>
        <color rgb="FF000000"/>
        <rFont val="Arial"/>
        <family val="0"/>
        <charset val="1"/>
      </rPr>
      <t xml:space="preserve">Andy 2026-10-17 05:36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D15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項判斷照預設）；</t>
    </r>
    <r>
      <rPr>
        <sz val="10"/>
        <color rgb="FF000000"/>
        <rFont val="Arial"/>
        <family val="0"/>
        <charset val="1"/>
      </rPr>
      <t xml:space="preserve">D15-01…09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05:40 </t>
    </r>
    <r>
      <rPr>
        <sz val="10"/>
        <color rgb="FF000000"/>
        <rFont val="Noto Sans CJK SC"/>
        <family val="2"/>
      </rPr>
      <t xml:space="preserve">定案（工作單），可撤回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</si>
  <si>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已登錄</t>
    </r>
  </si>
  <si>
    <r>
      <rPr>
        <sz val="10"/>
        <color rgb="FF000000"/>
        <rFont val="Arial"/>
        <family val="0"/>
        <charset val="1"/>
      </rPr>
      <t xml:space="preserve">Calib C10:I10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C117:F117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Arch C32</t>
    </r>
  </si>
  <si>
    <t xml:space="preserve">工作單 docs/workorders/20261017_D15_B段.md P1；docs/reports/20261017_D15_來源建議.md 明細第 5 頁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</si>
  <si>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：敏感度情境值</t>
    </r>
  </si>
  <si>
    <t xml:space="preserve">敏感度頁（Sens_*、Sensitivity、Calib 格點）的情境值只引用對應基準輸入的區間端點；來源與決策隨基準格，不另立來源。</t>
  </si>
  <si>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Sensitivity </t>
    </r>
    <r>
      <rPr>
        <sz val="10"/>
        <color rgb="FF000000"/>
        <rFont val="Noto Sans CJK SC"/>
        <family val="2"/>
      </rPr>
      <t xml:space="preserve">情境列；</t>
    </r>
    <r>
      <rPr>
        <sz val="10"/>
        <color rgb="FF000000"/>
        <rFont val="Arial"/>
        <family val="0"/>
        <charset val="1"/>
      </rPr>
      <t xml:space="preserve">Calib C90:E90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</si>
  <si>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（公式）列</t>
    </r>
  </si>
  <si>
    <t xml:space="preserve">以公式由其他輸入或 SRC 推得的列，來源隨上游；Gov_Map H 欄寫上游 SRC 或「上游公式」，關係欄寫「Derived」。</t>
  </si>
  <si>
    <r>
      <rPr>
        <sz val="10"/>
        <color rgb="FF000000"/>
        <rFont val="Arial"/>
        <family val="0"/>
        <charset val="1"/>
      </rPr>
      <t xml:space="preserve">Spec_Rack C24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 C21:E23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C69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</si>
  <si>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：資料中心造價與營運分項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</si>
  <si>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沿用的分項假設；總額以 </t>
    </r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）校準。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欄填 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、關係「總額校準」，分項本身維持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 ｜本版 </t>
    </r>
    <r>
      <rPr>
        <sz val="10"/>
        <color rgb="FF000000"/>
        <rFont val="Arial"/>
        <family val="0"/>
        <charset val="1"/>
      </rPr>
      <t xml:space="preserve">Gov_Map H </t>
    </r>
    <r>
      <rPr>
        <sz val="10"/>
        <color rgb="FF000000"/>
        <rFont val="Noto Sans CJK SC"/>
        <family val="2"/>
      </rPr>
      <t xml:space="preserve">欄只填於明細列明的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H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、關係『總額校準』）；第 </t>
    </r>
    <r>
      <rPr>
        <sz val="10"/>
        <color rgb="FF000000"/>
        <rFont val="Arial"/>
        <family val="0"/>
        <charset val="1"/>
      </rPr>
      <t xml:space="preserve">14–16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列只填決策編號。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</si>
  <si>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14–21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31–35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</si>
  <si>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：標準任務與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</t>
    </r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</si>
  <si>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5–12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節參數組為標準任務定義（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）；校準證據依 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規則登錄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，不直接改基準。</t>
    </r>
  </si>
  <si>
    <r>
      <rPr>
        <sz val="10"/>
        <color rgb="FF000000"/>
        <rFont val="Arial"/>
        <family val="0"/>
        <charset val="1"/>
      </rPr>
      <t xml:space="preserve">Workload 5–12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B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</si>
  <si>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：服務配置係數</t>
    </r>
  </si>
  <si>
    <r>
      <rPr>
        <sz val="10"/>
        <color rgb="FF000000"/>
        <rFont val="Arial"/>
        <family val="0"/>
        <charset val="1"/>
      </rPr>
      <t xml:space="preserve">Serving C9–C15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列為服務配置與效率係數（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，區間承載）；與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擬合共同決定產能，不單獨校準。</t>
    </r>
  </si>
  <si>
    <r>
      <rPr>
        <sz val="10"/>
        <color rgb="FF000000"/>
        <rFont val="Arial"/>
        <family val="0"/>
        <charset val="1"/>
      </rPr>
      <t xml:space="preserve">Serving C9:C15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C31:G31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</si>
  <si>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：能量係數</t>
    </r>
  </si>
  <si>
    <r>
      <rPr>
        <sz val="10"/>
        <color rgb="FF000000"/>
        <rFont val="Arial"/>
        <family val="0"/>
        <charset val="1"/>
      </rPr>
      <t xml:space="preserve">Energy </t>
    </r>
    <r>
      <rPr>
        <sz val="10"/>
        <color rgb="FF000000"/>
        <rFont val="Noto Sans CJK SC"/>
        <family val="2"/>
      </rPr>
      <t xml:space="preserve">頁係數只供能量閉合檢查與 </t>
    </r>
    <r>
      <rPr>
        <sz val="10"/>
        <color rgb="FF000000"/>
        <rFont val="Arial"/>
        <family val="0"/>
        <charset val="1"/>
      </rPr>
      <t xml:space="preserve">tokens/J </t>
    </r>
    <r>
      <rPr>
        <sz val="10"/>
        <color rgb="FF000000"/>
        <rFont val="Noto Sans CJK SC"/>
        <family val="2"/>
      </rPr>
      <t xml:space="preserve">指標，不進成本與營收；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區間。</t>
    </r>
  </si>
  <si>
    <r>
      <rPr>
        <sz val="10"/>
        <color rgb="FF000000"/>
        <rFont val="Arial"/>
        <family val="0"/>
        <charset val="1"/>
      </rPr>
      <t xml:space="preserve">Energy C5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C7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</si>
  <si>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：訓練流程參數</t>
    </r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</si>
  <si>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 </t>
    </r>
    <r>
      <rPr>
        <sz val="10"/>
        <color rgb="FF000000"/>
        <rFont val="Noto Sans CJK SC"/>
        <family val="2"/>
      </rPr>
      <t xml:space="preserve">列為 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架構下的訓練流程定義與假設（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係數、取樣數、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量）；可查證者另列。</t>
    </r>
  </si>
  <si>
    <r>
      <rPr>
        <sz val="10"/>
        <color rgb="FF000000"/>
        <rFont val="Arial"/>
        <family val="0"/>
        <charset val="1"/>
      </rPr>
      <t xml:space="preserve">Train_In 8–15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27–38</t>
    </r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</si>
  <si>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倍數擴用 </t>
    </r>
    <r>
      <rPr>
        <sz val="10"/>
        <color rgb="FF000000"/>
        <rFont val="Arial"/>
        <family val="0"/>
        <charset val="1"/>
      </rPr>
      <t xml:space="preserve">C2</t>
    </r>
  </si>
  <si>
    <t xml:space="preserve">提議把 Decisions C2「已搜尋、無可比對象」的適用列名追加 Calib D69、E69、G69（GM352、GM353、GM355）；C2 明文規定新列須逐列經 Andy 決定。 ｜Andy 2026-10-17 決定照預設（D15 第 4 項）；Decisions C2 原列不改，本決策是擴用紀錄。</t>
  </si>
  <si>
    <r>
      <rPr>
        <sz val="10"/>
        <color rgb="FF000000"/>
        <rFont val="Arial"/>
        <family val="0"/>
        <charset val="1"/>
      </rPr>
      <t xml:space="preserve">Calib D69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G69</t>
    </r>
  </si>
  <si>
    <t xml:space="preserve">D15-10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</si>
  <si>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頁內標記更正為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（修訂九首批應用之一）</t>
    </r>
  </si>
  <si>
    <r>
      <rPr>
        <sz val="10"/>
        <color rgb="FF000000"/>
        <rFont val="Arial"/>
        <family val="0"/>
        <charset val="1"/>
      </rPr>
      <t xml:space="preserve">Arch F6:F8 </t>
    </r>
    <r>
      <rPr>
        <sz val="10"/>
        <color rgb="FF000000"/>
        <rFont val="Noto Sans CJK SC"/>
        <family val="2"/>
      </rPr>
      <t xml:space="preserve">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』更正為『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』：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的類別已是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4T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層無公開來源（封閉模型），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來自各自連結的 </t>
    </r>
    <r>
      <rPr>
        <sz val="10"/>
        <color rgb="FF000000"/>
        <rFont val="Arial"/>
        <family val="0"/>
        <charset val="1"/>
      </rPr>
      <t xml:space="preserve">SRC_MOD</t>
    </r>
    <r>
      <rPr>
        <sz val="10"/>
        <color rgb="FF000000"/>
        <rFont val="Noto Sans CJK SC"/>
        <family val="2"/>
      </rPr>
      <t xml:space="preserve">（模型卡）。依 </t>
    </r>
    <r>
      <rPr>
        <sz val="10"/>
        <color rgb="FF000000"/>
        <rFont val="Arial"/>
        <family val="0"/>
        <charset val="1"/>
      </rPr>
      <t xml:space="preserve">CLAUDE.md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節更正例外（修訂九）：原字樣『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』逐字保留在 </t>
    </r>
    <r>
      <rPr>
        <sz val="10"/>
        <color rgb="FF000000"/>
        <rFont val="Arial"/>
        <family val="0"/>
        <charset val="1"/>
      </rPr>
      <t xml:space="preserve">Arch G6:G8</t>
    </r>
    <r>
      <rPr>
        <sz val="10"/>
        <color rgb="FF000000"/>
        <rFont val="Noto Sans CJK SC"/>
        <family val="2"/>
      </rPr>
      <t xml:space="preserve">（來源／說明欄）並寫明更正版本 </t>
    </r>
    <r>
      <rPr>
        <sz val="10"/>
        <color rgb="FF000000"/>
        <rFont val="Arial"/>
        <family val="0"/>
        <charset val="1"/>
      </rPr>
      <t xml:space="preserve">v13.1</t>
    </r>
    <r>
      <rPr>
        <sz val="10"/>
        <color rgb="FF000000"/>
        <rFont val="Noto Sans CJK SC"/>
        <family val="2"/>
      </rPr>
      <t xml:space="preserve">；本筆為更正紀錄。數值不改。</t>
    </r>
    <r>
      <rPr>
        <sz val="10"/>
        <color rgb="FF000000"/>
        <rFont val="Arial"/>
        <family val="0"/>
        <charset val="1"/>
      </rPr>
      <t xml:space="preserve">Arch 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d_model</t>
    </r>
    <r>
      <rPr>
        <sz val="10"/>
        <color rgb="FF000000"/>
        <rFont val="Noto Sans CJK SC"/>
        <family val="2"/>
      </rPr>
      <t xml:space="preserve">）同樣寫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，不在本工作單範圍，未改。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</si>
  <si>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</si>
  <si>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Arch F6:F8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G6:G8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GM203–205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</t>
    </r>
  </si>
  <si>
    <t xml:space="preserve">D15-11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</si>
  <si>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v5.1 DGX H200 Server 556 tok/s/GPU</t>
    </r>
    <r>
      <rPr>
        <sz val="10"/>
        <color rgb="FF000000"/>
        <rFont val="Noto Sans CJK SC"/>
        <family val="2"/>
      </rPr>
      <t xml:space="preserve">）標『待回查』</t>
    </r>
  </si>
  <si>
    <r>
      <rPr>
        <sz val="10"/>
        <color rgb="FF000000"/>
        <rFont val="Arial"/>
        <family val="0"/>
        <charset val="1"/>
      </rPr>
      <t xml:space="preserve">MLCommons v5.1 summary_results.json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）；沒有 </t>
    </r>
    <r>
      <rPr>
        <sz val="10"/>
        <color rgb="FF000000"/>
        <rFont val="Arial"/>
        <family val="0"/>
        <charset val="1"/>
      </rPr>
      <t xml:space="preserve">H200 Server </t>
    </r>
    <r>
      <rPr>
        <sz val="10"/>
        <color rgb="FF000000"/>
        <rFont val="Noto Sans CJK SC"/>
        <family val="2"/>
      </rPr>
      <t xml:space="preserve">列，也找不到 </t>
    </r>
    <r>
      <rPr>
        <sz val="10"/>
        <color rgb="FF000000"/>
        <rFont val="Arial"/>
        <family val="0"/>
        <charset val="1"/>
      </rPr>
      <t xml:space="preserve">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的備註欄加註『待回查』（狀態欄 </t>
    </r>
    <r>
      <rPr>
        <sz val="10"/>
        <color rgb="FF000000"/>
        <rFont val="Arial"/>
        <family val="0"/>
        <charset val="1"/>
      </rPr>
      <t xml:space="preserve">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，否則同指標檢查會失效）、</t>
    </r>
    <r>
      <rPr>
        <sz val="10"/>
        <color rgb="FF000000"/>
        <rFont val="Arial"/>
        <family val="0"/>
        <charset val="1"/>
      </rPr>
      <t xml:space="preserve">Checks V1 </t>
    </r>
    <r>
      <rPr>
        <sz val="10"/>
        <color rgb="FF000000"/>
        <rFont val="Noto Sans CJK SC"/>
        <family val="2"/>
      </rPr>
      <t xml:space="preserve">說明欄加註『對照值未回查』；數值不改。第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筆第二來源選 </t>
    </r>
    <r>
      <rPr>
        <sz val="10"/>
        <color rgb="FF000000"/>
        <rFont val="Arial"/>
        <family val="0"/>
        <charset val="1"/>
      </rPr>
      <t xml:space="preserve">SRC_PERF_060 </t>
    </r>
    <r>
      <rPr>
        <sz val="10"/>
        <color rgb="FF000000"/>
        <rFont val="Noto Sans CJK SC"/>
        <family val="2"/>
      </rPr>
      <t xml:space="preserve">是代理的選擇，</t>
    </r>
    <r>
      <rPr>
        <sz val="10"/>
        <color rgb="FF000000"/>
        <rFont val="Arial"/>
        <family val="0"/>
        <charset val="1"/>
      </rPr>
      <t xml:space="preserve">Andy 2026-10-17 </t>
    </r>
    <r>
      <rPr>
        <sz val="10"/>
        <color rgb="FF000000"/>
        <rFont val="Noto Sans CJK SC"/>
        <family val="2"/>
      </rPr>
      <t xml:space="preserve">照預設。下一步：回查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原表 </t>
    </r>
    <r>
      <rPr>
        <sz val="10"/>
        <color rgb="FF000000"/>
        <rFont val="Arial"/>
        <family val="0"/>
        <charset val="1"/>
      </rPr>
      <t xml:space="preserve">556 </t>
    </r>
    <r>
      <rPr>
        <sz val="10"/>
        <color rgb="FF000000"/>
        <rFont val="Noto Sans CJK SC"/>
        <family val="2"/>
      </rPr>
      <t xml:space="preserve">的出處。</t>
    </r>
  </si>
  <si>
    <r>
      <rPr>
        <sz val="10"/>
        <color rgb="FF000000"/>
        <rFont val="Arial"/>
        <family val="0"/>
        <charset val="1"/>
      </rPr>
      <t xml:space="preserve">v13.1 </t>
    </r>
    <r>
      <rPr>
        <sz val="10"/>
        <color rgb="FF000000"/>
        <rFont val="Noto Sans CJK SC"/>
        <family val="2"/>
      </rPr>
      <t xml:space="preserve">已建；待回查</t>
    </r>
  </si>
  <si>
    <r>
      <rPr>
        <sz val="10"/>
        <color rgb="FF000000"/>
        <rFont val="Arial"/>
        <family val="0"/>
        <charset val="1"/>
      </rPr>
      <t xml:space="preserve">SRC_PERF_060 W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 J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DB_Evidence E384</t>
    </r>
  </si>
  <si>
    <t xml:space="preserve">D15-12</t>
  </si>
  <si>
    <r>
      <rPr>
        <sz val="10"/>
        <color rgb="FF000000"/>
        <rFont val="Arial"/>
        <family val="0"/>
        <charset val="1"/>
      </rPr>
      <t xml:space="preserve">D15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數的區間不動，閉合值的差距標為『未解釋』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</si>
  <si>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2,000–11,000 </t>
    </r>
    <r>
      <rPr>
        <sz val="10"/>
        <color rgb="FF000000"/>
        <rFont val="Noto Sans CJK SC"/>
        <family val="2"/>
      </rPr>
      <t xml:space="preserve">不動。</t>
    </r>
    <r>
      <rPr>
        <sz val="10"/>
        <color rgb="FF000000"/>
        <rFont val="Arial"/>
        <family val="0"/>
        <charset val="1"/>
      </rPr>
      <t xml:space="preserve">v13.0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38,186</t>
    </r>
    <r>
      <rPr>
        <sz val="10"/>
        <color rgb="FF000000"/>
        <rFont val="Noto Sans CJK SC"/>
        <family val="2"/>
      </rPr>
      <t xml:space="preserve">，為區間上限 </t>
    </r>
    <r>
      <rPr>
        <sz val="10"/>
        <color rgb="FF000000"/>
        <rFont val="Arial"/>
        <family val="0"/>
        <charset val="1"/>
      </rPr>
      <t xml:space="preserve">11,000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3.5 </t>
    </r>
    <r>
      <rPr>
        <sz val="10"/>
        <color rgb="FF000000"/>
        <rFont val="Noto Sans CJK SC"/>
        <family val="2"/>
      </rPr>
      <t xml:space="preserve">倍，屬未解釋；閉合值是殘差（由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推出），不作為放寬輸入區間的證據。說明寫入 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列的讀法欄與 </t>
    </r>
    <r>
      <rPr>
        <sz val="10"/>
        <color rgb="FF000000"/>
        <rFont val="Arial"/>
        <family val="0"/>
        <charset val="1"/>
      </rPr>
      <t xml:space="preserve">Gov_Map GM587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欄。數值不改。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</si>
  <si>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Gov_Map GM587 N </t>
    </r>
    <r>
      <rPr>
        <sz val="10"/>
        <color rgb="FF000000"/>
        <rFont val="Noto Sans CJK SC"/>
        <family val="2"/>
      </rPr>
      <t xml:space="preserve">欄</t>
    </r>
  </si>
  <si>
    <t xml:space="preserve">SL43-1</t>
  </si>
  <si>
    <t xml:space="preserve">v14.0</t>
  </si>
  <si>
    <t xml:space="preserve">瘦身 4-3B：Q1 刪除：73 列（509＋5 格）未接線，已移除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</si>
  <si>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段明細處置＝刪除的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509 </t>
    </r>
    <r>
      <rPr>
        <sz val="10"/>
        <color rgb="FF000000"/>
        <rFont val="Noto Sans CJK SC"/>
        <family val="2"/>
      </rPr>
      <t xml:space="preserve">格）加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C44:G44</t>
    </r>
    <r>
      <rPr>
        <sz val="10"/>
        <color rgb="FF000000"/>
        <rFont val="Noto Sans CJK SC"/>
        <family val="2"/>
      </rPr>
      <t xml:space="preserve">，供應商專屬旗標；</t>
    </r>
    <r>
      <rPr>
        <sz val="10"/>
        <color rgb="FF000000"/>
        <rFont val="Arial"/>
        <family val="0"/>
        <charset val="1"/>
      </rPr>
      <t xml:space="preserve">Andy 2026-10-17 09:18 </t>
    </r>
    <r>
      <rPr>
        <sz val="10"/>
        <color rgb="FF000000"/>
        <rFont val="Noto Sans CJK SC"/>
        <family val="2"/>
      </rPr>
      <t xml:space="preserve">決定刪除）。做法：只清空數值格，不刪列欄、不移動參照；各列『用途』欄寫刪除註記。刪除前逐列再確認：公式、具名範圍、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Sens_* </t>
    </r>
    <r>
      <rPr>
        <sz val="10"/>
        <color rgb="FF000000"/>
        <rFont val="Noto Sans CJK SC"/>
        <family val="2"/>
      </rPr>
      <t xml:space="preserve">比對、鏡像測試皆不讀這些格，唯一的讀者是名稱 </t>
    </r>
    <r>
      <rPr>
        <sz val="10"/>
        <color rgb="FF000000"/>
        <rFont val="Arial"/>
        <family val="0"/>
        <charset val="1"/>
      </rPr>
      <t xml:space="preserve">B5_TaskTok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Harness C44:G44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B5_SelVendor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C44:G44</t>
    </r>
    <r>
      <rPr>
        <sz val="10"/>
        <color rgb="FF000000"/>
        <rFont val="Noto Sans CJK SC"/>
        <family val="2"/>
      </rPr>
      <t xml:space="preserve">），兩個名稱無人使用，一併移除；</t>
    </r>
    <r>
      <rPr>
        <sz val="10"/>
        <color rgb="FF000000"/>
        <rFont val="Arial"/>
        <family val="0"/>
        <charset val="1"/>
      </rPr>
      <t xml:space="preserve">Harness A157 </t>
    </r>
    <r>
      <rPr>
        <sz val="10"/>
        <color rgb="FF000000"/>
        <rFont val="Noto Sans CJK SC"/>
        <family val="2"/>
      </rPr>
      <t xml:space="preserve">說明刪去『供應商專屬』一句。理由：功能未接線，已移除，需要時再接線。</t>
    </r>
  </si>
  <si>
    <r>
      <rPr>
        <sz val="10"/>
        <color rgb="FF000000"/>
        <rFont val="Arial"/>
        <family val="0"/>
        <charset val="1"/>
      </rPr>
      <t xml:space="preserve">Andy 2026-10-17 09:18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44 </t>
    </r>
    <r>
      <rPr>
        <sz val="10"/>
        <color rgb="FF000000"/>
        <rFont val="Noto Sans CJK SC"/>
        <family val="2"/>
      </rPr>
      <t xml:space="preserve">刪除）；其餘依 </t>
    </r>
    <r>
      <rPr>
        <sz val="10"/>
        <color rgb="FF000000"/>
        <rFont val="Arial"/>
        <family val="0"/>
        <charset val="1"/>
      </rPr>
      <t xml:space="preserve">4-3 A </t>
    </r>
    <r>
      <rPr>
        <sz val="10"/>
        <color rgb="FF000000"/>
        <rFont val="Noto Sans CJK SC"/>
        <family val="2"/>
      </rPr>
      <t xml:space="preserve">段建議與本工作單（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定案，可撤回）</t>
    </r>
  </si>
  <si>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已建</t>
    </r>
  </si>
  <si>
    <t xml:space="preserve">各頁（見報告刪除清單）；具名範圍 B5_TaskTok、B5_SelVendor；Harness A157</t>
  </si>
  <si>
    <t xml:space="preserve">工作單 docs/workorders/20261017_4-3B.md Q1</t>
  </si>
  <si>
    <t xml:space="preserve">SL43-2</t>
  </si>
  <si>
    <t xml:space="preserve">瘦身 4-3B：Q2 升級 18 個名稱（Interface M 節 11 個、Cap_In 序列 7 個）</t>
  </si>
  <si>
    <t xml:space="preserve">新增 IF_TaskTokMult、IF_TrainFLOP_／IF_TrainInferShare_／IF_GMDefault_ × Luna／Sol／Astra、IF_AmortRevShare（Interface M 節）；L1_MAPI_Ser、L1_MSub_Ser、L1_MSeat_Ser、L1_MImplied_Ser、L1_MFleet_Ser、L1_MFleet_P25Lo、L1_MFleet_P25Hi（Cap_In 第 206–209、223、285–286 列）。Luna／Sol／Astra 是層級，不是世代；每個名稱的說明帶層級與 token 類型，值本身為混合比值者註明『混合』。主版升級（新增契約名稱）；既有 IF_／IFW_／L1_／RNG_ 數值全部不變。27 列『升級（隨附上游）』保留為核心。批次口徑區間：新名稱中隨 CAL_BatchEtaD 變動者依 v13.0 K1 規則補 RNG_&lt;名稱&gt;_Lo／_Hi（見報告）。</t>
  </si>
  <si>
    <r>
      <rPr>
        <sz val="10"/>
        <color rgb="FF000000"/>
        <rFont val="Arial"/>
        <family val="0"/>
        <charset val="1"/>
      </rPr>
      <t xml:space="preserve">Interface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285–286 </t>
    </r>
    <r>
      <rPr>
        <sz val="10"/>
        <color rgb="FF000000"/>
        <rFont val="Noto Sans CJK SC"/>
        <family val="2"/>
      </rPr>
      <t xml:space="preserve">列；下游契約文件；契約快照</t>
    </r>
  </si>
  <si>
    <t xml:space="preserve">工作單 docs/workorders/20261017_4-3B.md Q2</t>
  </si>
  <si>
    <t xml:space="preserve">SL43-3</t>
  </si>
  <si>
    <t xml:space="preserve">瘦身 4-3B：Q3 L1_MFleetFloor 不升級（定義待 Project 判斷）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</si>
  <si>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下限，上限讀法）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0.301 </t>
    </r>
    <r>
      <rPr>
        <sz val="10"/>
        <color rgb="FF000000"/>
        <rFont val="Noto Sans CJK SC"/>
        <family val="2"/>
      </rPr>
      <t xml:space="preserve">為『機隊付費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年度混合單價』下的物理下限；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0.184</t>
    </r>
    <r>
      <rPr>
        <sz val="10"/>
        <color rgb="FF000000"/>
        <rFont val="Noto Sans CJK SC"/>
        <family val="2"/>
      </rPr>
      <t xml:space="preserve">）取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取高情境（含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區間），兩者區間定義不同，</t>
    </r>
    <r>
      <rPr>
        <sz val="10"/>
        <color rgb="FF000000"/>
        <rFont val="Arial"/>
        <family val="0"/>
        <charset val="1"/>
      </rPr>
      <t xml:space="preserve">0.184 </t>
    </r>
    <r>
      <rPr>
        <sz val="10"/>
        <color rgb="FF000000"/>
        <rFont val="Noto Sans CJK SC"/>
        <family val="2"/>
      </rPr>
      <t xml:space="preserve">低於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。本版只查明、不改數值；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列保留為顯示用，用途標記『待定義，見 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報告』。三種處理（截在下限／修正下限定義／改寫標籤）列報告『待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判斷』。</t>
    </r>
  </si>
  <si>
    <t xml:space="preserve">待判斷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</si>
  <si>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</si>
  <si>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docs/workorders/20261017_4-3B.md Q3</t>
  </si>
  <si>
    <t xml:space="preserve">SL43-4</t>
  </si>
  <si>
    <t xml:space="preserve">瘦身 4-3B：Q4 接進 Checks：V23–V26 與 D104／D140 單一定義</t>
  </si>
  <si>
    <t xml:space="preserve">新增 Checks V23（Perf／Perf_Batch 實際速度 ≥ SLO）、V24（Cap_In 第 147 列 ＝ L1_MImplied）、V25（Cap_In 第 175 列 ≤ 1）、V26（Cap_In 第 215 列＝100%），計入驗證項目數；Checks D104、D140 改讀 Alloc_In C18、C33（不再自己重算）。每條新檢查各有專屬必須失敗測試（tests/parity/test_v1400.py）；V23、V24 為結構性恆等式，只能靠改寫公式格使其失敗，已在報告說明。 ｜v14.1 R2：V23、V24 已改標『恆等式（非驗證）』，移出驗證計數（見 SL44-2）；V25、V26 仍計入</t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</si>
  <si>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tests/parity/test_v1400.py</t>
    </r>
  </si>
  <si>
    <t xml:space="preserve">工作單 docs/workorders/20261017_4-3B.md Q4</t>
  </si>
  <si>
    <t xml:space="preserve">SL43-5</t>
  </si>
  <si>
    <t xml:space="preserve">瘦身 4-3B：Q5 用途標記與死格基準</t>
  </si>
  <si>
    <t xml:space="preserve">保留：顯示用 155 列補『用途』標記（文字由 CC 依 A 段理由擬寫，報告附清單供 Andy 抽查）；刪除後新增的死格（上游只被已刪除的列讀取者）補標記；DEAD_BASELINE（test_slim.py）與無標記死格 fixture 依刪除、升級、標記更新，新舊值見報告；目標無標記 B 級＝0。</t>
  </si>
  <si>
    <t xml:space="preserve">各頁『用途』欄；tests/parity/test_slim.py；tests/parity/fixtures</t>
  </si>
  <si>
    <t xml:space="preserve">工作單 docs/workorders/20261017_4-3B.md Q5</t>
  </si>
  <si>
    <t xml:space="preserve">SL44-1</t>
  </si>
  <si>
    <t xml:space="preserve">v14.1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</si>
  <si>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低端改用『同欄下限』（下限截斷）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</si>
  <si>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D token </t>
    </r>
    <r>
      <rPr>
        <sz val="10"/>
        <color rgb="FF000000"/>
        <rFont val="Noto Sans CJK SC"/>
        <family val="2"/>
      </rPr>
      <t xml:space="preserve">取高／</t>
    </r>
    <r>
      <rPr>
        <sz val="10"/>
        <color rgb="FF000000"/>
        <rFont val="Arial"/>
        <family val="0"/>
        <charset val="1"/>
      </rPr>
      <t xml:space="preserve">E token </t>
    </r>
    <r>
      <rPr>
        <sz val="10"/>
        <color rgb="FF000000"/>
        <rFont val="Noto Sans CJK SC"/>
        <family val="2"/>
      </rPr>
      <t xml:space="preserve">取低）各欄改為 </t>
    </r>
    <r>
      <rPr>
        <sz val="10"/>
        <color rgb="FF000000"/>
        <rFont val="Arial"/>
        <family val="0"/>
        <charset val="1"/>
      </rPr>
      <t xml:space="preserve">MAX(</t>
    </r>
    <r>
      <rPr>
        <sz val="10"/>
        <color rgb="FF000000"/>
        <rFont val="Noto Sans CJK SC"/>
        <family val="2"/>
      </rPr>
      <t xml:space="preserve">該欄點估計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該欄第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列的物理下限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列每一欄用該欄自己的服務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與利用率口徑算出，所以低端欄（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）的下限是 </t>
    </r>
    <r>
      <rPr>
        <sz val="10"/>
        <color rgb="FF000000"/>
        <rFont val="Arial"/>
        <family val="0"/>
        <charset val="1"/>
      </rPr>
      <t xml:space="preserve">0.215</t>
    </r>
    <r>
      <rPr>
        <sz val="10"/>
        <color rgb="FF000000"/>
        <rFont val="Noto Sans CJK SC"/>
        <family val="2"/>
      </rPr>
      <t xml:space="preserve">（不是基準欄的 </t>
    </r>
    <r>
      <rPr>
        <sz val="10"/>
        <color rgb="FF000000"/>
        <rFont val="Arial"/>
        <family val="0"/>
        <charset val="1"/>
      </rPr>
      <t xml:space="preserve">0.301</t>
    </r>
    <r>
      <rPr>
        <sz val="10"/>
        <color rgb="FF000000"/>
        <rFont val="Noto Sans CJK SC"/>
        <family val="2"/>
      </rPr>
      <t xml:space="preserve">）。原因（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節）：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取高的點估計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423 </t>
    </r>
    <r>
      <rPr>
        <sz val="10"/>
        <color rgb="FF000000"/>
        <rFont val="Noto Sans CJK SC"/>
        <family val="2"/>
      </rPr>
      <t xml:space="preserve">億）高於它自己那一欄的上限（</t>
    </r>
    <r>
      <rPr>
        <sz val="10"/>
        <color rgb="FF000000"/>
        <rFont val="Arial"/>
        <family val="0"/>
        <charset val="1"/>
      </rPr>
      <t xml:space="preserve">361 </t>
    </r>
    <r>
      <rPr>
        <sz val="10"/>
        <color rgb="FF000000"/>
        <rFont val="Noto Sans CJK SC"/>
        <family val="2"/>
      </rPr>
      <t xml:space="preserve">億，比值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），兩者差在服務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與利用率修正的口徑不同，造成 </t>
    </r>
    <r>
      <rPr>
        <sz val="10"/>
        <color rgb="FF000000"/>
        <rFont val="Arial"/>
        <family val="0"/>
        <charset val="1"/>
      </rPr>
      <t xml:space="preserve">L1_MFleet_Lo 0.184 </t>
    </r>
    <r>
      <rPr>
        <sz val="10"/>
        <color rgb="FF000000"/>
        <rFont val="Noto Sans CJK SC"/>
        <family val="2"/>
      </rPr>
      <t xml:space="preserve">低於物理下限。處理：下限截斷（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）。基準 </t>
    </r>
    <r>
      <rPr>
        <sz val="10"/>
        <color rgb="FF000000"/>
        <rFont val="Arial"/>
        <family val="0"/>
        <charset val="1"/>
      </rPr>
      <t xml:space="preserve">0.407 </t>
    </r>
    <r>
      <rPr>
        <sz val="10"/>
        <color rgb="FF000000"/>
        <rFont val="Noto Sans CJK SC"/>
        <family val="2"/>
      </rPr>
      <t xml:space="preserve">與高端 </t>
    </r>
    <r>
      <rPr>
        <sz val="10"/>
        <color rgb="FF000000"/>
        <rFont val="Arial"/>
        <family val="0"/>
        <charset val="1"/>
      </rPr>
      <t xml:space="preserve">1.179 </t>
    </r>
    <r>
      <rPr>
        <sz val="10"/>
        <color rgb="FF000000"/>
        <rFont val="Noto Sans CJK SC"/>
        <family val="2"/>
      </rPr>
      <t xml:space="preserve">高於各自欄的下限，不受影響。機制寫在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公式（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列）；說明欄寫明『下限截斷：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起，低端不得低於同欄物理下限』。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121 </t>
    </r>
    <r>
      <rPr>
        <sz val="10"/>
        <color rgb="FF000000"/>
        <rFont val="Noto Sans CJK SC"/>
        <family val="2"/>
      </rPr>
      <t xml:space="preserve">列用途由『待定義』改為正式定義；不升級為契約名稱 </t>
    </r>
    <r>
      <rPr>
        <sz val="10"/>
        <color rgb="FF000000"/>
        <rFont val="Arial"/>
        <family val="0"/>
        <charset val="1"/>
      </rPr>
      <t xml:space="preserve">L1_MFleetFloor</t>
    </r>
    <r>
      <rPr>
        <sz val="10"/>
        <color rgb="FF000000"/>
        <rFont val="Noto Sans CJK SC"/>
        <family val="2"/>
      </rPr>
      <t xml:space="preserve">（下游不讀）。受影響的名稱：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L1_LReqFleet_Hi</t>
    </r>
    <r>
      <rPr>
        <sz val="10"/>
        <color rgb="FF000000"/>
        <rFont val="Noto Sans CJK SC"/>
        <family val="2"/>
      </rPr>
      <t xml:space="preserve">（及其依賴格 </t>
    </r>
    <r>
      <rPr>
        <sz val="10"/>
        <color rgb="FF000000"/>
        <rFont val="Arial"/>
        <family val="0"/>
        <charset val="1"/>
      </rPr>
      <t xml:space="preserve">Cap_In E240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CHK_L1Order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GOV_Warnings </t>
    </r>
    <r>
      <rPr>
        <sz val="10"/>
        <color rgb="FF000000"/>
        <rFont val="Noto Sans CJK SC"/>
        <family val="2"/>
      </rPr>
      <t xml:space="preserve">的輸入；新舊值見報告）。</t>
    </r>
  </si>
  <si>
    <r>
      <rPr>
        <sz val="10"/>
        <color rgb="FF000000"/>
        <rFont val="Arial"/>
        <family val="0"/>
        <charset val="1"/>
      </rPr>
      <t xml:space="preserve">Andy 2026-10-17 10:46</t>
    </r>
    <r>
      <rPr>
        <sz val="10"/>
        <color rgb="FF000000"/>
        <rFont val="Noto Sans CJK SC"/>
        <family val="2"/>
      </rPr>
      <t xml:space="preserve">（回覆『照預設』，同意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10:40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項預設；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</si>
  <si>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</si>
  <si>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R1</t>
    </r>
  </si>
  <si>
    <t xml:space="preserve">SL44-2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</si>
  <si>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R2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 </t>
    </r>
    <r>
      <rPr>
        <sz val="10"/>
        <color rgb="FF000000"/>
        <rFont val="Noto Sans CJK SC"/>
        <family val="2"/>
      </rPr>
      <t xml:space="preserve">標『恆等式（非驗證）』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</si>
  <si>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實際速度 ≥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147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）是結構性恆等式（</t>
    </r>
    <r>
      <rPr>
        <sz val="10"/>
        <color rgb="FF000000"/>
        <rFont val="Arial"/>
        <family val="0"/>
        <charset val="1"/>
      </rPr>
      <t xml:space="preserve">4-3B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節）：定義上恆成立，無法只靠改輸入使其失敗。比照 </t>
    </r>
    <r>
      <rPr>
        <sz val="10"/>
        <color rgb="FF000000"/>
        <rFont val="Arial"/>
        <family val="0"/>
        <charset val="1"/>
      </rPr>
      <t xml:space="preserve">V18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欄改顯示文字『恆等式（非驗證）』，移出驗證項目數／通過／失敗；公式被改壞時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欄顯示『恆等式不成立』，專屬必須失敗測試保留（改公式格）。驗證計數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→ 22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</si>
  <si>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V23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Pass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</si>
  <si>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R2</t>
    </r>
  </si>
  <si>
    <t xml:space="preserve">SL44-3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</si>
  <si>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R3 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列供應商旗標清空</t>
    </r>
  </si>
  <si>
    <r>
      <rPr>
        <sz val="10"/>
        <color rgb="FF000000"/>
        <rFont val="Noto Sans CJK SC"/>
        <family val="2"/>
      </rPr>
      <t xml:space="preserve">供應商專屬旗標（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C:G</t>
    </r>
    <r>
      <rPr>
        <sz val="10"/>
        <color rgb="FF000000"/>
        <rFont val="Noto Sans CJK SC"/>
        <family val="2"/>
      </rPr>
      <t xml:space="preserve">）自第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列於 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刪除後已無任何公式讀取，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清空。原值：第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；第 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欄（來源與標記）與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欄（說明）原文保留；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該兩列（列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已移除』，原文保留（修訂九）。需要時再接線。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</si>
  <si>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493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GM489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GM497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</si>
  <si>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R3</t>
    </r>
  </si>
  <si>
    <t xml:space="preserve">SL44-4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</si>
  <si>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R4 v14.0 </t>
    </r>
    <r>
      <rPr>
        <sz val="10"/>
        <color rgb="FF000000"/>
        <rFont val="Noto Sans CJK SC"/>
        <family val="2"/>
      </rPr>
      <t xml:space="preserve">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欄標籤清空</t>
    </r>
  </si>
  <si>
    <r>
      <rPr>
        <sz val="10"/>
        <color rgb="FF000000"/>
        <rFont val="Arial"/>
        <family val="0"/>
        <charset val="1"/>
      </rPr>
      <t xml:space="preserve">v14.0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SL43-1</t>
    </r>
    <r>
      <rPr>
        <sz val="10"/>
        <color rgb="FF000000"/>
        <rFont val="Noto Sans CJK SC"/>
        <family val="2"/>
      </rPr>
      <t xml:space="preserve">）刪除的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一併清空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欄標籤。可追溯清單（工作表</t>
    </r>
    <r>
      <rPr>
        <sz val="10"/>
        <color rgb="FF000000"/>
        <rFont val="Arial"/>
        <family val="0"/>
        <charset val="1"/>
      </rPr>
      <t xml:space="preserve">!</t>
    </r>
    <r>
      <rPr>
        <sz val="10"/>
        <color rgb="FF000000"/>
        <rFont val="Noto Sans CJK SC"/>
        <family val="2"/>
      </rPr>
      <t xml:space="preserve">列：原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欄｜原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Arch!26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參數｜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Arch!31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Serving!26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Workload!37</t>
    </r>
    <r>
      <rPr>
        <sz val="10"/>
        <color rgb="FF000000"/>
        <rFont val="Noto Sans CJK SC"/>
        <family val="2"/>
      </rPr>
      <t xml:space="preserve">：思考占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Workload!39</t>
    </r>
    <r>
      <rPr>
        <sz val="10"/>
        <color rgb="FF000000"/>
        <rFont val="Noto Sans CJK SC"/>
        <family val="2"/>
      </rPr>
      <t xml:space="preserve">：總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Workload!48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Unit_Cost!23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Unit_Cost!36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Unit_Cost!49</t>
    </r>
    <r>
      <rPr>
        <sz val="10"/>
        <color rgb="FF000000"/>
        <rFont val="Noto Sans CJK SC"/>
        <family val="2"/>
      </rPr>
      <t xml:space="preserve">：參考請求混合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Training!131</t>
    </r>
    <r>
      <rPr>
        <sz val="10"/>
        <color rgb="FF000000"/>
        <rFont val="Noto Sans CJK SC"/>
        <family val="2"/>
      </rPr>
      <t xml:space="preserve">：家族最終訓練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Training!132</t>
    </r>
    <r>
      <rPr>
        <sz val="10"/>
        <color rgb="FF000000"/>
        <rFont val="Noto Sans CJK SC"/>
        <family val="2"/>
      </rPr>
      <t xml:space="preserve">：家族研發計畫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小時｜</t>
    </r>
    <r>
      <rPr>
        <sz val="10"/>
        <color rgb="FF000000"/>
        <rFont val="Arial"/>
        <family val="0"/>
        <charset val="1"/>
      </rPr>
      <t xml:space="preserve">GPU-hr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Training!133</t>
    </r>
    <r>
      <rPr>
        <sz val="10"/>
        <color rgb="FF000000"/>
        <rFont val="Noto Sans CJK SC"/>
        <family val="2"/>
      </rPr>
      <t xml:space="preserve">：家族研發計畫成本 — 經濟｜</t>
    </r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Training!134</t>
    </r>
    <r>
      <rPr>
        <sz val="10"/>
        <color rgb="FF000000"/>
        <rFont val="Noto Sans CJK SC"/>
        <family val="2"/>
      </rPr>
      <t xml:space="preserve">：家族研發計畫占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Cap_In!138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Cap_In!204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Cap_In!231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Cap_In!245</t>
    </r>
    <r>
      <rPr>
        <sz val="10"/>
        <color rgb="FF000000"/>
        <rFont val="Noto Sans CJK SC"/>
        <family val="2"/>
      </rPr>
      <t xml:space="preserve">：請求形狀修正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Cap_In!282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Price_Frontier!23</t>
    </r>
    <r>
      <rPr>
        <sz val="10"/>
        <color rgb="FF000000"/>
        <rFont val="Noto Sans CJK SC"/>
        <family val="2"/>
      </rPr>
      <t xml:space="preserve">：層級能力門檻（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層級模型的指數）｜指數；</t>
    </r>
    <r>
      <rPr>
        <sz val="10"/>
        <color rgb="FF000000"/>
        <rFont val="Arial"/>
        <family val="0"/>
        <charset val="1"/>
      </rPr>
      <t xml:space="preserve">Price_Frontier!30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Cache_Store!18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Cache_Store!19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Cache_Store!24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Cache_Store!25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Cache_Store!30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Cache_Store!31</t>
    </r>
    <r>
      <rPr>
        <sz val="10"/>
        <color rgb="FF000000"/>
        <rFont val="Noto Sans CJK SC"/>
        <family val="2"/>
      </rPr>
      <t xml:space="preserve">：儲存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快取輸入有效價｜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Theory_Rev!13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Theory_Rev!31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Theory_Rev!49</t>
    </r>
    <r>
      <rPr>
        <sz val="10"/>
        <color rgb="FF000000"/>
        <rFont val="Noto Sans CJK SC"/>
        <family val="2"/>
      </rPr>
      <t xml:space="preserve">：理論營收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Theory_Rev!74</t>
    </r>
    <r>
      <rPr>
        <sz val="10"/>
        <color rgb="FF000000"/>
        <rFont val="Noto Sans CJK SC"/>
        <family val="2"/>
      </rPr>
      <t xml:space="preserve">：服務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加權平均有效單價｜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Theory_Rev!79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Theory_Rev!86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Harness!44</t>
    </r>
    <r>
      <rPr>
        <sz val="10"/>
        <color rgb="FF000000"/>
        <rFont val="Noto Sans CJK SC"/>
        <family val="2"/>
      </rPr>
      <t xml:space="preserve">：任務總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Harness!105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Harness!106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Harness!107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Harness!108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Harness!109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Harness!110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Harness!111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Harness!112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Harness!113</t>
    </r>
    <r>
      <rPr>
        <sz val="10"/>
        <color rgb="FF000000"/>
        <rFont val="Noto Sans CJK SC"/>
        <family val="2"/>
      </rPr>
      <t xml:space="preserve">：每成功任務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Harness!116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Harness!118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Harness!119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Harness!121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Harness!122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Harness!124</t>
    </r>
    <r>
      <rPr>
        <sz val="10"/>
        <color rgb="FF000000"/>
        <rFont val="Noto Sans CJK SC"/>
        <family val="2"/>
      </rPr>
      <t xml:space="preserve">：每次嘗試營收：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Harness!125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Harness!127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Harness!128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Harness!130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Harness!131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Harness!133</t>
    </r>
    <r>
      <rPr>
        <sz val="10"/>
        <color rgb="FF000000"/>
        <rFont val="Noto Sans CJK SC"/>
        <family val="2"/>
      </rPr>
      <t xml:space="preserve">：每成功任務營收：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（頂層）｜選定檔案全採用｜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Harness!142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Harness!143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Harness!144</t>
    </r>
    <r>
      <rPr>
        <sz val="10"/>
        <color rgb="FF000000"/>
        <rFont val="Noto Sans CJK SC"/>
        <family val="2"/>
      </rPr>
      <t xml:space="preserve">：成功率比（選定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</t>
    </r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Har_In!44</t>
    </r>
    <r>
      <rPr>
        <sz val="10"/>
        <color rgb="FF000000"/>
        <rFont val="Noto Sans CJK SC"/>
        <family val="2"/>
      </rPr>
      <t xml:space="preserve">：供應商專屬（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＝是）｜旗標</t>
    </r>
  </si>
  <si>
    <t xml:space="preserve">各頁（見清單）</t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</si>
  <si>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R4</t>
    </r>
  </si>
  <si>
    <t xml:space="preserve">SL44-5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</si>
  <si>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R5 Cap_In 24 </t>
    </r>
    <r>
      <rPr>
        <sz val="10"/>
        <color rgb="FF000000"/>
        <rFont val="Noto Sans CJK SC"/>
        <family val="2"/>
      </rPr>
      <t xml:space="preserve">格清空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</si>
  <si>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187–193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196–202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216–222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格）與第 </t>
    </r>
    <r>
      <rPr>
        <sz val="10"/>
        <color rgb="FF000000"/>
        <rFont val="Arial"/>
        <family val="0"/>
        <charset val="1"/>
      </rPr>
      <t xml:space="preserve">175 </t>
    </r>
    <r>
      <rPr>
        <sz val="10"/>
        <color rgb="FF000000"/>
        <rFont val="Noto Sans CJK SC"/>
        <family val="2"/>
      </rPr>
      <t xml:space="preserve">列說明文字格 </t>
    </r>
    <r>
      <rPr>
        <sz val="10"/>
        <color rgb="FF000000"/>
        <rFont val="Arial"/>
        <family val="0"/>
        <charset val="1"/>
      </rPr>
      <t xml:space="preserve">G175</t>
    </r>
    <r>
      <rPr>
        <sz val="10"/>
        <color rgb="FF000000"/>
        <rFont val="Noto Sans CJK SC"/>
        <family val="2"/>
      </rPr>
      <t xml:space="preserve">，刪除前以依賴圖逐格確認：這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格的讀者全部在這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格之內（沒有任何其他格、名稱、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讀取），所以整組清空。保留（有組外讀者）：無。原公式：</t>
    </r>
    <r>
      <rPr>
        <sz val="10"/>
        <color rgb="FF000000"/>
        <rFont val="Arial"/>
        <family val="0"/>
        <charset val="1"/>
      </rPr>
      <t xml:space="preserve">Cap_In!C185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=C185-C186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Cap_In!C189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=1-C188-C189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=C187*C190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=C197*1000000000*AL_TokPerPrompt*365/1000000*(1-AL_FreeShare)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Cap_In!C199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=C197*1000000000*AL_TokPerPrompt*365/1000000*AL_FreeShare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=$C$132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=C198*C200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=C198*(1-C200)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Cap_In!C205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=SUMPRODUCT(AL_ShareGen,AL_HoldGen)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=C216/C217/AL_SpendBasis*(AL_UtilActual*CTL_ProdDerate)/IF_Util*AL_Kappa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Cap_In!C219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=AL_BlendFree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=C199/(C196+C198)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Cap_In!C222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=C116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Cap_In!G175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="</t>
    </r>
    <r>
      <rPr>
        <sz val="10"/>
        <color rgb="FF000000"/>
        <rFont val="Noto Sans CJK SC"/>
        <family val="2"/>
      </rPr>
      <t xml:space="preserve">現值 </t>
    </r>
    <r>
      <rPr>
        <sz val="10"/>
        <color rgb="FF000000"/>
        <rFont val="Arial"/>
        <family val="0"/>
        <charset val="1"/>
      </rPr>
      <t xml:space="preserve">"&amp;IF(ISNUMBER(C175),TEXT(C175,"0.000"),"—")&amp;"</t>
    </r>
    <r>
      <rPr>
        <sz val="10"/>
        <color rgb="FF000000"/>
        <rFont val="Noto Sans CJK SC"/>
        <family val="2"/>
      </rPr>
      <t xml:space="preserve">（舊說明寫 </t>
    </r>
    <r>
      <rPr>
        <sz val="10"/>
        <color rgb="FF000000"/>
        <rFont val="Arial"/>
        <family val="0"/>
        <charset val="1"/>
      </rPr>
      <t xml:space="preserve">0.319</t>
    </r>
    <r>
      <rPr>
        <sz val="10"/>
        <color rgb="FF000000"/>
        <rFont val="Noto Sans CJK SC"/>
        <family val="2"/>
      </rPr>
      <t xml:space="preserve">，為歷史值）（＝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判讀）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</si>
  <si>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Cap_In C </t>
    </r>
    <r>
      <rPr>
        <sz val="10"/>
        <color rgb="FF000000"/>
        <rFont val="Noto Sans CJK SC"/>
        <family val="2"/>
      </rPr>
      <t xml:space="preserve">欄上述各列；</t>
    </r>
    <r>
      <rPr>
        <sz val="10"/>
        <color rgb="FF000000"/>
        <rFont val="Arial"/>
        <family val="0"/>
        <charset val="1"/>
      </rPr>
      <t xml:space="preserve">G175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</si>
  <si>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R5</t>
    </r>
  </si>
  <si>
    <t xml:space="preserve">SL44-6</t>
  </si>
  <si>
    <r>
      <rPr>
        <sz val="10"/>
        <color rgb="FF000000"/>
        <rFont val="Arial"/>
        <family val="0"/>
        <charset val="1"/>
      </rPr>
      <t xml:space="preserve">v14.1 </t>
    </r>
    <r>
      <rPr>
        <sz val="10"/>
        <color rgb="FF000000"/>
        <rFont val="Noto Sans CJK SC"/>
        <family val="2"/>
      </rPr>
      <t xml:space="preserve">修補：</t>
    </r>
    <r>
      <rPr>
        <sz val="10"/>
        <color rgb="FF000000"/>
        <rFont val="Arial"/>
        <family val="0"/>
        <charset val="1"/>
      </rPr>
      <t xml:space="preserve">R6 v14.0 </t>
    </r>
    <r>
      <rPr>
        <sz val="10"/>
        <color rgb="FF000000"/>
        <rFont val="Noto Sans CJK SC"/>
        <family val="2"/>
      </rPr>
      <t xml:space="preserve">獨立查核（</t>
    </r>
    <r>
      <rPr>
        <sz val="10"/>
        <color rgb="FF000000"/>
        <rFont val="Arial"/>
        <family val="0"/>
        <charset val="1"/>
      </rPr>
      <t xml:space="preserve">PR #104</t>
    </r>
    <r>
      <rPr>
        <sz val="10"/>
        <color rgb="FF000000"/>
        <rFont val="Noto Sans CJK SC"/>
        <family val="2"/>
      </rPr>
      <t xml:space="preserve">）的小項</t>
    </r>
  </si>
  <si>
    <r>
      <rPr>
        <sz val="10"/>
        <color rgb="FF000000"/>
        <rFont val="Arial"/>
        <family val="0"/>
        <charset val="1"/>
      </rPr>
      <t xml:space="preserve">(1) Gov_Map GM629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C204:F204</t>
    </r>
    <r>
      <rPr>
        <sz val="10"/>
        <color rgb="FF000000"/>
        <rFont val="Noto Sans CJK SC"/>
        <family val="2"/>
      </rPr>
      <t xml:space="preserve">）加註『</t>
    </r>
    <r>
      <rPr>
        <sz val="10"/>
        <color rgb="FF000000"/>
        <rFont val="Arial"/>
        <family val="0"/>
        <charset val="1"/>
      </rPr>
      <t xml:space="preserve">v14.0 </t>
    </r>
    <r>
      <rPr>
        <sz val="10"/>
        <color rgb="FF000000"/>
        <rFont val="Noto Sans CJK SC"/>
        <family val="2"/>
      </rPr>
      <t xml:space="preserve">已清空』，原文保留。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用途標記三筆更正：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（實際無公式讀取）、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Price_Frontier 27</t>
    </r>
    <r>
      <rPr>
        <sz val="10"/>
        <color rgb="FF000000"/>
        <rFont val="Noto Sans CJK SC"/>
        <family val="2"/>
      </rPr>
      <t xml:space="preserve">（下游實為第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列）；原標記文字保留於各列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／該頁用途欄的更正句。</t>
    </r>
    <r>
      <rPr>
        <sz val="10"/>
        <color rgb="FF000000"/>
        <rFont val="Arial"/>
        <family val="0"/>
        <charset val="1"/>
      </rPr>
      <t xml:space="preserve">(3)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欄『錨點』舊文字與現值不符，改為『以本列 </t>
    </r>
    <r>
      <rPr>
        <sz val="10"/>
        <color rgb="FF000000"/>
        <rFont val="Arial"/>
        <family val="0"/>
        <charset val="1"/>
      </rPr>
      <t xml:space="preserve">C–F </t>
    </r>
    <r>
      <rPr>
        <sz val="10"/>
        <color rgb="FF000000"/>
        <rFont val="Noto Sans CJK SC"/>
        <family val="2"/>
      </rPr>
      <t xml:space="preserve">欄現值為準』；原文：</t>
    </r>
    <r>
      <rPr>
        <sz val="10"/>
        <color rgb="FF000000"/>
        <rFont val="Arial"/>
        <family val="0"/>
        <charset val="1"/>
      </rPr>
      <t xml:space="preserve">Cap_In!H206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2025 0.564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0.295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0.348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Cap_In!H207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2025 4.261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5.744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5.569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Cap_In!H208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2025 1.826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Q1 3.556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8.044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B1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Cap_In!H209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2025 1.743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Q1 1.192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1.343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1.432</t>
    </r>
    <r>
      <rPr>
        <sz val="10"/>
        <color rgb="FF000000"/>
        <rFont val="Noto Sans CJK SC"/>
        <family val="2"/>
      </rPr>
      <t xml:space="preserve">（分子扣廣告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Cap_In!H223</t>
    </r>
    <r>
      <rPr>
        <sz val="10"/>
        <color rgb="FF000000"/>
        <rFont val="Noto Sans CJK SC"/>
        <family val="2"/>
      </rPr>
      <t xml:space="preserve">：錨點：</t>
    </r>
    <r>
      <rPr>
        <sz val="10"/>
        <color rgb="FF000000"/>
        <rFont val="Arial"/>
        <family val="0"/>
        <charset val="1"/>
      </rPr>
      <t xml:space="preserve">2025 0.81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Q2 0.78</t>
    </r>
    <r>
      <rPr>
        <sz val="10"/>
        <color rgb="FF000000"/>
        <rFont val="Noto Sans CJK SC"/>
        <family val="2"/>
      </rPr>
      <t xml:space="preserve">。數值全部不變。</t>
    </r>
  </si>
  <si>
    <r>
      <rPr>
        <sz val="10"/>
        <color rgb="FF000000"/>
        <rFont val="Arial"/>
        <family val="0"/>
        <charset val="1"/>
      </rPr>
      <t xml:space="preserve">Gov_Map GM629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206–209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Training 122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Price_Frontier 27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</si>
  <si>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docs/workorders/20261017_v14.1</t>
    </r>
    <r>
      <rPr>
        <sz val="10"/>
        <color rgb="FF000000"/>
        <rFont val="Noto Sans CJK SC"/>
        <family val="2"/>
      </rPr>
      <t xml:space="preserve">修補</t>
    </r>
    <r>
      <rPr>
        <sz val="10"/>
        <color rgb="FF000000"/>
        <rFont val="Arial"/>
        <family val="0"/>
        <charset val="1"/>
      </rPr>
      <t xml:space="preserve">.md R6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</si>
  <si>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</si>
  <si>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</si>
  <si>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</si>
  <si>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</si>
  <si>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</si>
  <si>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</si>
  <si>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</si>
  <si>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</si>
  <si>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</si>
  <si>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</si>
  <si>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</si>
  <si>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</si>
  <si>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</si>
  <si>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</si>
  <si>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</si>
  <si>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</si>
  <si>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</si>
  <si>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</si>
  <si>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</si>
  <si>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</si>
  <si>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</si>
  <si>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</si>
  <si>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</si>
  <si>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</si>
  <si>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</si>
  <si>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</si>
  <si>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</si>
  <si>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</si>
  <si>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</si>
  <si>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</si>
  <si>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</si>
  <si>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</si>
  <si>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</si>
  <si>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</si>
  <si>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</si>
  <si>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</si>
  <si>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</si>
  <si>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</si>
  <si>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</si>
  <si>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</si>
  <si>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</si>
  <si>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</si>
  <si>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</si>
  <si>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</si>
  <si>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</si>
  <si>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</si>
  <si>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</si>
  <si>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</si>
  <si>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</si>
  <si>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</si>
  <si>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</si>
  <si>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</si>
  <si>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</si>
  <si>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</si>
  <si>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</si>
  <si>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</si>
  <si>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</si>
  <si>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</si>
  <si>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</si>
  <si>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</si>
  <si>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</si>
  <si>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</si>
  <si>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</si>
  <si>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</si>
  <si>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</si>
  <si>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</si>
  <si>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</si>
  <si>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</si>
  <si>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</si>
  <si>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</si>
  <si>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</si>
  <si>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</si>
  <si>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</si>
  <si>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</si>
  <si>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</si>
  <si>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</si>
  <si>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</si>
  <si>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</si>
  <si>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</si>
  <si>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</si>
  <si>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</si>
  <si>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</si>
  <si>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</si>
  <si>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</si>
  <si>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</si>
  <si>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</si>
  <si>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</si>
  <si>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</si>
  <si>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</si>
  <si>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</si>
  <si>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</si>
  <si>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</si>
  <si>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</si>
  <si>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</si>
  <si>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</si>
  <si>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</si>
  <si>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</si>
  <si>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</si>
  <si>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</si>
  <si>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</si>
  <si>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</si>
  <si>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</si>
  <si>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</si>
  <si>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</si>
  <si>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</si>
  <si>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</si>
  <si>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</si>
  <si>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</si>
  <si>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</si>
  <si>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</si>
  <si>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</si>
  <si>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</si>
  <si>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</si>
  <si>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</si>
  <si>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</si>
  <si>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</si>
  <si>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</si>
  <si>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</si>
  <si>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</si>
  <si>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</si>
  <si>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</si>
  <si>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</si>
  <si>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</si>
  <si>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</si>
  <si>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</si>
  <si>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</si>
  <si>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</si>
  <si>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</si>
  <si>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</si>
  <si>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</si>
  <si>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</si>
  <si>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</si>
  <si>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</si>
  <si>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</si>
  <si>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</si>
  <si>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</si>
  <si>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</si>
  <si>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</si>
  <si>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</si>
  <si>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</si>
  <si>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</si>
  <si>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</si>
  <si>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</si>
  <si>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</si>
  <si>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</si>
  <si>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</si>
  <si>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</si>
  <si>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</si>
  <si>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</si>
  <si>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</si>
  <si>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</si>
  <si>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</si>
  <si>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</si>
  <si>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</si>
  <si>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</si>
  <si>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</si>
  <si>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</si>
  <si>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</si>
  <si>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</si>
  <si>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</si>
  <si>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</si>
  <si>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</si>
  <si>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</si>
  <si>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</si>
  <si>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</si>
  <si>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</si>
  <si>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</si>
  <si>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</si>
  <si>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</si>
  <si>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</si>
  <si>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</si>
  <si>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</si>
  <si>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</si>
  <si>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</si>
  <si>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</si>
  <si>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</si>
  <si>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</si>
  <si>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</si>
  <si>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</si>
  <si>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</si>
  <si>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</si>
  <si>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</si>
  <si>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</si>
  <si>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</si>
  <si>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</si>
  <si>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</si>
  <si>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</si>
  <si>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</si>
  <si>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</si>
  <si>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</si>
  <si>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</si>
  <si>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</si>
  <si>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</si>
  <si>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</si>
  <si>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</si>
  <si>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</si>
  <si>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</si>
  <si>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</si>
  <si>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</si>
  <si>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</si>
  <si>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</si>
  <si>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</si>
  <si>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</si>
  <si>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</si>
  <si>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</si>
  <si>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</si>
  <si>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</si>
  <si>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</si>
  <si>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</si>
  <si>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</si>
  <si>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</si>
  <si>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</si>
  <si>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</si>
  <si>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</si>
  <si>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</si>
  <si>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</si>
  <si>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</si>
  <si>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</si>
  <si>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</si>
  <si>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</si>
  <si>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</si>
  <si>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</si>
  <si>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</si>
  <si>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</si>
  <si>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</si>
  <si>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</si>
  <si>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</si>
  <si>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</si>
  <si>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</si>
  <si>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</si>
  <si>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</si>
  <si>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</si>
  <si>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</si>
  <si>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</si>
  <si>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</si>
  <si>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</si>
  <si>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</si>
  <si>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</si>
  <si>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</si>
  <si>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</si>
  <si>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</si>
  <si>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</si>
  <si>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</si>
  <si>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</si>
  <si>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</si>
  <si>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</si>
  <si>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</si>
  <si>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</si>
  <si>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</si>
  <si>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</si>
  <si>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</si>
  <si>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</si>
  <si>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</si>
  <si>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</si>
  <si>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</si>
  <si>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</si>
  <si>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</si>
  <si>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</si>
  <si>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</si>
  <si>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</si>
  <si>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</si>
  <si>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</si>
  <si>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</si>
  <si>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</si>
  <si>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</si>
  <si>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</si>
  <si>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</si>
  <si>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</si>
  <si>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</si>
  <si>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</si>
  <si>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</si>
  <si>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</si>
  <si>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</si>
  <si>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</si>
  <si>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</si>
  <si>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</si>
  <si>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</si>
  <si>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</si>
  <si>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</si>
  <si>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</si>
  <si>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</si>
  <si>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</si>
  <si>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</si>
  <si>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</si>
  <si>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</si>
  <si>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</si>
  <si>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</si>
  <si>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</si>
  <si>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</si>
  <si>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</si>
  <si>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</si>
  <si>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</si>
  <si>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</si>
  <si>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</si>
  <si>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</si>
  <si>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</si>
  <si>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</si>
  <si>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</si>
  <si>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</si>
  <si>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</si>
  <si>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</si>
  <si>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</si>
  <si>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</si>
  <si>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</si>
  <si>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</si>
  <si>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</si>
  <si>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</si>
  <si>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</si>
  <si>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</si>
  <si>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</si>
  <si>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</si>
  <si>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</si>
  <si>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</si>
  <si>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</si>
  <si>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</si>
  <si>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</si>
  <si>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</si>
  <si>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</si>
  <si>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</si>
  <si>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</si>
  <si>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</si>
  <si>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</si>
  <si>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</si>
  <si>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</si>
  <si>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</si>
  <si>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</si>
  <si>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</si>
  <si>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</si>
  <si>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</si>
  <si>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</si>
  <si>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</si>
  <si>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</si>
  <si>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</si>
  <si>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</si>
  <si>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</si>
  <si>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</si>
  <si>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</si>
  <si>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</si>
  <si>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</si>
  <si>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</si>
  <si>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</si>
  <si>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</si>
  <si>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</si>
  <si>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</si>
  <si>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</si>
  <si>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</si>
  <si>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</si>
  <si>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</si>
  <si>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</si>
  <si>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</si>
  <si>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</si>
  <si>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</si>
  <si>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</si>
  <si>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</si>
  <si>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</si>
  <si>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</si>
  <si>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</si>
  <si>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</si>
  <si>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</si>
  <si>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</si>
  <si>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</si>
  <si>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</si>
  <si>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</si>
  <si>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</si>
  <si>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</si>
  <si>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</si>
  <si>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</si>
  <si>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</si>
  <si>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</si>
  <si>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</si>
  <si>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</si>
  <si>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</si>
  <si>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</si>
  <si>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</si>
  <si>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</si>
  <si>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</si>
  <si>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</si>
  <si>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</si>
  <si>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</si>
  <si>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</si>
  <si>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</si>
  <si>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</si>
  <si>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</si>
  <si>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</si>
  <si>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</si>
  <si>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</si>
  <si>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</si>
  <si>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</si>
  <si>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</si>
  <si>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</si>
  <si>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SRC_HW_067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</si>
  <si>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</t>
    </r>
  </si>
  <si>
    <t xml:space="preserve">Hopper H200</t>
  </si>
  <si>
    <r>
      <rPr>
        <sz val="10"/>
        <color rgb="FF000000"/>
        <rFont val="Arial"/>
        <family val="0"/>
        <charset val="1"/>
      </rPr>
      <t xml:space="preserve">https://www.nvidia.com/en-us/data-center/h200/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Quick Specs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WebFetch 2026-10-16 </t>
    </r>
    <r>
      <rPr>
        <sz val="10"/>
        <color rgb="FF000000"/>
        <rFont val="Noto Sans CJK SC"/>
        <family val="2"/>
      </rPr>
      <t xml:space="preserve">已讀）</t>
    </r>
  </si>
  <si>
    <t xml:space="preserve">E380</t>
  </si>
  <si>
    <t xml:space="preserve">SRC_HW_069</t>
  </si>
  <si>
    <t xml:space="preserve">U-V1100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</si>
  <si>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V22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</si>
  <si>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TensorRT-LLM H200 </t>
    </r>
    <r>
      <rPr>
        <sz val="10"/>
        <color rgb="FF000000"/>
        <rFont val="Noto Sans CJK SC"/>
        <family val="2"/>
      </rPr>
      <t xml:space="preserve">點的硬體規格；模型的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欄仍是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021</t>
    </r>
    <r>
      <rPr>
        <sz val="10"/>
        <color rgb="FF000000"/>
        <rFont val="Noto Sans CJK SC"/>
        <family val="2"/>
      </rPr>
      <t xml:space="preserve">）</t>
    </r>
  </si>
  <si>
    <t xml:space="preserve">SRC_HW_068</t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</si>
  <si>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</t>
    </r>
  </si>
  <si>
    <t xml:space="preserve">SRC_HW_070</t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</si>
  <si>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）：同上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</si>
  <si>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容量（第二來源：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</si>
  <si>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SXM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NVL </t>
    </r>
    <r>
      <rPr>
        <sz val="10"/>
        <color rgb="FF000000"/>
        <rFont val="Noto Sans CJK SC"/>
        <family val="2"/>
      </rPr>
      <t xml:space="preserve">兩款同值；產品指南更新日 </t>
    </r>
    <r>
      <rPr>
        <sz val="10"/>
        <color rgb="FF000000"/>
        <rFont val="Arial"/>
        <family val="0"/>
        <charset val="1"/>
      </rPr>
      <t xml:space="preserve">2025-11-07</t>
    </r>
  </si>
  <si>
    <r>
      <rPr>
        <sz val="10"/>
        <color rgb="FF000000"/>
        <rFont val="Arial"/>
        <family val="0"/>
        <charset val="1"/>
      </rPr>
      <t xml:space="preserve">Hopper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Lenovo </t>
    </r>
    <r>
      <rPr>
        <sz val="10"/>
        <color rgb="FF000000"/>
        <rFont val="Noto Sans CJK SC"/>
        <family val="2"/>
      </rPr>
      <t xml:space="preserve">產品指南）</t>
    </r>
  </si>
  <si>
    <r>
      <rPr>
        <sz val="10"/>
        <color rgb="FF000000"/>
        <rFont val="Arial"/>
        <family val="0"/>
        <charset val="1"/>
      </rPr>
      <t xml:space="preserve">https://lenovopress.lenovo.com/LP1944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</si>
  <si>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Lenovo</t>
    </r>
    <r>
      <rPr>
        <sz val="10"/>
        <color rgb="FF000000"/>
        <rFont val="Noto Sans CJK SC"/>
        <family val="2"/>
      </rPr>
      <t xml:space="preserve">：伺服器 </t>
    </r>
    <r>
      <rPr>
        <sz val="10"/>
        <color rgb="FF000000"/>
        <rFont val="Arial"/>
        <family val="0"/>
        <charset val="1"/>
      </rPr>
      <t xml:space="preserve">OEM</t>
    </r>
    <r>
      <rPr>
        <sz val="10"/>
        <color rgb="FF000000"/>
        <rFont val="Noto Sans CJK SC"/>
        <family val="2"/>
      </rPr>
      <t xml:space="preserve">，有銷售誘因，但與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為不同主體</t>
    </r>
  </si>
  <si>
    <t xml:space="preserve">一手（已讀摘要）</t>
  </si>
  <si>
    <t xml:space="preserve">E383</t>
  </si>
  <si>
    <t xml:space="preserve">U-V1310</t>
  </si>
  <si>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</si>
  <si>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SRC_HW_067 </t>
    </r>
    <r>
      <rPr>
        <sz val="10"/>
        <color rgb="FF000000"/>
        <rFont val="Noto Sans CJK SC"/>
        <family val="2"/>
      </rPr>
      <t xml:space="preserve">相同，不改值</t>
    </r>
  </si>
  <si>
    <r>
      <rPr>
        <sz val="10"/>
        <color rgb="FF000000"/>
        <rFont val="Arial"/>
        <family val="0"/>
        <charset val="1"/>
      </rPr>
      <t xml:space="preserve">H200 HBM </t>
    </r>
    <r>
      <rPr>
        <sz val="10"/>
        <color rgb="FF000000"/>
        <rFont val="Noto Sans CJK SC"/>
        <family val="2"/>
      </rPr>
      <t xml:space="preserve">頻寬（第二來源：</t>
    </r>
    <r>
      <rPr>
        <sz val="10"/>
        <color rgb="FF000000"/>
        <rFont val="Arial"/>
        <family val="0"/>
        <charset val="1"/>
      </rPr>
      <t xml:space="preserve">Lenovo Press LP1944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</si>
  <si>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的第二來源（</t>
    </r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條件）；不直接連結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</si>
  <si>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E383</t>
    </r>
    <r>
      <rPr>
        <sz val="10"/>
        <color rgb="FF000000"/>
        <rFont val="Noto Sans CJK SC"/>
        <family val="2"/>
      </rPr>
      <t xml:space="preserve">）：數值與 </t>
    </r>
    <r>
      <rPr>
        <sz val="10"/>
        <color rgb="FF000000"/>
        <rFont val="Arial"/>
        <family val="0"/>
        <charset val="1"/>
      </rPr>
      <t xml:space="preserve">SRC_HW_068 </t>
    </r>
    <r>
      <rPr>
        <sz val="10"/>
        <color rgb="FF000000"/>
        <rFont val="Noto Sans CJK SC"/>
        <family val="2"/>
      </rPr>
      <t xml:space="preserve">相同，不改值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</si>
  <si>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</si>
  <si>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</si>
  <si>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</si>
  <si>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</si>
  <si>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</si>
  <si>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</si>
  <si>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</si>
  <si>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</si>
  <si>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</si>
  <si>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</si>
  <si>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</si>
  <si>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</si>
  <si>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</si>
  <si>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</si>
  <si>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</si>
  <si>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</si>
  <si>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</si>
  <si>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</si>
  <si>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</si>
  <si>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</si>
  <si>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</si>
  <si>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</si>
  <si>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</si>
  <si>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</si>
  <si>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</si>
  <si>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</si>
  <si>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</si>
  <si>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</si>
  <si>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</si>
  <si>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</si>
  <si>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</si>
  <si>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</si>
  <si>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</si>
  <si>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</si>
  <si>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</si>
  <si>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</si>
  <si>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</si>
  <si>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</si>
  <si>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</si>
  <si>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</si>
  <si>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</si>
  <si>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</si>
  <si>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</si>
  <si>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</si>
  <si>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</si>
  <si>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</si>
  <si>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</si>
  <si>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</si>
  <si>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</si>
  <si>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</si>
  <si>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</si>
  <si>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</si>
  <si>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</si>
  <si>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</si>
  <si>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</si>
  <si>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</si>
  <si>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</si>
  <si>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</si>
  <si>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</si>
  <si>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</si>
  <si>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</si>
  <si>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</si>
  <si>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</si>
  <si>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</si>
  <si>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</si>
  <si>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</si>
  <si>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</si>
  <si>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</si>
  <si>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</si>
  <si>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</si>
  <si>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</si>
  <si>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</si>
  <si>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</si>
  <si>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</si>
  <si>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</si>
  <si>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</si>
  <si>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</si>
  <si>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</si>
  <si>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</si>
  <si>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</si>
  <si>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</si>
  <si>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</si>
  <si>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</si>
  <si>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</si>
  <si>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</si>
  <si>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</si>
  <si>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</si>
  <si>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</si>
  <si>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</si>
  <si>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</si>
  <si>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</si>
  <si>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</si>
  <si>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</si>
  <si>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</si>
  <si>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</si>
  <si>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</si>
  <si>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</si>
  <si>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</si>
  <si>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</si>
  <si>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</si>
  <si>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</si>
  <si>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</si>
  <si>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</si>
  <si>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</si>
  <si>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</si>
  <si>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</si>
  <si>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資料中心全機隊年均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全年）</t>
    </r>
  </si>
  <si>
    <t xml:space="preserve">全機隊年均（含非 AI 機房），營運商自報；2026 Q2 TTM 亦為 1.09</t>
  </si>
  <si>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資料中心（超大規模全機隊）</t>
    </r>
  </si>
  <si>
    <r>
      <rPr>
        <sz val="10"/>
        <color rgb="FF000000"/>
        <rFont val="Arial"/>
        <family val="0"/>
        <charset val="1"/>
      </rPr>
      <t xml:space="preserve">https://datacenters.google/efficiency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 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</si>
  <si>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：營運商自報效率，有展示效率的誘因；全機隊≠液冷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</t>
    </r>
  </si>
  <si>
    <t xml:space="preserve">E381</t>
  </si>
  <si>
    <t xml:space="preserve">SRC_DC_019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</si>
  <si>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）的可比對象，</t>
    </r>
    <r>
      <rPr>
        <sz val="10"/>
        <color rgb="FF000000"/>
        <rFont val="Arial"/>
        <family val="0"/>
        <charset val="1"/>
      </rPr>
      <t xml:space="preserve">Gov_Map GM004–006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</si>
  <si>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（全機隊→液冷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設施）；第二來源 </t>
    </r>
    <r>
      <rPr>
        <sz val="10"/>
        <color rgb="FF000000"/>
        <rFont val="Arial"/>
        <family val="0"/>
        <charset val="1"/>
      </rPr>
      <t xml:space="preserve">SRC_DC_019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數值不改（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</si>
  <si>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Uptime Institute </t>
    </r>
    <r>
      <rPr>
        <sz val="10"/>
        <color rgb="FF000000"/>
        <rFont val="Noto Sans CJK SC"/>
        <family val="2"/>
      </rPr>
      <t xml:space="preserve">全球資料中心平均 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年度調查）</t>
    </r>
  </si>
  <si>
    <t xml:space="preserve">年度調查，營運商自填；超大規模 1.10–1.15、colo／企業 1.58–1.80（mgrid 轉述，原文標『待原文確認』）</t>
  </si>
  <si>
    <t xml:space="preserve">全球資料中心（調查樣本）</t>
  </si>
  <si>
    <r>
      <rPr>
        <sz val="10"/>
        <color rgb="FF000000"/>
        <rFont val="Arial"/>
        <family val="0"/>
        <charset val="1"/>
      </rPr>
      <t xml:space="preserve">https://mgrid.org/2025/10/01/uptime-institute-data-center-pue-stagnation-2025-liquid-cooling/</t>
    </r>
    <r>
      <rPr>
        <sz val="10"/>
        <color rgb="FF000000"/>
        <rFont val="Noto Sans CJK SC"/>
        <family val="2"/>
      </rPr>
      <t xml:space="preserve">（二手轉述）；原報告 </t>
    </r>
    <r>
      <rPr>
        <sz val="10"/>
        <color rgb="FF000000"/>
        <rFont val="Arial"/>
        <family val="0"/>
        <charset val="1"/>
      </rPr>
      <t xml:space="preserve">https://intelligence.uptimeinstitute.com/resource/uptime-institute-global-data-center-survey-2025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未讀）</t>
    </r>
  </si>
  <si>
    <r>
      <rPr>
        <sz val="10"/>
        <color rgb="FF000000"/>
        <rFont val="Arial"/>
        <family val="0"/>
        <charset val="1"/>
      </rPr>
      <t xml:space="preserve">Uptime Institute</t>
    </r>
    <r>
      <rPr>
        <sz val="10"/>
        <color rgb="FF000000"/>
        <rFont val="Noto Sans CJK SC"/>
        <family val="2"/>
      </rPr>
      <t xml:space="preserve">：中立調查機構；本筆只讀二手轉述</t>
    </r>
  </si>
  <si>
    <t xml:space="preserve">二手（已讀轉述；原 PDF 未讀）</t>
  </si>
  <si>
    <r>
      <rPr>
        <sz val="10"/>
        <color rgb="FF000000"/>
        <rFont val="Arial"/>
        <family val="0"/>
        <charset val="1"/>
      </rPr>
      <t xml:space="preserve">Inputs D9:F9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）的可比對象（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</si>
  <si>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E381</t>
    </r>
    <r>
      <rPr>
        <sz val="10"/>
        <color rgb="FF000000"/>
        <rFont val="Noto Sans CJK SC"/>
        <family val="2"/>
      </rPr>
      <t xml:space="preserve">）：原 </t>
    </r>
    <r>
      <rPr>
        <sz val="10"/>
        <color rgb="FF000000"/>
        <rFont val="Arial"/>
        <family val="0"/>
        <charset val="1"/>
      </rPr>
      <t xml:space="preserve">PDF </t>
    </r>
    <r>
      <rPr>
        <sz val="10"/>
        <color rgb="FF000000"/>
        <rFont val="Noto Sans CJK SC"/>
        <family val="2"/>
      </rPr>
      <t xml:space="preserve">未讀，超大規模與 </t>
    </r>
    <r>
      <rPr>
        <sz val="10"/>
        <color rgb="FF000000"/>
        <rFont val="Arial"/>
        <family val="0"/>
        <charset val="1"/>
      </rPr>
      <t xml:space="preserve">colo </t>
    </r>
    <r>
      <rPr>
        <sz val="10"/>
        <color rgb="FF000000"/>
        <rFont val="Noto Sans CJK SC"/>
        <family val="2"/>
      </rPr>
      <t xml:space="preserve">的範圍待原文確認；與 </t>
    </r>
    <r>
      <rPr>
        <sz val="10"/>
        <color rgb="FF000000"/>
        <rFont val="Arial"/>
        <family val="0"/>
        <charset val="1"/>
      </rPr>
      <t xml:space="preserve">SRC_DC_018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</si>
  <si>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</si>
  <si>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</si>
  <si>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</si>
  <si>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</si>
  <si>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</si>
  <si>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</si>
  <si>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</si>
  <si>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</si>
  <si>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</si>
  <si>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</si>
  <si>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</si>
  <si>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</si>
  <si>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</si>
  <si>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</si>
  <si>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</si>
  <si>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</si>
  <si>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</si>
  <si>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</si>
  <si>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</si>
  <si>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</si>
  <si>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</si>
  <si>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</si>
  <si>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</si>
  <si>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</si>
  <si>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</si>
  <si>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</si>
  <si>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</si>
  <si>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</si>
  <si>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</si>
  <si>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</si>
  <si>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</si>
  <si>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</si>
  <si>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</si>
  <si>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</si>
  <si>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</si>
  <si>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</si>
  <si>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</si>
  <si>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</si>
  <si>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</si>
  <si>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</si>
  <si>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</si>
  <si>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</si>
  <si>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</si>
  <si>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</si>
  <si>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</si>
  <si>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</si>
  <si>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</si>
  <si>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</si>
  <si>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</si>
  <si>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</si>
  <si>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</si>
  <si>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</si>
  <si>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</si>
  <si>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</si>
  <si>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</si>
  <si>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</si>
  <si>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</si>
  <si>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</si>
  <si>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</si>
  <si>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</si>
  <si>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</si>
  <si>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</si>
  <si>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</si>
  <si>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</si>
  <si>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</si>
  <si>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</si>
  <si>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</si>
  <si>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</si>
  <si>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</si>
  <si>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</si>
  <si>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</si>
  <si>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</si>
  <si>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</si>
  <si>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</si>
  <si>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</si>
  <si>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</si>
  <si>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</si>
  <si>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</si>
  <si>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</si>
  <si>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</si>
  <si>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</si>
  <si>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</si>
  <si>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</si>
  <si>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</si>
  <si>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</si>
  <si>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</si>
  <si>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</si>
  <si>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</si>
  <si>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</si>
  <si>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</si>
  <si>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</si>
  <si>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</si>
  <si>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</si>
  <si>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</si>
  <si>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</si>
  <si>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</si>
  <si>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</si>
  <si>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</si>
  <si>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</si>
  <si>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</si>
  <si>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</si>
  <si>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</si>
  <si>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</si>
  <si>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</si>
  <si>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</si>
  <si>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</si>
  <si>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</si>
  <si>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</si>
  <si>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</si>
  <si>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</si>
  <si>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</si>
  <si>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</si>
  <si>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</si>
  <si>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</si>
  <si>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</si>
  <si>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</si>
  <si>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</si>
  <si>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</si>
  <si>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</si>
  <si>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</si>
  <si>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</si>
  <si>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</si>
  <si>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</si>
  <si>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</si>
  <si>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</si>
  <si>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</si>
  <si>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</si>
  <si>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</si>
  <si>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</si>
  <si>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</si>
  <si>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</si>
  <si>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</si>
  <si>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</si>
  <si>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</si>
  <si>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</si>
  <si>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</si>
  <si>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</si>
  <si>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</si>
  <si>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</si>
  <si>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</si>
  <si>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</si>
  <si>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</si>
  <si>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</si>
  <si>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</si>
  <si>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</si>
  <si>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</si>
  <si>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</si>
  <si>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</si>
  <si>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</si>
  <si>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</si>
  <si>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</si>
  <si>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</si>
  <si>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</si>
  <si>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</si>
  <si>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</si>
  <si>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</si>
  <si>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</si>
  <si>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</si>
  <si>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</si>
  <si>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</si>
  <si>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</si>
  <si>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</si>
  <si>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</si>
  <si>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</si>
  <si>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</si>
  <si>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</si>
  <si>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</si>
  <si>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</si>
  <si>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</si>
  <si>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</si>
  <si>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</si>
  <si>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</si>
  <si>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</si>
  <si>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</si>
  <si>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</si>
  <si>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</si>
  <si>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</si>
  <si>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</si>
  <si>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</si>
  <si>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</si>
  <si>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</si>
  <si>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</si>
  <si>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</si>
  <si>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</si>
  <si>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</si>
  <si>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</si>
  <si>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</si>
  <si>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</si>
  <si>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</si>
  <si>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</si>
  <si>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</si>
  <si>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</si>
  <si>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</si>
  <si>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</si>
  <si>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</si>
  <si>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</si>
  <si>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</si>
  <si>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</si>
  <si>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</si>
  <si>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</si>
  <si>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</si>
  <si>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</si>
  <si>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</si>
  <si>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</si>
  <si>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</si>
  <si>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</si>
  <si>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</si>
  <si>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</si>
  <si>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</si>
  <si>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</si>
  <si>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</si>
  <si>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</si>
  <si>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</si>
  <si>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</si>
  <si>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</si>
  <si>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</si>
  <si>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</si>
  <si>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</si>
  <si>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</si>
  <si>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</si>
  <si>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</si>
  <si>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</si>
  <si>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</si>
  <si>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</si>
  <si>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</si>
  <si>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</si>
  <si>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</si>
  <si>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</si>
  <si>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</si>
  <si>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</si>
  <si>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</si>
  <si>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</si>
  <si>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</si>
  <si>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</si>
  <si>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</si>
  <si>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</si>
  <si>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</si>
  <si>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</si>
  <si>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</si>
  <si>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</si>
  <si>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</si>
  <si>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</si>
  <si>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</si>
  <si>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</si>
  <si>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</si>
  <si>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</si>
  <si>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</si>
  <si>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</si>
  <si>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</si>
  <si>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</si>
  <si>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</si>
  <si>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</si>
  <si>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</si>
  <si>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</si>
  <si>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</si>
  <si>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</si>
  <si>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</si>
  <si>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</si>
  <si>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</si>
  <si>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</si>
  <si>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</si>
  <si>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</si>
  <si>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</si>
  <si>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</si>
  <si>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</si>
  <si>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</si>
  <si>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</si>
  <si>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</si>
  <si>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</si>
  <si>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</si>
  <si>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</si>
  <si>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</si>
  <si>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</si>
  <si>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</si>
  <si>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</si>
  <si>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</si>
  <si>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</si>
  <si>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</si>
  <si>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</si>
  <si>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</si>
  <si>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</si>
  <si>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</si>
  <si>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</si>
  <si>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</si>
  <si>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</si>
  <si>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</si>
  <si>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</si>
  <si>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</si>
  <si>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</si>
  <si>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</si>
  <si>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</si>
  <si>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</si>
  <si>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</si>
  <si>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</si>
  <si>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</si>
  <si>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</si>
  <si>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</si>
  <si>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</si>
  <si>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</si>
  <si>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</si>
  <si>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</si>
  <si>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</si>
  <si>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</si>
  <si>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</si>
  <si>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</si>
  <si>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</si>
  <si>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</si>
  <si>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</si>
  <si>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</si>
  <si>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</si>
  <si>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</si>
  <si>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</si>
  <si>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</si>
  <si>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</si>
  <si>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</si>
  <si>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</si>
  <si>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</si>
  <si>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</si>
  <si>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</si>
  <si>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</si>
  <si>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</si>
  <si>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</si>
  <si>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</si>
  <si>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</si>
  <si>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</si>
  <si>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</si>
  <si>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</si>
  <si>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</si>
  <si>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</si>
  <si>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</si>
  <si>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</si>
  <si>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</si>
  <si>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</si>
  <si>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</si>
  <si>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</si>
  <si>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</si>
  <si>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</si>
  <si>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</si>
  <si>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</si>
  <si>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</si>
  <si>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</si>
  <si>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</si>
  <si>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</si>
  <si>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</si>
  <si>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</si>
  <si>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</si>
  <si>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</si>
  <si>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</si>
  <si>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</si>
  <si>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</si>
  <si>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</si>
  <si>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</si>
  <si>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</si>
  <si>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</si>
  <si>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</si>
  <si>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</si>
  <si>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</si>
  <si>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</si>
  <si>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</si>
  <si>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</si>
  <si>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</si>
  <si>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</si>
  <si>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</si>
  <si>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</si>
  <si>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</si>
  <si>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</si>
  <si>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</si>
  <si>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</si>
  <si>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</si>
  <si>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</si>
  <si>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</si>
  <si>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</si>
  <si>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</si>
  <si>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</si>
  <si>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</si>
  <si>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</si>
  <si>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</si>
  <si>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</si>
  <si>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</si>
  <si>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</si>
  <si>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</si>
  <si>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</si>
  <si>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</si>
  <si>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</si>
  <si>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</si>
  <si>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</si>
  <si>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</si>
  <si>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</si>
  <si>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</si>
  <si>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</si>
  <si>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</si>
  <si>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</si>
  <si>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</si>
  <si>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</si>
  <si>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</si>
  <si>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</si>
  <si>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</si>
  <si>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</si>
  <si>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</si>
  <si>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</si>
  <si>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</si>
  <si>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</si>
  <si>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</si>
  <si>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</si>
  <si>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</si>
  <si>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</si>
  <si>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</si>
  <si>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</si>
  <si>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</si>
  <si>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</si>
  <si>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</si>
  <si>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</si>
  <si>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</si>
  <si>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</si>
  <si>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</si>
  <si>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</si>
  <si>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</si>
  <si>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</si>
  <si>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</si>
  <si>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</si>
  <si>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</si>
  <si>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</si>
  <si>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</si>
  <si>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</si>
  <si>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</si>
  <si>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</si>
  <si>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</si>
  <si>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</si>
  <si>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</si>
  <si>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</si>
  <si>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</si>
  <si>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</si>
  <si>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</si>
  <si>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</si>
  <si>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</si>
  <si>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</si>
  <si>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</si>
  <si>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</si>
  <si>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</si>
  <si>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</si>
  <si>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</si>
  <si>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</si>
  <si>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</si>
  <si>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</si>
  <si>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</si>
  <si>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</si>
  <si>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</si>
  <si>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</si>
  <si>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</si>
  <si>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</si>
  <si>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</si>
  <si>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</si>
  <si>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</si>
  <si>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</si>
  <si>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</si>
  <si>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</si>
  <si>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</si>
  <si>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</si>
  <si>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</si>
  <si>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</si>
  <si>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</si>
  <si>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</si>
  <si>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</si>
  <si>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</si>
  <si>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</si>
  <si>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</si>
  <si>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</si>
  <si>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</si>
  <si>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</si>
  <si>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</si>
  <si>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</si>
  <si>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</si>
  <si>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</si>
  <si>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</si>
  <si>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</si>
  <si>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</si>
  <si>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</si>
  <si>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</si>
  <si>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</si>
  <si>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</si>
  <si>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</si>
  <si>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</si>
  <si>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</si>
  <si>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</si>
  <si>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</si>
  <si>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</si>
  <si>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</si>
  <si>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</si>
  <si>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</si>
  <si>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</si>
  <si>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</si>
  <si>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</si>
  <si>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</si>
  <si>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</si>
  <si>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</si>
  <si>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</si>
  <si>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</si>
  <si>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</si>
  <si>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</si>
  <si>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</si>
  <si>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</si>
  <si>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</si>
  <si>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</si>
  <si>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</si>
  <si>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</si>
  <si>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</si>
  <si>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</si>
  <si>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</si>
  <si>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</si>
  <si>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</si>
  <si>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</si>
  <si>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</si>
  <si>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</si>
  <si>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</si>
  <si>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</si>
  <si>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</si>
  <si>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</si>
  <si>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</si>
  <si>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</si>
  <si>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</si>
  <si>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</si>
  <si>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</si>
  <si>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</si>
  <si>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</si>
  <si>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</si>
  <si>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</si>
  <si>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</si>
  <si>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</si>
  <si>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</si>
  <si>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</si>
  <si>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</si>
  <si>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</si>
  <si>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</si>
  <si>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</si>
  <si>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</si>
  <si>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</si>
  <si>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</si>
  <si>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</si>
  <si>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</si>
  <si>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</si>
  <si>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</si>
  <si>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</si>
  <si>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</si>
  <si>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</si>
  <si>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</si>
  <si>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</si>
  <si>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</si>
  <si>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</si>
  <si>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</si>
  <si>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</si>
  <si>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</si>
  <si>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</si>
  <si>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</si>
  <si>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</si>
  <si>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</si>
  <si>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</si>
  <si>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</si>
  <si>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</si>
  <si>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</si>
  <si>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</si>
  <si>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</si>
  <si>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</si>
  <si>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</si>
  <si>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</si>
  <si>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</si>
  <si>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</si>
  <si>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</si>
  <si>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</si>
  <si>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</si>
  <si>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</si>
  <si>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</si>
  <si>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</si>
  <si>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</si>
  <si>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</si>
  <si>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</si>
  <si>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</si>
  <si>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</si>
  <si>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</si>
  <si>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</si>
  <si>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</si>
  <si>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，上限偏寬【狀態：待回查（</t>
    </r>
    <r>
      <rPr>
        <sz val="10"/>
        <color rgb="FF000000"/>
        <rFont val="Arial"/>
        <family val="0"/>
        <charset val="1"/>
      </rPr>
      <t xml:space="preserve">MLCommons v5.1 </t>
    </r>
    <r>
      <rPr>
        <sz val="10"/>
        <color rgb="FF000000"/>
        <rFont val="Noto Sans CJK SC"/>
        <family val="2"/>
      </rPr>
      <t xml:space="preserve">原始資料找不到 </t>
    </r>
    <r>
      <rPr>
        <sz val="10"/>
        <color rgb="FF000000"/>
        <rFont val="Arial"/>
        <family val="0"/>
        <charset val="1"/>
      </rPr>
      <t xml:space="preserve">H200 Server 556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2026-10-17</t>
    </r>
    <r>
      <rPr>
        <sz val="10"/>
        <color rgb="FF000000"/>
        <rFont val="Noto Sans CJK SC"/>
        <family val="2"/>
      </rPr>
      <t xml:space="preserve">）】原始資料 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17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HPE Open </t>
    </r>
    <r>
      <rPr>
        <sz val="10"/>
        <color rgb="FF000000"/>
        <rFont val="Noto Sans CJK SC"/>
        <family val="2"/>
      </rPr>
      <t xml:space="preserve">組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一列（每 </t>
    </r>
    <r>
      <rPr>
        <sz val="10"/>
        <color rgb="FF000000"/>
        <rFont val="Arial"/>
        <family val="0"/>
        <charset val="1"/>
      </rPr>
      <t xml:space="preserve">GPU 1,113.1</t>
    </r>
    <r>
      <rPr>
        <sz val="10"/>
        <color rgb="FF000000"/>
        <rFont val="Noto Sans CJK SC"/>
        <family val="2"/>
      </rPr>
      <t xml:space="preserve">）；本欄值轉引 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查證，未回原文；見 </t>
    </r>
    <r>
      <rPr>
        <sz val="10"/>
        <color rgb="FF000000"/>
        <rFont val="Arial"/>
        <family val="0"/>
        <charset val="1"/>
      </rPr>
      <t xml:space="preserve">E384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D15-11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</si>
  <si>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</si>
  <si>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</si>
  <si>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</si>
  <si>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</si>
  <si>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</si>
  <si>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</si>
  <si>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</si>
  <si>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</si>
  <si>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</si>
  <si>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</si>
  <si>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</si>
  <si>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</si>
  <si>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</si>
  <si>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</si>
  <si>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</si>
  <si>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</si>
  <si>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</si>
  <si>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</si>
  <si>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</si>
  <si>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</si>
  <si>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</si>
  <si>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</si>
  <si>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</si>
  <si>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</si>
  <si>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</si>
  <si>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</si>
  <si>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</si>
  <si>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</si>
  <si>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</si>
  <si>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</si>
  <si>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</si>
  <si>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</si>
  <si>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</si>
  <si>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</si>
  <si>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</si>
  <si>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</si>
  <si>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輸出速度（AA 中位）：GPT-6 Luna</t>
  </si>
  <si>
    <t xml:space="preserve">每用戶輸出速度（首 chunk 之後）；Artificial Analysis（第三方量測商；以 API 探測請求量測，OpenAI 端點，72 小時中位數，10K 輸入探測）</t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</si>
  <si>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</si>
  <si>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</si>
  <si>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</si>
  <si>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t xml:space="preserve">一手（WebFetch 摘要）</t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</si>
  <si>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</si>
  <si>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</si>
  <si>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</si>
  <si>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</si>
  <si>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</si>
  <si>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輸出速度（OpenRouter P50）：GPT-6 Luna</t>
  </si>
  <si>
    <t xml:space="preserve">每用戶輸出速度；OpenRouter（路由商；OpenAI 端點，實際流量 P50）</t>
  </si>
  <si>
    <t xml:space="preserve">https://openrouter.ai/models/openai/gpt-6-luna</t>
  </si>
  <si>
    <t xml:space="preserve">第三方量測，實際流量；延遲 2.59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</si>
  <si>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</si>
  <si>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t xml:space="preserve">輸出速度（AA 中位）：GPT-6.1 Sol (medium)</t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</si>
  <si>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</si>
  <si>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</si>
  <si>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</si>
  <si>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</si>
  <si>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</si>
  <si>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</si>
  <si>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t xml:space="preserve">輸出速度（OpenRouter P50）：GPT-6.1 Sol</t>
  </si>
  <si>
    <t xml:space="preserve">GPT-6.1 Sol</t>
  </si>
  <si>
    <t xml:space="preserve">https://openrouter.ai/models/openai/gpt-6.1-sol</t>
  </si>
  <si>
    <t xml:space="preserve">第三方量測，實際流量；延遲 3.36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</si>
  <si>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</si>
  <si>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t xml:space="preserve">輸出速度（AA 中位）：GPT-6 Astra (high)</t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</si>
  <si>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</si>
  <si>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</si>
  <si>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</si>
  <si>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</si>
  <si>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</si>
  <si>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輸出速度（OpenRouter P50）：GPT-6 Astra</t>
  </si>
  <si>
    <t xml:space="preserve">https://openrouter.ai/models/openai/gpt-6-astra</t>
  </si>
  <si>
    <t xml:space="preserve">第三方量測，實際流量；延遲 4.16 s</t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</si>
  <si>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</si>
  <si>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</si>
  <si>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</si>
  <si>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</si>
  <si>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t xml:space="preserve">官方 profile 配置；每 GPU 批次 128；提示長度 4K；兩個 micro-batch 重疊；TPOT 約 55 ms</t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</si>
  <si>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</si>
  <si>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</si>
  <si>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</si>
  <si>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</si>
  <si>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</si>
  <si>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</si>
  <si>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</si>
  <si>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</si>
  <si>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</si>
  <si>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</si>
  <si>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</si>
  <si>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</si>
  <si>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</si>
  <si>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</si>
  <si>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</si>
  <si>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</si>
  <si>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</si>
  <si>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</si>
  <si>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</si>
  <si>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</si>
  <si>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</si>
  <si>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</si>
  <si>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</si>
  <si>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</si>
  <si>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</si>
  <si>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</si>
  <si>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</si>
  <si>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</si>
  <si>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</si>
  <si>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</si>
  <si>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 JSON 已讀）</t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</si>
  <si>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</si>
  <si>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</si>
  <si>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</si>
  <si>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</si>
  <si>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</si>
  <si>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</si>
  <si>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</si>
  <si>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</si>
  <si>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</si>
  <si>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</si>
  <si>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</si>
  <si>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</si>
  <si>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</si>
  <si>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</si>
  <si>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</si>
  <si>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</si>
  <si>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</si>
  <si>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</si>
  <si>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</si>
  <si>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</si>
  <si>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</si>
  <si>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</si>
  <si>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t xml:space="preserve">SRC_PERF_079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</si>
  <si>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</si>
  <si>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486,141 ÷ 72</t>
    </r>
    <r>
      <rPr>
        <sz val="10"/>
        <color rgb="FF000000"/>
        <rFont val="Noto Sans CJK SC"/>
        <family val="2"/>
      </rPr>
      <t xml:space="preserve">；無延遲限制；批次只受記憶體限制；輸入 </t>
    </r>
    <r>
      <rPr>
        <sz val="10"/>
        <color rgb="FF000000"/>
        <rFont val="Arial"/>
        <family val="0"/>
        <charset val="1"/>
      </rPr>
      <t xml:space="preserve">800</t>
    </r>
    <r>
      <rPr>
        <sz val="10"/>
        <color rgb="FF000000"/>
        <rFont val="Noto Sans CJK SC"/>
        <family val="2"/>
      </rPr>
      <t xml:space="preserve">／輸出 </t>
    </r>
    <r>
      <rPr>
        <sz val="10"/>
        <color rgb="FF000000"/>
        <rFont val="Arial"/>
        <family val="0"/>
        <charset val="1"/>
      </rPr>
      <t xml:space="preserve">3,880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</si>
  <si>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CoreWeave 64 GPU 7,323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 72 GPU 4,276</t>
    </r>
    <r>
      <rPr>
        <sz val="10"/>
        <color rgb="FF000000"/>
        <rFont val="Noto Sans CJK SC"/>
        <family val="2"/>
      </rPr>
      <t xml:space="preserve">（依軟體調校差很多）</t>
    </r>
  </si>
  <si>
    <t xml:space="preserve">一手（原始資料檔已讀：docs/evidence/20261016_服務條件/mlperf_v6.0_deepseek-r1.csv）</t>
  </si>
  <si>
    <t xml:space="preserve">SRC_PERF_082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</si>
  <si>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V20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</si>
  <si>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的驗證點（不用於校準）；第二來源 </t>
    </r>
    <r>
      <rPr>
        <sz val="10"/>
        <color rgb="FF000000"/>
        <rFont val="Arial"/>
        <family val="0"/>
        <charset val="1"/>
      </rPr>
      <t xml:space="preserve">SRC_PERF_082</t>
    </r>
  </si>
  <si>
    <t xml:space="preserve">SRC_PERF_080</t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</si>
  <si>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</si>
  <si>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647,076 ÷ 72</t>
    </r>
    <r>
      <rPr>
        <sz val="10"/>
        <color rgb="FF000000"/>
        <rFont val="Noto Sans CJK SC"/>
        <family val="2"/>
      </rPr>
      <t xml:space="preserve">；無延遲限制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</si>
  <si>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9,360</t>
    </r>
  </si>
  <si>
    <t xml:space="preserve">SRC_PERF_083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</si>
  <si>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V21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</si>
  <si>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的驗證點；第二來源 </t>
    </r>
    <r>
      <rPr>
        <sz val="10"/>
        <color rgb="FF000000"/>
        <rFont val="Arial"/>
        <family val="0"/>
        <charset val="1"/>
      </rPr>
      <t xml:space="preserve">SRC_PERF_083</t>
    </r>
  </si>
  <si>
    <t xml:space="preserve">SRC_PERF_081</t>
  </si>
  <si>
    <r>
      <rPr>
        <sz val="10"/>
        <color rgb="FF000000"/>
        <rFont val="Arial"/>
        <family val="0"/>
        <charset val="1"/>
      </rPr>
      <t xml:space="preserve">TensorRT-LLM DeepSeek-R1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H200 8 GPU</t>
    </r>
    <r>
      <rPr>
        <sz val="10"/>
        <color rgb="FF000000"/>
        <rFont val="Noto Sans CJK SC"/>
        <family val="2"/>
      </rPr>
      <t xml:space="preserve">，並行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rank 128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</si>
  <si>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；同一批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做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</si>
  <si>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1K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2K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attention DP</t>
    </r>
    <r>
      <rPr>
        <sz val="10"/>
        <color rgb="FF000000"/>
        <rFont val="Noto Sans CJK SC"/>
        <family val="2"/>
      </rPr>
      <t xml:space="preserve">；並行 </t>
    </r>
    <r>
      <rPr>
        <sz val="10"/>
        <color rgb="FF000000"/>
        <rFont val="Arial"/>
        <family val="0"/>
        <charset val="1"/>
      </rPr>
      <t xml:space="preserve">1,024</t>
    </r>
    <r>
      <rPr>
        <sz val="10"/>
        <color rgb="FF000000"/>
        <rFont val="Noto Sans CJK SC"/>
        <family val="2"/>
      </rPr>
      <t xml:space="preserve">；每用戶 </t>
    </r>
    <r>
      <rPr>
        <sz val="10"/>
        <color rgb="FF000000"/>
        <rFont val="Arial"/>
        <family val="0"/>
        <charset val="1"/>
      </rPr>
      <t xml:space="preserve">11.35 tok/s</t>
    </r>
    <r>
      <rPr>
        <sz val="10"/>
        <color rgb="FF000000"/>
        <rFont val="Noto Sans CJK SC"/>
        <family val="2"/>
      </rPr>
      <t xml:space="preserve">；無尾端延遲限制；是否使用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文件未寫（模型取無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</si>
  <si>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H200 8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TensorRT-LLM</t>
    </r>
    <r>
      <rPr>
        <sz val="10"/>
        <color rgb="FF000000"/>
        <rFont val="Noto Sans CJK SC"/>
        <family val="2"/>
      </rPr>
      <t xml:space="preserve">）</t>
    </r>
  </si>
  <si>
    <t xml:space="preserve">https://nvidia.github.io/TensorRT-LLM/0.21.0rc1/blogs/Best_perf_practice_on_DeepSeek-R1_in_TensorRT-LLM.html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</si>
  <si>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為硬體與軟體供應商，有誘因展示高吞吐；單一來源（同文 </t>
    </r>
    <r>
      <rPr>
        <sz val="10"/>
        <color rgb="FF000000"/>
        <rFont val="Arial"/>
        <family val="0"/>
        <charset val="1"/>
      </rPr>
      <t xml:space="preserve">B200 </t>
    </r>
    <r>
      <rPr>
        <sz val="10"/>
        <color rgb="FF000000"/>
        <rFont val="Noto Sans CJK SC"/>
        <family val="2"/>
      </rPr>
      <t xml:space="preserve">為另一硬體）</t>
    </r>
  </si>
  <si>
    <t xml:space="preserve">一手（WebFetch 讀全文）</t>
  </si>
  <si>
    <r>
      <rPr>
        <sz val="10"/>
        <color rgb="FF000000"/>
        <rFont val="Arial"/>
        <family val="0"/>
        <charset val="1"/>
      </rPr>
      <t xml:space="preserve">Calib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V22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</si>
  <si>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大批次驗證點（不用於校準）；同條件 </t>
    </r>
    <r>
      <rPr>
        <sz val="10"/>
        <color rgb="FF000000"/>
        <rFont val="Arial"/>
        <family val="0"/>
        <charset val="1"/>
      </rPr>
      <t xml:space="preserve">MLPerf v5.1 server 556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2.6 </t>
    </r>
    <r>
      <rPr>
        <sz val="10"/>
        <color rgb="FF000000"/>
        <rFont val="Noto Sans CJK SC"/>
        <family val="2"/>
      </rPr>
      <t xml:space="preserve">倍；無第二來源（</t>
    </r>
    <r>
      <rPr>
        <sz val="10"/>
        <color rgb="FF000000"/>
        <rFont val="Arial"/>
        <family val="0"/>
        <charset val="1"/>
      </rPr>
      <t xml:space="preserve">W1 +1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</si>
  <si>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</si>
  <si>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468,665 ÷ 64</t>
    </r>
  </si>
  <si>
    <t xml:space="preserve">一手（原始資料檔已讀）</t>
  </si>
  <si>
    <r>
      <rPr>
        <sz val="10"/>
        <color rgb="FF000000"/>
        <rFont val="Arial"/>
        <family val="0"/>
        <charset val="1"/>
      </rPr>
      <t xml:space="preserve">Checks V20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</si>
  <si>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V20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</si>
  <si>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</si>
  <si>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673,936 ÷ 72</t>
    </r>
  </si>
  <si>
    <r>
      <rPr>
        <sz val="10"/>
        <color rgb="FF000000"/>
        <rFont val="Arial"/>
        <family val="0"/>
        <charset val="1"/>
      </rPr>
      <t xml:space="preserve">Checks V21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</si>
  <si>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v11.0 G3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E380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V21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</si>
  <si>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</si>
  <si>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</si>
  <si>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</si>
  <si>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</si>
  <si>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</si>
  <si>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</si>
  <si>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</si>
  <si>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</si>
  <si>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</si>
  <si>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</si>
  <si>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</si>
  <si>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</si>
  <si>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</si>
  <si>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</si>
  <si>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</si>
  <si>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</si>
  <si>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</si>
  <si>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</si>
  <si>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</si>
  <si>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</si>
  <si>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</si>
  <si>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</si>
  <si>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</si>
  <si>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</si>
  <si>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</si>
  <si>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</si>
  <si>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</si>
  <si>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</si>
  <si>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</si>
  <si>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</si>
  <si>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</si>
  <si>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</si>
  <si>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</si>
  <si>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</si>
  <si>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</si>
  <si>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</si>
  <si>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</si>
  <si>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</si>
  <si>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</si>
  <si>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</si>
  <si>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</si>
  <si>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</si>
  <si>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</si>
  <si>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</si>
  <si>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</si>
  <si>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</si>
  <si>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</si>
  <si>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</si>
  <si>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</si>
  <si>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</si>
  <si>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</si>
  <si>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</si>
  <si>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</si>
  <si>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</si>
  <si>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</si>
  <si>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</si>
  <si>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</si>
  <si>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</si>
  <si>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</si>
  <si>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</si>
  <si>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</si>
  <si>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</si>
  <si>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</si>
  <si>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</si>
  <si>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</si>
  <si>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</si>
  <si>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</si>
  <si>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</si>
  <si>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</si>
  <si>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</si>
  <si>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</si>
  <si>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</si>
  <si>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</si>
  <si>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</si>
  <si>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</si>
  <si>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</si>
  <si>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</si>
  <si>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</si>
  <si>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</si>
  <si>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</si>
  <si>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</si>
  <si>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</si>
  <si>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</si>
  <si>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</si>
  <si>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</si>
  <si>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</si>
  <si>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</si>
  <si>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</si>
  <si>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</si>
  <si>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</si>
  <si>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</si>
  <si>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</si>
  <si>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</si>
  <si>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</si>
  <si>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</si>
  <si>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</si>
  <si>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</si>
  <si>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</si>
  <si>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</si>
  <si>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</si>
  <si>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</si>
  <si>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</si>
  <si>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</si>
  <si>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</si>
  <si>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</si>
  <si>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</si>
  <si>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</si>
  <si>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</si>
  <si>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</si>
  <si>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</si>
  <si>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</si>
  <si>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</si>
  <si>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</si>
  <si>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</si>
  <si>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</si>
  <si>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</si>
  <si>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</si>
  <si>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</si>
  <si>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</si>
  <si>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</si>
  <si>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</si>
  <si>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</si>
  <si>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</si>
  <si>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</si>
  <si>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</si>
  <si>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</si>
  <si>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</si>
  <si>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</si>
  <si>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</si>
  <si>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</si>
  <si>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</si>
  <si>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</si>
  <si>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</si>
  <si>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</si>
  <si>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</si>
  <si>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</si>
  <si>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</si>
  <si>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</si>
  <si>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</si>
  <si>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</si>
  <si>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</si>
  <si>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</si>
  <si>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</si>
  <si>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</si>
  <si>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</si>
  <si>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</si>
  <si>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</si>
  <si>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</si>
  <si>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</si>
  <si>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</si>
  <si>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</si>
  <si>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</si>
  <si>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</si>
  <si>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</si>
  <si>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</si>
  <si>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</si>
  <si>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</si>
  <si>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</si>
  <si>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</si>
  <si>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</si>
  <si>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</si>
  <si>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</si>
  <si>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</si>
  <si>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</si>
  <si>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</si>
  <si>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</si>
  <si>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</si>
  <si>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</si>
  <si>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</si>
  <si>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</si>
  <si>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</si>
  <si>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</si>
  <si>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</si>
  <si>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</si>
  <si>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</si>
  <si>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</si>
  <si>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</si>
  <si>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</si>
  <si>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</si>
  <si>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</si>
  <si>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</si>
  <si>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OpenAI Batch API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</si>
  <si>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x</t>
    </r>
    <r>
      <rPr>
        <sz val="10"/>
        <color rgb="FF000000"/>
        <rFont val="Noto Sans CJK SC"/>
        <family val="2"/>
      </rPr>
      <t xml:space="preserve">（占標準價）</t>
    </r>
  </si>
  <si>
    <r>
      <rPr>
        <sz val="10"/>
        <color rgb="FF000000"/>
        <rFont val="Arial"/>
        <family val="0"/>
        <charset val="1"/>
      </rPr>
      <t xml:space="preserve">Batch API</t>
    </r>
    <r>
      <rPr>
        <sz val="10"/>
        <color rgb="FF000000"/>
        <rFont val="Noto Sans CJK SC"/>
        <family val="2"/>
      </rPr>
      <t xml:space="preserve">（非同步）；官方文件寫『</t>
    </r>
    <r>
      <rPr>
        <sz val="10"/>
        <color rgb="FF000000"/>
        <rFont val="Arial"/>
        <family val="0"/>
        <charset val="1"/>
      </rPr>
      <t xml:space="preserve">50% cost discount</t>
    </r>
    <r>
      <rPr>
        <sz val="10"/>
        <color rgb="FF000000"/>
        <rFont val="Noto Sans CJK SC"/>
        <family val="2"/>
      </rPr>
      <t xml:space="preserve">』</t>
    </r>
  </si>
  <si>
    <t xml:space="preserve">OpenAI API</t>
  </si>
  <si>
    <r>
      <rPr>
        <sz val="10"/>
        <color rgb="FF000000"/>
        <rFont val="Arial"/>
        <family val="0"/>
        <charset val="1"/>
      </rPr>
      <t xml:space="preserve">https://developers.openai.com/api/docs/guides/batch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</si>
  <si>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：賣方自訂價</t>
    </r>
  </si>
  <si>
    <t xml:space="preserve">E382</t>
  </si>
  <si>
    <t xml:space="preserve">SRC_PRC_046</t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</si>
  <si>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（有效折扣）的牌價事實，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442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欄；只確認 </t>
    </r>
    <r>
      <rPr>
        <sz val="10"/>
        <color rgb="FF000000"/>
        <rFont val="Arial"/>
        <family val="0"/>
        <charset val="1"/>
      </rPr>
      <t xml:space="preserve">Batch </t>
    </r>
    <r>
      <rPr>
        <sz val="10"/>
        <color rgb="FF000000"/>
        <rFont val="Noto Sans CJK SC"/>
        <family val="2"/>
      </rPr>
      <t xml:space="preserve">半價，不含占比與企業議價；不直接連結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</si>
  <si>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）：第二來源 </t>
    </r>
    <r>
      <rPr>
        <sz val="10"/>
        <color rgb="FF000000"/>
        <rFont val="Arial"/>
        <family val="0"/>
        <charset val="1"/>
      </rPr>
      <t xml:space="preserve">SRC_PRC_046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，不同主體）</t>
    </r>
  </si>
  <si>
    <r>
      <rPr>
        <sz val="10"/>
        <color rgb="FF000000"/>
        <rFont val="Arial"/>
        <family val="0"/>
        <charset val="1"/>
      </rPr>
      <t xml:space="preserve">Anthropic Message Batches </t>
    </r>
    <r>
      <rPr>
        <sz val="10"/>
        <color rgb="FF000000"/>
        <rFont val="Noto Sans CJK SC"/>
        <family val="2"/>
      </rPr>
      <t xml:space="preserve">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標準價</t>
    </r>
  </si>
  <si>
    <r>
      <rPr>
        <sz val="10"/>
        <color rgb="FF000000"/>
        <rFont val="Arial"/>
        <family val="0"/>
        <charset val="1"/>
      </rPr>
      <t xml:space="preserve">Message Batches</t>
    </r>
    <r>
      <rPr>
        <sz val="10"/>
        <color rgb="FF000000"/>
        <rFont val="Noto Sans CJK SC"/>
        <family val="2"/>
      </rPr>
      <t xml:space="preserve">；官方文件寫『</t>
    </r>
    <r>
      <rPr>
        <sz val="10"/>
        <color rgb="FF000000"/>
        <rFont val="Arial"/>
        <family val="0"/>
        <charset val="1"/>
      </rPr>
      <t xml:space="preserve">50% of the standard API prices</t>
    </r>
    <r>
      <rPr>
        <sz val="10"/>
        <color rgb="FF000000"/>
        <rFont val="Noto Sans CJK SC"/>
        <family val="2"/>
      </rPr>
      <t xml:space="preserve">』</t>
    </r>
  </si>
  <si>
    <t xml:space="preserve">Anthropic API</t>
  </si>
  <si>
    <r>
      <rPr>
        <sz val="10"/>
        <color rgb="FF000000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2026-10-17 </t>
    </r>
    <r>
      <rPr>
        <sz val="10"/>
        <color rgb="FF000000"/>
        <rFont val="Noto Sans CJK SC"/>
        <family val="2"/>
      </rPr>
      <t xml:space="preserve">已讀）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</si>
  <si>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：賣方自訂價</t>
    </r>
  </si>
  <si>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（有效折扣）的牌價事實（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的第二來源）；不直接連結</t>
    </r>
  </si>
  <si>
    <r>
      <rPr>
        <sz val="10"/>
        <color rgb="FF000000"/>
        <rFont val="Arial"/>
        <family val="0"/>
        <charset val="1"/>
      </rPr>
      <t xml:space="preserve">v13.1 D15 B </t>
    </r>
    <r>
      <rPr>
        <sz val="10"/>
        <color rgb="FF000000"/>
        <rFont val="Noto Sans CJK SC"/>
        <family val="2"/>
      </rPr>
      <t xml:space="preserve">段新增（</t>
    </r>
    <r>
      <rPr>
        <sz val="10"/>
        <color rgb="FF000000"/>
        <rFont val="Arial"/>
        <family val="0"/>
        <charset val="1"/>
      </rPr>
      <t xml:space="preserve">E382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SRC_PRC_045 </t>
    </r>
    <r>
      <rPr>
        <sz val="10"/>
        <color rgb="FF000000"/>
        <rFont val="Noto Sans CJK SC"/>
        <family val="2"/>
      </rPr>
      <t xml:space="preserve">互為第二來源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</si>
  <si>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</si>
  <si>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</si>
  <si>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</si>
  <si>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</si>
  <si>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</si>
  <si>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</si>
  <si>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</si>
  <si>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</si>
  <si>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</si>
  <si>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</si>
  <si>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</si>
  <si>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</si>
  <si>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</si>
  <si>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</si>
  <si>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</si>
  <si>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</si>
  <si>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</si>
  <si>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</si>
  <si>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</si>
  <si>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</si>
  <si>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</si>
  <si>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</si>
  <si>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</si>
  <si>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</si>
  <si>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</si>
  <si>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</si>
  <si>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</si>
  <si>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</si>
  <si>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</si>
  <si>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</si>
  <si>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</si>
  <si>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</si>
  <si>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</si>
  <si>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</si>
  <si>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</si>
  <si>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</si>
  <si>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</si>
  <si>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</si>
  <si>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</si>
  <si>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</si>
  <si>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</si>
  <si>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</si>
  <si>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</si>
  <si>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</si>
  <si>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</si>
  <si>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</si>
  <si>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</si>
  <si>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</si>
  <si>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</si>
  <si>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</si>
  <si>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</si>
  <si>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</si>
  <si>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</si>
  <si>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</si>
  <si>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</si>
  <si>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</si>
  <si>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</si>
  <si>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</si>
  <si>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</si>
  <si>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</si>
  <si>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</si>
  <si>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</si>
  <si>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</si>
  <si>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</si>
  <si>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</si>
  <si>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</si>
  <si>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</si>
  <si>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</si>
  <si>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</si>
  <si>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</si>
  <si>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</si>
  <si>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</si>
  <si>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</si>
  <si>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</si>
  <si>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</si>
  <si>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</si>
  <si>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</si>
  <si>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</si>
  <si>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</si>
  <si>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</si>
  <si>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</si>
  <si>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</si>
  <si>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</si>
  <si>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</si>
  <si>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</si>
  <si>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</si>
  <si>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</si>
  <si>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</si>
  <si>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</si>
  <si>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</si>
  <si>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</si>
  <si>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</si>
  <si>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</si>
  <si>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</si>
  <si>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</si>
  <si>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</si>
  <si>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</si>
  <si>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</si>
  <si>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</si>
  <si>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</si>
  <si>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</si>
  <si>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</si>
  <si>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</si>
  <si>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</si>
  <si>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</si>
  <si>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</si>
  <si>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</si>
  <si>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</si>
  <si>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</si>
  <si>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</si>
  <si>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</si>
  <si>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</si>
  <si>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</si>
  <si>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</si>
  <si>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</si>
  <si>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</si>
  <si>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</si>
  <si>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</si>
  <si>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</si>
  <si>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</si>
  <si>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</si>
  <si>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</si>
  <si>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</si>
  <si>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</si>
  <si>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</si>
  <si>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</si>
  <si>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</si>
  <si>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</si>
  <si>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</si>
  <si>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</si>
  <si>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</si>
  <si>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</si>
  <si>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</si>
  <si>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</si>
  <si>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</si>
  <si>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</si>
  <si>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</si>
  <si>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</si>
  <si>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</si>
  <si>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</si>
  <si>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</si>
  <si>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</si>
  <si>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</si>
  <si>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</si>
  <si>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</si>
  <si>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</si>
  <si>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</si>
  <si>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</si>
  <si>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</si>
  <si>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</si>
  <si>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</si>
  <si>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</si>
  <si>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</si>
  <si>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</si>
  <si>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</si>
  <si>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</si>
  <si>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</si>
  <si>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</si>
  <si>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</si>
  <si>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</si>
  <si>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</si>
  <si>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</si>
  <si>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</si>
  <si>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</si>
  <si>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</si>
  <si>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</si>
  <si>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</si>
  <si>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</si>
  <si>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</si>
  <si>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</si>
  <si>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</si>
  <si>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</si>
  <si>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</si>
  <si>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</si>
  <si>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</si>
  <si>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</si>
  <si>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</si>
  <si>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</si>
  <si>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</si>
  <si>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</si>
  <si>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</si>
  <si>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</si>
  <si>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</si>
  <si>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</si>
  <si>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</si>
  <si>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</si>
  <si>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</si>
  <si>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</si>
  <si>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</si>
  <si>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</si>
  <si>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</si>
  <si>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</si>
  <si>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</si>
  <si>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</si>
  <si>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</si>
  <si>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</si>
  <si>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</si>
  <si>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</si>
  <si>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</si>
  <si>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</si>
  <si>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</si>
  <si>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</si>
  <si>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</si>
  <si>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</si>
  <si>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</si>
  <si>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</si>
  <si>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</si>
  <si>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</si>
  <si>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</si>
  <si>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</si>
  <si>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</si>
  <si>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</si>
  <si>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</si>
  <si>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</si>
  <si>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</si>
  <si>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</si>
  <si>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</si>
  <si>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</si>
  <si>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</si>
  <si>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</si>
  <si>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</si>
  <si>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</si>
  <si>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</si>
  <si>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</si>
  <si>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</si>
  <si>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</si>
  <si>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</si>
  <si>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</si>
  <si>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</si>
  <si>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</si>
  <si>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</si>
  <si>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</si>
  <si>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</si>
  <si>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</si>
  <si>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</si>
  <si>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</si>
  <si>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</si>
  <si>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</si>
  <si>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</si>
  <si>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</si>
  <si>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</si>
  <si>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</si>
  <si>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</si>
  <si>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</si>
  <si>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</si>
  <si>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</si>
  <si>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</si>
  <si>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</si>
  <si>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</si>
  <si>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</si>
  <si>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</si>
  <si>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</si>
  <si>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</si>
  <si>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</si>
  <si>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</si>
  <si>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</si>
  <si>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</si>
  <si>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</si>
  <si>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</si>
  <si>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</si>
  <si>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</si>
  <si>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</si>
  <si>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</si>
  <si>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</si>
  <si>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</si>
  <si>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</si>
  <si>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</si>
  <si>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</si>
  <si>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</si>
  <si>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</si>
  <si>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</si>
  <si>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</si>
  <si>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</si>
  <si>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</si>
  <si>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</si>
  <si>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</si>
  <si>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</si>
  <si>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</si>
  <si>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</si>
  <si>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</si>
  <si>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</si>
  <si>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</si>
  <si>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</si>
  <si>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</si>
  <si>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</si>
  <si>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</si>
  <si>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</si>
  <si>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</si>
  <si>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</si>
  <si>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</si>
  <si>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</si>
  <si>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</si>
  <si>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</si>
  <si>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</si>
  <si>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</si>
  <si>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</si>
  <si>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</si>
  <si>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</si>
  <si>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</si>
  <si>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</si>
  <si>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</si>
  <si>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</si>
  <si>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</si>
  <si>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</si>
  <si>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</si>
  <si>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</si>
  <si>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</si>
  <si>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</si>
  <si>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</si>
  <si>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</si>
  <si>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</si>
  <si>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</si>
  <si>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</si>
  <si>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</si>
  <si>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</si>
  <si>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</si>
  <si>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</si>
  <si>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</si>
  <si>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</si>
  <si>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</si>
  <si>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</si>
  <si>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</si>
  <si>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</si>
  <si>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</si>
  <si>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</si>
  <si>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</si>
  <si>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</si>
  <si>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</si>
  <si>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</si>
  <si>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</si>
  <si>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</si>
  <si>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</si>
  <si>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</si>
  <si>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</si>
  <si>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</si>
  <si>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</si>
  <si>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</si>
  <si>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</si>
  <si>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</si>
  <si>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</si>
  <si>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</si>
  <si>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</si>
  <si>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</si>
  <si>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</si>
  <si>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</si>
  <si>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</si>
  <si>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</si>
  <si>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</si>
  <si>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</si>
  <si>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</si>
  <si>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</si>
  <si>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</si>
  <si>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</si>
  <si>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</si>
  <si>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</si>
  <si>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</si>
  <si>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</si>
  <si>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</si>
  <si>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</si>
  <si>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</si>
  <si>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</si>
  <si>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</si>
  <si>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</si>
  <si>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</si>
  <si>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</si>
  <si>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</si>
  <si>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</si>
  <si>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</si>
  <si>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</si>
  <si>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</si>
  <si>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</si>
  <si>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</si>
  <si>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</si>
  <si>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</si>
  <si>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</si>
  <si>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</si>
  <si>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</si>
  <si>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</si>
  <si>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</si>
  <si>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</si>
  <si>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</si>
  <si>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</si>
  <si>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</si>
  <si>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</si>
  <si>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</si>
  <si>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</si>
  <si>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</si>
  <si>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</si>
  <si>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</si>
  <si>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</si>
  <si>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</si>
  <si>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</si>
  <si>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</si>
  <si>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</si>
  <si>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</si>
  <si>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</si>
  <si>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</si>
  <si>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</si>
  <si>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</si>
  <si>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</si>
  <si>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</si>
  <si>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</si>
  <si>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</si>
  <si>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</si>
  <si>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</si>
  <si>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</si>
  <si>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</si>
  <si>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</si>
  <si>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</si>
  <si>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</si>
  <si>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</si>
  <si>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</si>
  <si>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</si>
  <si>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</si>
  <si>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</si>
  <si>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</si>
  <si>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</si>
  <si>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</si>
  <si>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</si>
  <si>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</si>
  <si>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</si>
  <si>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</si>
  <si>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</si>
  <si>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</si>
  <si>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</si>
  <si>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</si>
  <si>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</si>
  <si>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</si>
  <si>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</si>
  <si>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</si>
  <si>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</si>
  <si>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</si>
  <si>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</si>
  <si>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</si>
  <si>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</si>
  <si>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</si>
  <si>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</si>
  <si>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</si>
  <si>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</si>
  <si>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</si>
  <si>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</si>
  <si>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</si>
  <si>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</si>
  <si>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</si>
  <si>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</si>
  <si>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</si>
  <si>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</si>
  <si>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</si>
  <si>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</si>
  <si>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</si>
  <si>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</si>
  <si>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</si>
  <si>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</si>
  <si>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</si>
  <si>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</si>
  <si>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</si>
  <si>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</si>
  <si>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</si>
  <si>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</si>
  <si>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</si>
  <si>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</si>
  <si>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</si>
  <si>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</si>
  <si>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</si>
  <si>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</si>
  <si>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</si>
  <si>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</si>
  <si>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</si>
  <si>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</si>
  <si>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</si>
  <si>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</si>
  <si>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</si>
  <si>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</si>
  <si>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</si>
  <si>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</si>
  <si>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</si>
  <si>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</si>
  <si>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</si>
  <si>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</si>
  <si>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</si>
  <si>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</si>
  <si>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</si>
  <si>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</si>
  <si>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</si>
  <si>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</si>
  <si>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</si>
  <si>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</si>
  <si>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</si>
  <si>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</si>
  <si>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</si>
  <si>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</si>
  <si>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</si>
  <si>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</si>
  <si>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</si>
  <si>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</si>
  <si>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</si>
  <si>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</si>
  <si>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</si>
  <si>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</si>
  <si>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</si>
  <si>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</si>
  <si>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</si>
  <si>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</si>
  <si>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</si>
  <si>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</si>
  <si>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</si>
  <si>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</si>
  <si>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</si>
  <si>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</si>
  <si>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</si>
  <si>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</si>
  <si>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</si>
  <si>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</si>
  <si>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</si>
  <si>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</si>
  <si>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</si>
  <si>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</si>
  <si>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</si>
  <si>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</si>
  <si>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</si>
  <si>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</si>
  <si>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</si>
  <si>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</si>
  <si>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</si>
  <si>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</si>
  <si>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</si>
  <si>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</si>
  <si>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</si>
  <si>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</si>
  <si>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</si>
  <si>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</si>
  <si>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</si>
  <si>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</si>
  <si>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</si>
  <si>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</si>
  <si>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</si>
  <si>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</si>
  <si>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</si>
  <si>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</si>
  <si>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</si>
  <si>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</si>
  <si>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</si>
  <si>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</si>
  <si>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</si>
  <si>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</si>
  <si>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</si>
  <si>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</si>
  <si>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</si>
  <si>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</si>
  <si>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</si>
  <si>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</si>
  <si>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</si>
  <si>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</si>
  <si>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</si>
  <si>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</si>
  <si>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</si>
  <si>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</si>
  <si>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</si>
  <si>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</si>
  <si>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</si>
  <si>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</si>
  <si>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</si>
  <si>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</si>
  <si>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</si>
  <si>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</si>
  <si>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</si>
  <si>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</si>
  <si>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</si>
  <si>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</si>
  <si>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</si>
  <si>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</si>
  <si>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</si>
  <si>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</si>
  <si>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</si>
  <si>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</si>
  <si>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</si>
  <si>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</si>
  <si>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</si>
  <si>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</si>
  <si>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</si>
  <si>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</si>
  <si>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</si>
  <si>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</si>
  <si>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</si>
  <si>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</si>
  <si>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</si>
  <si>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</si>
  <si>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</si>
  <si>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</si>
  <si>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</si>
  <si>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</si>
  <si>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</si>
  <si>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</si>
  <si>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</si>
  <si>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</si>
  <si>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</si>
  <si>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</si>
  <si>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</si>
  <si>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</si>
  <si>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</si>
  <si>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</si>
  <si>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</si>
  <si>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</si>
  <si>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</si>
  <si>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</si>
  <si>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</si>
  <si>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</si>
  <si>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</si>
  <si>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</si>
  <si>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</si>
  <si>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</si>
  <si>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</si>
  <si>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</si>
  <si>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</si>
  <si>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</si>
  <si>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</si>
  <si>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</si>
  <si>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</si>
  <si>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</si>
  <si>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</si>
  <si>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</si>
  <si>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</si>
  <si>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</si>
  <si>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</si>
  <si>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</si>
  <si>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</si>
  <si>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</si>
  <si>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</si>
  <si>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</si>
  <si>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</si>
  <si>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</si>
  <si>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</si>
  <si>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</si>
  <si>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</si>
  <si>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</si>
  <si>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</si>
  <si>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</si>
  <si>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</si>
  <si>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</si>
  <si>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</si>
  <si>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</si>
  <si>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</si>
  <si>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</si>
  <si>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</si>
  <si>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</si>
  <si>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</si>
  <si>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</si>
  <si>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</si>
  <si>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</si>
  <si>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</si>
  <si>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</si>
  <si>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</si>
  <si>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</si>
  <si>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SRC_Cap</t>
  </si>
  <si>
    <t xml:space="preserve">SRC_Harness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</si>
  <si>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</si>
  <si>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</si>
  <si>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</si>
  <si>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</si>
  <si>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</si>
  <si>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</si>
  <si>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</si>
  <si>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</si>
  <si>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</si>
  <si>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</si>
  <si>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</si>
  <si>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</si>
  <si>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</si>
  <si>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</si>
  <si>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</si>
  <si>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</si>
  <si>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</si>
  <si>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</si>
  <si>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</si>
  <si>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</si>
  <si>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</si>
  <si>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</si>
  <si>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</si>
  <si>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</si>
  <si>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</si>
  <si>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</si>
  <si>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</si>
  <si>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</si>
  <si>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</si>
  <si>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</si>
  <si>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</si>
  <si>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</si>
  <si>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</si>
  <si>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</si>
  <si>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</si>
  <si>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</si>
  <si>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</si>
  <si>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</si>
  <si>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</si>
  <si>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</si>
  <si>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</si>
  <si>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</si>
  <si>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</si>
  <si>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</si>
  <si>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</si>
  <si>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</si>
  <si>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</si>
  <si>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</si>
  <si>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</si>
  <si>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</si>
  <si>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</si>
  <si>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</si>
  <si>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</si>
  <si>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</si>
  <si>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</si>
  <si>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</si>
  <si>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</si>
  <si>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</si>
  <si>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</si>
  <si>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</si>
  <si>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</si>
  <si>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</si>
  <si>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</si>
  <si>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</si>
  <si>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</si>
  <si>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</si>
  <si>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</si>
  <si>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</si>
  <si>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</si>
  <si>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</si>
  <si>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</si>
  <si>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</si>
  <si>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</si>
  <si>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</si>
  <si>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</si>
  <si>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</si>
  <si>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</si>
  <si>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</si>
  <si>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</si>
  <si>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</si>
  <si>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</si>
  <si>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</si>
  <si>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</si>
  <si>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</si>
  <si>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</si>
  <si>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</si>
  <si>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</si>
  <si>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</si>
  <si>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</si>
  <si>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</si>
  <si>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</si>
  <si>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</si>
  <si>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</si>
  <si>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</si>
  <si>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</si>
  <si>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</si>
  <si>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</si>
  <si>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</si>
  <si>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</si>
  <si>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</si>
  <si>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</si>
  <si>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</si>
  <si>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</si>
  <si>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</si>
  <si>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</si>
  <si>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</si>
  <si>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</si>
  <si>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</si>
  <si>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</si>
  <si>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</si>
  <si>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</si>
  <si>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</si>
  <si>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</si>
  <si>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</si>
  <si>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</si>
  <si>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</si>
  <si>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</si>
  <si>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</si>
  <si>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</si>
  <si>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</si>
  <si>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</si>
  <si>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</si>
  <si>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</si>
  <si>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</si>
  <si>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</si>
  <si>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</si>
  <si>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</si>
  <si>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</si>
  <si>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</si>
  <si>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</si>
  <si>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</si>
  <si>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</si>
  <si>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</si>
  <si>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</si>
  <si>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</si>
  <si>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</si>
  <si>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</si>
  <si>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</si>
  <si>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</si>
  <si>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</si>
  <si>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</si>
  <si>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</si>
  <si>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</si>
  <si>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</si>
  <si>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</si>
  <si>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</si>
  <si>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</si>
  <si>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</si>
  <si>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</si>
  <si>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</si>
  <si>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</si>
  <si>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</si>
  <si>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</si>
  <si>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</si>
  <si>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</si>
  <si>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</si>
  <si>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</si>
  <si>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</si>
  <si>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</si>
  <si>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</si>
  <si>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</si>
  <si>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</si>
  <si>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</si>
  <si>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</si>
  <si>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</si>
  <si>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</si>
  <si>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</si>
  <si>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</si>
  <si>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</si>
  <si>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</si>
  <si>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</si>
  <si>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</si>
  <si>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</si>
  <si>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</si>
  <si>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</si>
  <si>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</si>
  <si>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</si>
  <si>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</si>
  <si>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</si>
  <si>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</si>
  <si>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</si>
  <si>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</si>
  <si>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</si>
  <si>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</si>
  <si>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</si>
  <si>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</si>
  <si>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</si>
  <si>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</si>
  <si>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</si>
  <si>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</si>
  <si>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</si>
  <si>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</si>
  <si>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</si>
  <si>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</si>
  <si>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</si>
  <si>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</si>
  <si>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</si>
  <si>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</si>
  <si>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</si>
  <si>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</si>
  <si>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</si>
  <si>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</si>
  <si>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</si>
  <si>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</si>
  <si>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</si>
  <si>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</si>
  <si>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</si>
  <si>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</si>
  <si>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</si>
  <si>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</si>
  <si>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</si>
  <si>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</si>
  <si>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</si>
  <si>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</si>
  <si>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</si>
  <si>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</si>
  <si>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b val="true"/>
        <sz val="10"/>
        <rFont val="Arial"/>
        <family val="0"/>
        <charset val="1"/>
      </rPr>
      <t xml:space="preserve">D15 B </t>
    </r>
    <r>
      <rPr>
        <b val="true"/>
        <sz val="10"/>
        <rFont val="Noto Sans CJK SC"/>
        <family val="2"/>
      </rPr>
      <t xml:space="preserve">段處置（</t>
    </r>
    <r>
      <rPr>
        <b val="true"/>
        <sz val="10"/>
        <rFont val="Arial"/>
        <family val="0"/>
        <charset val="1"/>
      </rPr>
      <t xml:space="preserve">v13.1</t>
    </r>
    <r>
      <rPr>
        <b val="true"/>
        <sz val="10"/>
        <rFont val="Noto Sans CJK SC"/>
        <family val="2"/>
      </rPr>
      <t xml:space="preserve">；建議文字，原判定欄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與狀態欄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</si>
  <si>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</si>
  <si>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</si>
  <si>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</si>
  <si>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</si>
  <si>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</si>
  <si>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</si>
  <si>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</si>
  <si>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</si>
  <si>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</si>
  <si>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</si>
  <si>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</si>
  <si>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</si>
  <si>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</si>
  <si>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</si>
  <si>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</si>
  <si>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</si>
  <si>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</si>
  <si>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</si>
  <si>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</si>
  <si>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</si>
  <si>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</si>
  <si>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</si>
  <si>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</si>
  <si>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</si>
  <si>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</si>
  <si>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</si>
  <si>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</si>
  <si>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</si>
  <si>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</si>
  <si>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</si>
  <si>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</si>
  <si>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</si>
  <si>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</si>
  <si>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</si>
  <si>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</si>
  <si>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並列｜已採用的部分已入 SRC 或區間；未採用的部分保留為對照，不改基準。判定已明確，只因非「採納」開頭被規則列入。</t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</si>
  <si>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</si>
  <si>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</si>
  <si>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</si>
  <si>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</si>
  <si>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</si>
  <si>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</si>
  <si>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</si>
  <si>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並列｜已由 E248／SRC_MOD_055（Epoch GPT-6 Astra 1.0e27）與 X13 取代；E006 的 2e26–2e27 只作 J8 區間對照，狀態改「已處理」。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</si>
  <si>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</si>
  <si>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</si>
  <si>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</si>
  <si>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</si>
  <si>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</si>
  <si>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</si>
  <si>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</si>
  <si>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</si>
  <si>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</si>
  <si>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</si>
  <si>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</si>
  <si>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</si>
  <si>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</si>
  <si>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</si>
  <si>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</si>
  <si>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</si>
  <si>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</si>
  <si>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</si>
  <si>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</si>
  <si>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</si>
  <si>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</si>
  <si>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</si>
  <si>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</si>
  <si>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</si>
  <si>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</si>
  <si>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</si>
  <si>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</si>
  <si>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</si>
  <si>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</si>
  <si>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</si>
  <si>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</si>
  <si>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</si>
  <si>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</si>
  <si>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</si>
  <si>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</si>
  <si>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</si>
  <si>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</si>
  <si>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</si>
  <si>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</si>
  <si>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</si>
  <si>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</si>
  <si>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</si>
  <si>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</si>
  <si>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</si>
  <si>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</si>
  <si>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</si>
  <si>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</si>
  <si>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</si>
  <si>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</si>
  <si>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</si>
  <si>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</si>
  <si>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</si>
  <si>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</si>
  <si>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</si>
  <si>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</si>
  <si>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採納｜價格 $4／$20 已在 SRC_PRC_012–015（Anthropic 官方牌價，賣方自訂價屬 Interested-party 但即為事實）；「達 Fable 5.1 水準」為能力自稱，不採用。建議判定改「部分採納」並結案。</t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</si>
  <si>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</si>
  <si>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</si>
  <si>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</si>
  <si>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</si>
  <si>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維持待查｜兩來源互相矛盾（AA 標開放權重、另一來源標閉源）；本段未再搜尋。只影響 Cap_In F 節開放權重欄（非高敏感）。</t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</si>
  <si>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</si>
  <si>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</si>
  <si>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</si>
  <si>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</si>
  <si>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</si>
  <si>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</si>
  <si>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</si>
  <si>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</si>
  <si>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</si>
  <si>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</si>
  <si>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</si>
  <si>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</si>
  <si>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</si>
  <si>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</si>
  <si>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</si>
  <si>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</si>
  <si>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</si>
  <si>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</si>
  <si>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</si>
  <si>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</si>
  <si>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</si>
  <si>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</si>
  <si>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</si>
  <si>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</si>
  <si>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</si>
  <si>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</si>
  <si>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</si>
  <si>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</si>
  <si>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</si>
  <si>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</si>
  <si>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維持待查｜歸屬（Nvidia 或 Strands）不一，且為 Interested-party；不作基準依據。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</si>
  <si>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</si>
  <si>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</si>
  <si>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</si>
  <si>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</si>
  <si>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</si>
  <si>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</si>
  <si>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</si>
  <si>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</si>
  <si>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t xml:space="preserve">採納｜Stage 1 遷移紀錄（G0-1），不是新資訊；相關 1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</si>
  <si>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</si>
  <si>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</si>
  <si>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</si>
  <si>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</si>
  <si>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</si>
  <si>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t xml:space="preserve">採納｜Stage 1 遷移紀錄（G0-1），不是新資訊；相關 2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</si>
  <si>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</si>
  <si>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</si>
  <si>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t xml:space="preserve">並列｜Stage 1 遷移紀錄；相關 SRC 狀態 {'Active': 1,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</si>
  <si>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</si>
  <si>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</si>
  <si>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</si>
  <si>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</si>
  <si>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</si>
  <si>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</si>
  <si>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</si>
  <si>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</si>
  <si>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</si>
  <si>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</si>
  <si>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</si>
  <si>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</si>
  <si>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t xml:space="preserve">並列｜Stage 1 遷移紀錄；相關 SRC 狀態 {'Active': 12,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</si>
  <si>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</si>
  <si>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</si>
  <si>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</si>
  <si>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</si>
  <si>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</si>
  <si>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</si>
  <si>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</si>
  <si>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</si>
  <si>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</si>
  <si>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</si>
  <si>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</si>
  <si>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</si>
  <si>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</si>
  <si>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</si>
  <si>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</si>
  <si>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</si>
  <si>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</si>
  <si>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</si>
  <si>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</si>
  <si>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t xml:space="preserve">採納｜Stage 1 遷移紀錄（G0-1），不是新資訊；相關 3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</si>
  <si>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</si>
  <si>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</si>
  <si>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</si>
  <si>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</si>
  <si>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</si>
  <si>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</si>
  <si>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</si>
  <si>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</si>
  <si>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</si>
  <si>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</si>
  <si>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</si>
  <si>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採納｜Stage 1 遷移紀錄（G0-1），不是新資訊；相關 4 筆 SRC 全為 Active。建議判定欄改「採納（遷移）」或積壓規則排除遷移列。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</si>
  <si>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</si>
  <si>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</si>
  <si>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</si>
  <si>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</si>
  <si>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</si>
  <si>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</si>
  <si>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</si>
  <si>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</si>
  <si>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</si>
  <si>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</si>
  <si>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</si>
  <si>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</si>
  <si>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</si>
  <si>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</si>
  <si>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</si>
  <si>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</si>
  <si>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</si>
  <si>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</si>
  <si>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</si>
  <si>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</si>
  <si>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</si>
  <si>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</si>
  <si>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t xml:space="preserve">並列｜Stage 1 遷移紀錄；相關 SRC 狀態 {'Active': 4, 'Superseded':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</si>
  <si>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</si>
  <si>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</si>
  <si>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t xml:space="preserve">採納｜Stage 1 遷移紀錄（G0-1），不是新資訊；相關 5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</si>
  <si>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</si>
  <si>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</si>
  <si>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</si>
  <si>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</si>
  <si>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</si>
  <si>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</si>
  <si>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</si>
  <si>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</si>
  <si>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</si>
  <si>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</si>
  <si>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</si>
  <si>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</si>
  <si>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</si>
  <si>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</si>
  <si>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採納｜Stage 1 遷移紀錄（G0-1），不是新資訊；相關 7 筆 SRC 全為 Active。建議判定欄改「採納（遷移）」或積壓規則排除遷移列。</t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</si>
  <si>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</si>
  <si>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</si>
  <si>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</si>
  <si>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</si>
  <si>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</si>
  <si>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</si>
  <si>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</si>
  <si>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</si>
  <si>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</si>
  <si>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</si>
  <si>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</si>
  <si>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維持待查｜11 筆 3 級補登（模型內建知識），待 Stage 2 逐筆查核；不改值。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</si>
  <si>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</si>
  <si>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</si>
  <si>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</si>
  <si>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</si>
  <si>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</si>
  <si>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</si>
  <si>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</si>
  <si>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</si>
  <si>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t xml:space="preserve">採納｜Stage 1 遷移紀錄（G0-1），不是新資訊；相關 9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</si>
  <si>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</si>
  <si>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</si>
  <si>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採納｜Stage 1 遷移紀錄（G0-1），不是新資訊；相關 8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</si>
  <si>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</si>
  <si>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</si>
  <si>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t xml:space="preserve">採納｜Stage 1 遷移紀錄（G0-1），不是新資訊；相關 6 筆 SRC 全為 Active。建議判定欄改「採納（遷移）」或積壓規則排除遷移列。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</si>
  <si>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</si>
  <si>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8, 'Alt': 2}，非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</si>
  <si>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</si>
  <si>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</si>
  <si>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</si>
  <si>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</si>
  <si>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</si>
  <si>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並列｜Stage 1 遷移紀錄；相關 SRC 狀態 {'Active': 9, 'Alt': 1}，非 Active 者已有取代或並列紀錄。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</si>
  <si>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</si>
  <si>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</si>
  <si>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</si>
  <si>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</si>
  <si>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</si>
  <si>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</si>
  <si>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</si>
  <si>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</si>
  <si>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</si>
  <si>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</si>
  <si>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</si>
  <si>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t xml:space="preserve">採納｜補登即已建立 SRC 紀錄（G2）；一手原文已讀。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</si>
  <si>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</si>
  <si>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</si>
  <si>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</si>
  <si>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</si>
  <si>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</si>
  <si>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</si>
  <si>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</si>
  <si>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</si>
  <si>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</si>
  <si>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</si>
  <si>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</si>
  <si>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</si>
  <si>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</si>
  <si>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</si>
  <si>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</si>
  <si>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採納｜補登即已建立 SRC 紀錄（G2）；等級 2、原文待查，建議在 SRC 備註保留「原文待查」。</t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</si>
  <si>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</si>
  <si>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</si>
  <si>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</si>
  <si>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</si>
  <si>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</si>
  <si>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</si>
  <si>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</si>
  <si>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</si>
  <si>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</si>
  <si>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</si>
  <si>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</si>
  <si>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</si>
  <si>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</si>
  <si>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</si>
  <si>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</si>
  <si>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</si>
  <si>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</si>
  <si>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</si>
  <si>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</si>
  <si>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</si>
  <si>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</si>
  <si>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</si>
  <si>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</si>
  <si>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</si>
  <si>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</si>
  <si>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</si>
  <si>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</si>
  <si>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</si>
  <si>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</si>
  <si>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</si>
  <si>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</si>
  <si>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</si>
  <si>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</si>
  <si>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</si>
  <si>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</si>
  <si>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</si>
  <si>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</si>
  <si>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</si>
  <si>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</si>
  <si>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</si>
  <si>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</si>
  <si>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</si>
  <si>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</si>
  <si>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</si>
  <si>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</si>
  <si>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</si>
  <si>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</si>
  <si>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</si>
  <si>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</si>
  <si>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</si>
  <si>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</si>
  <si>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</si>
  <si>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</si>
  <si>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</si>
  <si>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</si>
  <si>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</si>
  <si>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</si>
  <si>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</si>
  <si>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</si>
  <si>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</si>
  <si>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</si>
  <si>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</si>
  <si>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</si>
  <si>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</si>
  <si>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</si>
  <si>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</si>
  <si>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</si>
  <si>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</si>
  <si>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</si>
  <si>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</si>
  <si>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</si>
  <si>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</si>
  <si>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</si>
  <si>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</si>
  <si>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</si>
  <si>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</si>
  <si>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</si>
  <si>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</si>
  <si>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</si>
  <si>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</si>
  <si>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</si>
  <si>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</si>
  <si>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</si>
  <si>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</si>
  <si>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</si>
  <si>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</si>
  <si>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</si>
  <si>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</si>
  <si>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</si>
  <si>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</si>
  <si>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</si>
  <si>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</si>
  <si>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</si>
  <si>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</si>
  <si>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</si>
  <si>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</si>
  <si>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</si>
  <si>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</si>
  <si>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</si>
  <si>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</si>
  <si>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</si>
  <si>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</si>
  <si>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</si>
  <si>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</si>
  <si>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</si>
  <si>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</si>
  <si>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</si>
  <si>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</si>
  <si>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</si>
  <si>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</si>
  <si>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</si>
  <si>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</si>
  <si>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</si>
  <si>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</si>
  <si>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</si>
  <si>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</si>
  <si>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</si>
  <si>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</si>
  <si>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</si>
  <si>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</si>
  <si>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</si>
  <si>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</si>
  <si>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</si>
  <si>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</si>
  <si>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</si>
  <si>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</si>
  <si>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</si>
  <si>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</si>
  <si>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</si>
  <si>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</si>
  <si>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</si>
  <si>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</si>
  <si>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</si>
  <si>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</si>
  <si>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</si>
  <si>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</si>
  <si>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</si>
  <si>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</si>
  <si>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</si>
  <si>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</si>
  <si>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</si>
  <si>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</si>
  <si>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</si>
  <si>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</si>
  <si>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</si>
  <si>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</si>
  <si>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</si>
  <si>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</si>
  <si>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</si>
  <si>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</si>
  <si>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</si>
  <si>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</si>
  <si>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</si>
  <si>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</si>
  <si>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</si>
  <si>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</si>
  <si>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</si>
  <si>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</si>
  <si>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</si>
  <si>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</si>
  <si>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</si>
  <si>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</si>
  <si>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</si>
  <si>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</si>
  <si>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</si>
  <si>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</si>
  <si>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</si>
  <si>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</si>
  <si>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</si>
  <si>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</si>
  <si>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</si>
  <si>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</si>
  <si>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</si>
  <si>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</si>
  <si>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</si>
  <si>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</si>
  <si>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</si>
  <si>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</si>
  <si>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</si>
  <si>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</si>
  <si>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</si>
  <si>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</si>
  <si>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</si>
  <si>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</si>
  <si>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</si>
  <si>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</si>
  <si>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</si>
  <si>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</si>
  <si>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</si>
  <si>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</si>
  <si>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</si>
  <si>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</si>
  <si>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</si>
  <si>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</si>
  <si>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</si>
  <si>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</si>
  <si>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</si>
  <si>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</si>
  <si>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</si>
  <si>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</si>
  <si>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</si>
  <si>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</si>
  <si>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</si>
  <si>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</si>
  <si>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</si>
  <si>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</si>
  <si>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</si>
  <si>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</si>
  <si>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</si>
  <si>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</si>
  <si>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</si>
  <si>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</si>
  <si>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</si>
  <si>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</si>
  <si>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</si>
  <si>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</si>
  <si>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</si>
  <si>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</si>
  <si>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</si>
  <si>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</si>
  <si>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</si>
  <si>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</si>
  <si>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</si>
  <si>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</si>
  <si>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</si>
  <si>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</si>
  <si>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</si>
  <si>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</si>
  <si>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</si>
  <si>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</si>
  <si>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</si>
  <si>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</si>
  <si>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</si>
  <si>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</si>
  <si>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</si>
  <si>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</si>
  <si>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</si>
  <si>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</si>
  <si>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</si>
  <si>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</si>
  <si>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</si>
  <si>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</si>
  <si>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</si>
  <si>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</si>
  <si>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</si>
  <si>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</si>
  <si>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</si>
  <si>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</si>
  <si>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</si>
  <si>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</si>
  <si>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</si>
  <si>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</si>
  <si>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</si>
  <si>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</si>
  <si>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</si>
  <si>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</si>
  <si>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</si>
  <si>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</si>
  <si>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</si>
  <si>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</si>
  <si>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t xml:space="preserve">駁回｜已讀，口徑不同，不作第二來源（H1 規則 (ii)）；判定已明確，只是積壓規則把「非採納」都列入。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</si>
  <si>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</si>
  <si>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</si>
  <si>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</si>
  <si>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</si>
  <si>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</si>
  <si>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</si>
  <si>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</si>
  <si>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</si>
  <si>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</si>
  <si>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</si>
  <si>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</si>
  <si>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</si>
  <si>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</si>
  <si>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</si>
  <si>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</si>
  <si>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</si>
  <si>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</si>
  <si>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</si>
  <si>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</si>
  <si>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</si>
  <si>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</si>
  <si>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</si>
  <si>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</si>
  <si>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</si>
  <si>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</si>
  <si>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</si>
  <si>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</si>
  <si>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</si>
  <si>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</si>
  <si>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</si>
  <si>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</si>
  <si>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</si>
  <si>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</si>
  <si>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</si>
  <si>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</si>
  <si>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</si>
  <si>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</si>
  <si>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</si>
  <si>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</si>
  <si>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</si>
  <si>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</si>
  <si>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</si>
  <si>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</si>
  <si>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</si>
  <si>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</si>
  <si>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</si>
  <si>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</si>
  <si>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</si>
  <si>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</si>
  <si>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</si>
  <si>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</si>
  <si>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</si>
  <si>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</si>
  <si>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</si>
  <si>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</si>
  <si>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</si>
  <si>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</si>
  <si>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</si>
  <si>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</si>
  <si>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</si>
  <si>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</si>
  <si>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</si>
  <si>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</si>
  <si>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</si>
  <si>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</si>
  <si>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</si>
  <si>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</si>
  <si>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</si>
  <si>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</si>
  <si>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</si>
  <si>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</si>
  <si>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</si>
  <si>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</si>
  <si>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</si>
  <si>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</si>
  <si>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</si>
  <si>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</si>
  <si>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</si>
  <si>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</si>
  <si>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</si>
  <si>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</si>
  <si>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</si>
  <si>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</si>
  <si>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</si>
  <si>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</si>
  <si>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</si>
  <si>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</si>
  <si>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</si>
  <si>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</si>
  <si>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</si>
  <si>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</si>
  <si>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</si>
  <si>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</si>
  <si>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</si>
  <si>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</si>
  <si>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</si>
  <si>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</si>
  <si>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</si>
  <si>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</si>
  <si>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</si>
  <si>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</si>
  <si>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</si>
  <si>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</si>
  <si>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</si>
  <si>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</si>
  <si>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</si>
  <si>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</si>
  <si>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</si>
  <si>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</si>
  <si>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</si>
  <si>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</si>
  <si>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</si>
  <si>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</si>
  <si>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</si>
  <si>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</si>
  <si>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</si>
  <si>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</si>
  <si>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</si>
  <si>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</si>
  <si>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</si>
  <si>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</si>
  <si>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</si>
  <si>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</si>
  <si>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</si>
  <si>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</si>
  <si>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</si>
  <si>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</si>
  <si>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</si>
  <si>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</si>
  <si>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</si>
  <si>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</si>
  <si>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</si>
  <si>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</si>
  <si>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</si>
  <si>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</si>
  <si>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</si>
  <si>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</si>
  <si>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</si>
  <si>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</si>
  <si>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</si>
  <si>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</si>
  <si>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</si>
  <si>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</si>
  <si>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</si>
  <si>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</si>
  <si>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</si>
  <si>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</si>
  <si>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</si>
  <si>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</si>
  <si>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</si>
  <si>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</si>
  <si>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</si>
  <si>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</si>
  <si>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</si>
  <si>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</si>
  <si>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</si>
  <si>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</si>
  <si>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</si>
  <si>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</si>
  <si>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</si>
  <si>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</si>
  <si>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</si>
  <si>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</si>
  <si>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</si>
  <si>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</si>
  <si>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</si>
  <si>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</si>
  <si>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</si>
  <si>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</si>
  <si>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</si>
  <si>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</si>
  <si>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</si>
  <si>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</si>
  <si>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</si>
  <si>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</si>
  <si>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</si>
  <si>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</si>
  <si>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</si>
  <si>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</si>
  <si>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</si>
  <si>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</si>
  <si>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</si>
  <si>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</si>
  <si>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</si>
  <si>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</si>
  <si>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</si>
  <si>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</si>
  <si>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</si>
  <si>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</si>
  <si>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</si>
  <si>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</si>
  <si>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</si>
  <si>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</si>
  <si>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</si>
  <si>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</si>
  <si>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</si>
  <si>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</si>
  <si>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</si>
  <si>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</si>
  <si>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</si>
  <si>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</si>
  <si>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</si>
  <si>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</si>
  <si>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</si>
  <si>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</si>
  <si>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</si>
  <si>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</si>
  <si>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</si>
  <si>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</si>
  <si>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</si>
  <si>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</si>
  <si>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</si>
  <si>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</si>
  <si>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</si>
  <si>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</si>
  <si>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</si>
  <si>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</si>
  <si>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</si>
  <si>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</si>
  <si>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</si>
  <si>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</si>
  <si>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</si>
  <si>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</si>
  <si>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</si>
  <si>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</si>
  <si>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</si>
  <si>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</si>
  <si>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</si>
  <si>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</si>
  <si>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</si>
  <si>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</si>
  <si>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</si>
  <si>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</si>
  <si>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</si>
  <si>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</si>
  <si>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</si>
  <si>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</si>
  <si>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</si>
  <si>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</si>
  <si>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</si>
  <si>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</si>
  <si>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</si>
  <si>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</si>
  <si>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</si>
  <si>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</si>
  <si>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</si>
  <si>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</si>
  <si>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</si>
  <si>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</si>
  <si>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</si>
  <si>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</si>
  <si>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</si>
  <si>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</si>
  <si>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</si>
  <si>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</si>
  <si>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</si>
  <si>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</si>
  <si>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</si>
  <si>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</si>
  <si>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</si>
  <si>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</si>
  <si>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</si>
  <si>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</si>
  <si>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</si>
  <si>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</si>
  <si>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</si>
  <si>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</si>
  <si>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</si>
  <si>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</si>
  <si>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</si>
  <si>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</si>
  <si>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</si>
  <si>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</si>
  <si>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</si>
  <si>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</si>
  <si>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</si>
  <si>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</si>
  <si>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</si>
  <si>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</si>
  <si>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</si>
  <si>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</si>
  <si>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</si>
  <si>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</si>
  <si>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</si>
  <si>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</si>
  <si>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</si>
  <si>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</si>
  <si>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</si>
  <si>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</si>
  <si>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</si>
  <si>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</si>
  <si>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</si>
  <si>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</si>
  <si>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</si>
  <si>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</si>
  <si>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</si>
  <si>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</si>
  <si>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</si>
  <si>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</si>
  <si>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</si>
  <si>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</si>
  <si>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</si>
  <si>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</si>
  <si>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</si>
  <si>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</si>
  <si>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</si>
  <si>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</si>
  <si>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</si>
  <si>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</si>
  <si>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</si>
  <si>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</si>
  <si>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</si>
  <si>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</si>
  <si>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</si>
  <si>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t xml:space="preserve">駁回｜已被 E245 一手結果取代（X6 結案）。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</si>
  <si>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</si>
  <si>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</si>
  <si>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</si>
  <si>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</si>
  <si>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</si>
  <si>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</si>
  <si>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</si>
  <si>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</si>
  <si>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採納｜MLPerf v6.1 一手結果，X6 已結案；判定文字未以「採納」開頭而被列入。</t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</si>
  <si>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</si>
  <si>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</si>
  <si>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</si>
  <si>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</si>
  <si>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</si>
  <si>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</si>
  <si>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</si>
  <si>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</si>
  <si>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</si>
  <si>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</si>
  <si>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</si>
  <si>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</si>
  <si>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</si>
  <si>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</si>
  <si>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</si>
  <si>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</si>
  <si>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</si>
  <si>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</si>
  <si>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</si>
  <si>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</si>
  <si>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</si>
  <si>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</si>
  <si>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</si>
  <si>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</si>
  <si>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</si>
  <si>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</si>
  <si>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</si>
  <si>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</si>
  <si>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</si>
  <si>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</si>
  <si>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</si>
  <si>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</si>
  <si>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</si>
  <si>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</si>
  <si>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</si>
  <si>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</si>
  <si>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並列｜參數 3e12 無出處，只作 GM203 區間內參考（X12）。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</si>
  <si>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</si>
  <si>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</si>
  <si>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</si>
  <si>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</si>
  <si>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</si>
  <si>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</si>
  <si>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</si>
  <si>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</si>
  <si>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</si>
  <si>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</si>
  <si>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</si>
  <si>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</si>
  <si>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</si>
  <si>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</si>
  <si>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</si>
  <si>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</si>
  <si>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</si>
  <si>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</si>
  <si>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</si>
  <si>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</si>
  <si>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</si>
  <si>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</si>
  <si>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</si>
  <si>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</si>
  <si>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t xml:space="preserve">並列｜兩處 Epoch 數字（4.6e26 與 3.5e26）並列記錄，SRC_MOD_033 不改（X13 b）。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</si>
  <si>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</si>
  <si>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</si>
  <si>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</si>
  <si>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</si>
  <si>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</si>
  <si>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</si>
  <si>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</si>
  <si>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</si>
  <si>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</si>
  <si>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</si>
  <si>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</si>
  <si>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</si>
  <si>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</si>
  <si>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</si>
  <si>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</si>
  <si>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</si>
  <si>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</si>
  <si>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</si>
  <si>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</si>
  <si>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</si>
  <si>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並列｜硬體錨點作比值口徑對照，絕對規模歸 OpenAI 模型校準（X13 c）。</t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</si>
  <si>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</si>
  <si>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</si>
  <si>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</si>
  <si>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</si>
  <si>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</si>
  <si>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</si>
  <si>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</si>
  <si>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</si>
  <si>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</si>
  <si>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</si>
  <si>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</si>
  <si>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</si>
  <si>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</si>
  <si>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</si>
  <si>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</si>
  <si>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</si>
  <si>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</si>
  <si>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</si>
  <si>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</si>
  <si>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並列｜判定已為並列（Alt）。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</si>
  <si>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</si>
  <si>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</si>
  <si>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</si>
  <si>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</si>
  <si>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</si>
  <si>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</si>
  <si>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</si>
  <si>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</si>
  <si>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</si>
  <si>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</si>
  <si>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</si>
  <si>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</si>
  <si>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</si>
  <si>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</si>
  <si>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</si>
  <si>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</si>
  <si>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</si>
  <si>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</si>
  <si>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</si>
  <si>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</si>
  <si>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</si>
  <si>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</si>
  <si>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</si>
  <si>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</si>
  <si>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</si>
  <si>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</si>
  <si>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</si>
  <si>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</si>
  <si>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</si>
  <si>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</si>
  <si>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</si>
  <si>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</si>
  <si>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</si>
  <si>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駁回｜判定已為不採納（維持）。</t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</si>
  <si>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</si>
  <si>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</si>
  <si>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</si>
  <si>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</si>
  <si>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</si>
  <si>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</si>
  <si>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</si>
  <si>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</si>
  <si>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</si>
  <si>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</si>
  <si>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</si>
  <si>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</si>
  <si>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</si>
  <si>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</si>
  <si>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</si>
  <si>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</si>
  <si>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</si>
  <si>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</si>
  <si>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</si>
  <si>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</si>
  <si>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</si>
  <si>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</si>
  <si>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</si>
  <si>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</si>
  <si>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</si>
  <si>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</si>
  <si>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</si>
  <si>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</si>
  <si>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</si>
  <si>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</si>
  <si>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</si>
  <si>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</si>
  <si>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</si>
  <si>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</si>
  <si>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</si>
  <si>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</si>
  <si>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</si>
  <si>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</si>
  <si>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</si>
  <si>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</si>
  <si>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</si>
  <si>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</si>
  <si>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</si>
  <si>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</si>
  <si>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</si>
  <si>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</si>
  <si>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</si>
  <si>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</si>
  <si>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</si>
  <si>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</si>
  <si>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</si>
  <si>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</si>
  <si>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</si>
  <si>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</si>
  <si>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</si>
  <si>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</si>
  <si>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</si>
  <si>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</si>
  <si>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</si>
  <si>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</si>
  <si>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</si>
  <si>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</si>
  <si>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</si>
  <si>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</si>
  <si>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</si>
  <si>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</si>
  <si>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</si>
  <si>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</si>
  <si>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</si>
  <si>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</si>
  <si>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</si>
  <si>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</si>
  <si>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</si>
  <si>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</si>
  <si>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</si>
  <si>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</si>
  <si>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</si>
  <si>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</si>
  <si>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</si>
  <si>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</si>
  <si>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</si>
  <si>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</si>
  <si>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並列｜J1 (a) 採用後 SRC_HW_007 已改 Alt，媒體報價只作高端對照。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</si>
  <si>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</si>
  <si>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</si>
  <si>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</si>
  <si>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</si>
  <si>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</si>
  <si>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</si>
  <si>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</si>
  <si>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</si>
  <si>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</si>
  <si>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</si>
  <si>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</si>
  <si>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</si>
  <si>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</si>
  <si>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</si>
  <si>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</si>
  <si>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</si>
  <si>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</si>
  <si>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</si>
  <si>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</si>
  <si>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</si>
  <si>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</si>
  <si>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</si>
  <si>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</si>
  <si>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</si>
  <si>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</si>
  <si>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</si>
  <si>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</si>
  <si>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</si>
  <si>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</si>
  <si>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</si>
  <si>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</si>
  <si>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</si>
  <si>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</si>
  <si>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</si>
  <si>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</si>
  <si>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</si>
  <si>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</si>
  <si>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</si>
  <si>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</si>
  <si>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</si>
  <si>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</si>
  <si>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</si>
  <si>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</si>
  <si>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</si>
  <si>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</si>
  <si>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</si>
  <si>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</si>
  <si>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</si>
  <si>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</si>
  <si>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</si>
  <si>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</si>
  <si>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</si>
  <si>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</si>
  <si>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</si>
  <si>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</si>
  <si>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</si>
  <si>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</si>
  <si>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</si>
  <si>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</si>
  <si>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</si>
  <si>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</si>
  <si>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</si>
  <si>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</si>
  <si>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</si>
  <si>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</si>
  <si>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</si>
  <si>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</si>
  <si>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</si>
  <si>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</si>
  <si>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</si>
  <si>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</si>
  <si>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</si>
  <si>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</si>
  <si>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</si>
  <si>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維持待查｜neocloud 裸機出租是否付 NVIDIA AI Enterprise 授權仍找不到；只影響 Inputs E33（非高敏感）。</t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</si>
  <si>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</si>
  <si>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</si>
  <si>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</si>
  <si>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</si>
  <si>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</si>
  <si>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</si>
  <si>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</si>
  <si>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</si>
  <si>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</si>
  <si>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</si>
  <si>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</si>
  <si>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</si>
  <si>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</si>
  <si>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</si>
  <si>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</si>
  <si>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</si>
  <si>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</si>
  <si>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</si>
  <si>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</si>
  <si>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</si>
  <si>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</si>
  <si>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</si>
  <si>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</si>
  <si>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</si>
  <si>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</si>
  <si>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</si>
  <si>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</si>
  <si>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</si>
  <si>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</si>
  <si>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</si>
  <si>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</si>
  <si>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</si>
  <si>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</si>
  <si>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</si>
  <si>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</si>
  <si>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t xml:space="preserve">並列｜44M 時點不明、二手；預測值不入序列，只作方案組合變化的定性證據。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</si>
  <si>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</si>
  <si>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</si>
  <si>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</si>
  <si>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</si>
  <si>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</si>
  <si>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</si>
  <si>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</si>
  <si>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</si>
  <si>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</si>
  <si>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</si>
  <si>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</si>
  <si>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</si>
  <si>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</si>
  <si>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</si>
  <si>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</si>
  <si>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</si>
  <si>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</si>
  <si>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</si>
  <si>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</si>
  <si>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</si>
  <si>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</si>
  <si>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</si>
  <si>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</si>
  <si>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</si>
  <si>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</si>
  <si>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</si>
  <si>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</si>
  <si>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</si>
  <si>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</si>
  <si>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</si>
  <si>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</si>
  <si>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</si>
  <si>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</si>
  <si>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</si>
  <si>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</si>
  <si>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</si>
  <si>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</si>
  <si>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</si>
  <si>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</si>
  <si>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</si>
  <si>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</si>
  <si>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</si>
  <si>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</si>
  <si>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</si>
  <si>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</si>
  <si>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</si>
  <si>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</si>
  <si>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</si>
  <si>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</si>
  <si>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</si>
  <si>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t xml:space="preserve">並列｜20% 分潤已登錄 SRC_DEM_043；$38B 上限仍待一手，營收維持毛額（X22）。</t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</si>
  <si>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</si>
  <si>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</si>
  <si>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</si>
  <si>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</si>
  <si>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</si>
  <si>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</si>
  <si>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</si>
  <si>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</si>
  <si>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</si>
  <si>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</si>
  <si>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</si>
  <si>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</si>
  <si>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</si>
  <si>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</si>
  <si>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</si>
  <si>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</si>
  <si>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</si>
  <si>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</si>
  <si>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</si>
  <si>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</si>
  <si>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</si>
  <si>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</si>
  <si>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</si>
  <si>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</si>
  <si>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</si>
  <si>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</si>
  <si>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</si>
  <si>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</si>
  <si>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</si>
  <si>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</si>
  <si>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</si>
  <si>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</si>
  <si>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</si>
  <si>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</si>
  <si>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</si>
  <si>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</si>
  <si>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</si>
  <si>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</si>
  <si>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</si>
  <si>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</si>
  <si>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</si>
  <si>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</si>
  <si>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</si>
  <si>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</si>
  <si>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</si>
  <si>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</si>
  <si>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</si>
  <si>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</si>
  <si>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</si>
  <si>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</si>
  <si>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</si>
  <si>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</si>
  <si>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</si>
  <si>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</si>
  <si>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</si>
  <si>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</si>
  <si>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</si>
  <si>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</si>
  <si>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</si>
  <si>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</si>
  <si>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</si>
  <si>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</si>
  <si>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</si>
  <si>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</si>
  <si>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</si>
  <si>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</si>
  <si>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</si>
  <si>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</si>
  <si>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</si>
  <si>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</si>
  <si>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</si>
  <si>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</si>
  <si>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</si>
  <si>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</si>
  <si>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</si>
  <si>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</si>
  <si>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</si>
  <si>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</si>
  <si>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t xml:space="preserve">採納｜已由 E314 查證（Altman 2026-07-14，經 Fortune）；判定欄「待查」字樣未更新。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</si>
  <si>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</si>
  <si>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</si>
  <si>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</si>
  <si>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</si>
  <si>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</si>
  <si>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</si>
  <si>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</si>
  <si>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</si>
  <si>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</si>
  <si>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</si>
  <si>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</si>
  <si>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</si>
  <si>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</si>
  <si>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</si>
  <si>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</si>
  <si>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</si>
  <si>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</si>
  <si>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</si>
  <si>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</si>
  <si>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</si>
  <si>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</si>
  <si>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</si>
  <si>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</si>
  <si>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</si>
  <si>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</si>
  <si>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</si>
  <si>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</si>
  <si>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</si>
  <si>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</si>
  <si>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</si>
  <si>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</si>
  <si>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</si>
  <si>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</si>
  <si>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</si>
  <si>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</si>
  <si>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</si>
  <si>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</si>
  <si>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</si>
  <si>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</si>
  <si>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</si>
  <si>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</si>
  <si>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</si>
  <si>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</si>
  <si>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</si>
  <si>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</si>
  <si>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</si>
  <si>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</si>
  <si>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</si>
  <si>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</si>
  <si>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</si>
  <si>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</si>
  <si>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</si>
  <si>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</si>
  <si>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</si>
  <si>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</si>
  <si>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</si>
  <si>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</si>
  <si>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</si>
  <si>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</si>
  <si>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</si>
  <si>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</si>
  <si>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</si>
  <si>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</si>
  <si>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</si>
  <si>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</si>
  <si>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</si>
  <si>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</si>
  <si>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</si>
  <si>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</si>
  <si>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</si>
  <si>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</si>
  <si>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</si>
  <si>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</si>
  <si>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</si>
  <si>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</si>
  <si>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</si>
  <si>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</si>
  <si>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</si>
  <si>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</si>
  <si>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</si>
  <si>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</si>
  <si>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</si>
  <si>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</si>
  <si>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</si>
  <si>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</si>
  <si>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</si>
  <si>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</si>
  <si>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</si>
  <si>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</si>
  <si>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</si>
  <si>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</si>
  <si>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t xml:space="preserve">採納｜判定已為「採用（X27）」，只因文字含「E301『待查』」被規則列入。</t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</si>
  <si>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</si>
  <si>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</si>
  <si>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</si>
  <si>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</si>
  <si>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</si>
  <si>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</si>
  <si>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</si>
  <si>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</si>
  <si>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</si>
  <si>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</si>
  <si>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</si>
  <si>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</si>
  <si>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</si>
  <si>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</si>
  <si>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</si>
  <si>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</si>
  <si>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</si>
  <si>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</si>
  <si>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</si>
  <si>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</si>
  <si>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</si>
  <si>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</si>
  <si>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</si>
  <si>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</si>
  <si>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</si>
  <si>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</si>
  <si>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</si>
  <si>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</si>
  <si>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</si>
  <si>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</si>
  <si>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</si>
  <si>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</si>
  <si>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</si>
  <si>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</si>
  <si>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</si>
  <si>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</si>
  <si>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</si>
  <si>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</si>
  <si>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</si>
  <si>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</si>
  <si>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</si>
  <si>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</si>
  <si>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</si>
  <si>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</si>
  <si>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</si>
  <si>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</si>
  <si>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</si>
  <si>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</si>
  <si>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</si>
  <si>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</si>
  <si>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</si>
  <si>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</si>
  <si>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</si>
  <si>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</si>
  <si>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</si>
  <si>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</si>
  <si>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</si>
  <si>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</si>
  <si>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</si>
  <si>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</si>
  <si>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</si>
  <si>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</si>
  <si>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</si>
  <si>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</si>
  <si>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</si>
  <si>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</si>
  <si>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</si>
  <si>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</si>
  <si>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</si>
  <si>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</si>
  <si>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</si>
  <si>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</si>
  <si>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</si>
  <si>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</si>
  <si>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</si>
  <si>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</si>
  <si>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</si>
  <si>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</si>
  <si>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</si>
  <si>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</si>
  <si>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</si>
  <si>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</si>
  <si>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</si>
  <si>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</si>
  <si>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</si>
  <si>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</si>
  <si>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</si>
  <si>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</si>
  <si>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</si>
  <si>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</si>
  <si>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</si>
  <si>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採納｜與 E289 同一數字，已有 SRC_DEM_042；不重登。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</si>
  <si>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</si>
  <si>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</si>
  <si>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</si>
  <si>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</si>
  <si>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</si>
  <si>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</si>
  <si>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</si>
  <si>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</si>
  <si>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</si>
  <si>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</si>
  <si>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</si>
  <si>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</si>
  <si>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</si>
  <si>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</si>
  <si>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</si>
  <si>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</si>
  <si>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</si>
  <si>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</si>
  <si>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</si>
  <si>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</si>
  <si>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</si>
  <si>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</si>
  <si>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</si>
  <si>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</si>
  <si>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採納｜作為 H10 2026 份額的依據登錄（r0.1），不登 SRC。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</si>
  <si>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</si>
  <si>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</si>
  <si>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</si>
  <si>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</si>
  <si>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</si>
  <si>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</si>
  <si>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</si>
  <si>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</si>
  <si>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</si>
  <si>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</si>
  <si>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</si>
  <si>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</si>
  <si>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</si>
  <si>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</si>
  <si>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</si>
  <si>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</si>
  <si>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</si>
  <si>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</si>
  <si>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</si>
  <si>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</si>
  <si>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</si>
  <si>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</si>
  <si>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</si>
  <si>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</si>
  <si>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</si>
  <si>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採納｜補到 SRC_DEM_060 備註；無 token 量，不新增。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</si>
  <si>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</si>
  <si>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</si>
  <si>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</si>
  <si>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</si>
  <si>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</si>
  <si>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</si>
  <si>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</si>
  <si>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</si>
  <si>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</si>
  <si>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</si>
  <si>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</si>
  <si>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</si>
  <si>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</si>
  <si>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</si>
  <si>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</si>
  <si>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</si>
  <si>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</si>
  <si>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</si>
  <si>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</si>
  <si>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</si>
  <si>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</si>
  <si>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</si>
  <si>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維持待查｜缺口登錄：典型付費用戶 token 用量仍找不到。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</si>
  <si>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</si>
  <si>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</si>
  <si>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</si>
  <si>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</si>
  <si>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</si>
  <si>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</si>
  <si>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</si>
  <si>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</si>
  <si>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</si>
  <si>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</si>
  <si>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</si>
  <si>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</si>
  <si>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</si>
  <si>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</si>
  <si>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</si>
  <si>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</si>
  <si>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</si>
  <si>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</si>
  <si>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</si>
  <si>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採納｜作為 H10 營收份額依據登錄（Andy 15:49）。</t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</si>
  <si>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</si>
  <si>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</si>
  <si>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</si>
  <si>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</si>
  <si>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</si>
  <si>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</si>
  <si>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</si>
  <si>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</si>
  <si>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</si>
  <si>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</si>
  <si>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維持待查｜等級 3 彙整，待一手確認後才可入 SRC_Price。</t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</si>
  <si>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</si>
  <si>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</si>
  <si>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</si>
  <si>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</si>
  <si>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</si>
  <si>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</si>
  <si>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</si>
  <si>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</si>
  <si>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</si>
  <si>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</si>
  <si>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</si>
  <si>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</si>
  <si>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</si>
  <si>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</si>
  <si>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</si>
  <si>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</si>
  <si>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</si>
  <si>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</si>
  <si>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</si>
  <si>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</si>
  <si>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</si>
  <si>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</si>
  <si>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</si>
  <si>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</si>
  <si>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</si>
  <si>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</si>
  <si>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</si>
  <si>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</si>
  <si>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</si>
  <si>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</si>
  <si>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</si>
  <si>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</si>
  <si>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</si>
  <si>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</si>
  <si>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</si>
  <si>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</si>
  <si>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</si>
  <si>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</si>
  <si>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</si>
  <si>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</si>
  <si>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</si>
  <si>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</si>
  <si>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</si>
  <si>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</si>
  <si>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</si>
  <si>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</si>
  <si>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</si>
  <si>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</si>
  <si>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</si>
  <si>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</si>
  <si>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</si>
  <si>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</si>
  <si>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</si>
  <si>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</si>
  <si>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</si>
  <si>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</si>
  <si>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</si>
  <si>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</si>
  <si>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</si>
  <si>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</si>
  <si>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</si>
  <si>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</si>
  <si>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</si>
  <si>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</si>
  <si>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</si>
  <si>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</si>
  <si>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</si>
  <si>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</si>
  <si>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</si>
  <si>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</si>
  <si>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</si>
  <si>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</si>
  <si>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</si>
  <si>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</si>
  <si>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</si>
  <si>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</si>
  <si>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</si>
  <si>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</si>
  <si>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</si>
  <si>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</si>
  <si>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</si>
  <si>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</si>
  <si>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</si>
  <si>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</si>
  <si>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</si>
  <si>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</si>
  <si>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</si>
  <si>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</si>
  <si>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</si>
  <si>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</si>
  <si>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並列｜洩漏數字有爭議（Microsoft 稱不準）；SRC_DEM_018 v5.36 起已只作對照列。</t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</si>
  <si>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</si>
  <si>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</si>
  <si>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</si>
  <si>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</si>
  <si>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</si>
  <si>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</si>
  <si>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</si>
  <si>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</si>
  <si>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</si>
  <si>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</si>
  <si>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</si>
  <si>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</si>
  <si>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</si>
  <si>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</si>
  <si>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</si>
  <si>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</si>
  <si>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</si>
  <si>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</si>
  <si>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</si>
  <si>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</si>
  <si>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</si>
  <si>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</si>
  <si>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</si>
  <si>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</si>
  <si>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</si>
  <si>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</si>
  <si>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</si>
  <si>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</si>
  <si>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</si>
  <si>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</si>
  <si>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</si>
  <si>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</si>
  <si>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</si>
  <si>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</si>
  <si>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</si>
  <si>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</si>
  <si>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</si>
  <si>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</si>
  <si>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</si>
  <si>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</si>
  <si>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</si>
  <si>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</si>
  <si>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</si>
  <si>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</si>
  <si>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</si>
  <si>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</si>
  <si>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</si>
  <si>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</si>
  <si>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</si>
  <si>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</si>
  <si>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</si>
  <si>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</si>
  <si>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</si>
  <si>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</si>
  <si>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</si>
  <si>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</si>
  <si>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</si>
  <si>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</si>
  <si>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</si>
  <si>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</si>
  <si>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</si>
  <si>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</si>
  <si>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</si>
  <si>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</si>
  <si>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</si>
  <si>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</si>
  <si>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</si>
  <si>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</si>
  <si>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</si>
  <si>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</si>
  <si>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</si>
  <si>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</si>
  <si>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</si>
  <si>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</si>
  <si>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</si>
  <si>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</si>
  <si>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</si>
  <si>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</si>
  <si>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</si>
  <si>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</si>
  <si>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</si>
  <si>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</si>
  <si>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</si>
  <si>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</si>
  <si>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</si>
  <si>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</si>
  <si>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</si>
  <si>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</si>
  <si>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</si>
  <si>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</si>
  <si>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</si>
  <si>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</si>
  <si>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</si>
  <si>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</si>
  <si>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</si>
  <si>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</si>
  <si>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</si>
  <si>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</si>
  <si>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</si>
  <si>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</si>
  <si>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</si>
  <si>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</si>
  <si>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</si>
  <si>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</si>
  <si>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</si>
  <si>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</si>
  <si>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</si>
  <si>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</si>
  <si>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</si>
  <si>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</si>
  <si>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</si>
  <si>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</si>
  <si>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</si>
  <si>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</si>
  <si>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</si>
  <si>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</si>
  <si>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</si>
  <si>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</si>
  <si>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</si>
  <si>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</si>
  <si>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</si>
  <si>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</si>
  <si>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</si>
  <si>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</si>
  <si>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</si>
  <si>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</si>
  <si>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</si>
  <si>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</si>
  <si>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</si>
  <si>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</si>
  <si>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</si>
  <si>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</si>
  <si>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</si>
  <si>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</si>
  <si>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</si>
  <si>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</si>
  <si>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</si>
  <si>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</si>
  <si>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</si>
  <si>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</si>
  <si>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</si>
  <si>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</si>
  <si>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</si>
  <si>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</si>
  <si>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</si>
  <si>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</si>
  <si>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</si>
  <si>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</si>
  <si>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</si>
  <si>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</si>
  <si>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</si>
  <si>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</si>
  <si>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</si>
  <si>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</si>
  <si>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</si>
  <si>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</si>
  <si>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</si>
  <si>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</si>
  <si>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</si>
  <si>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</si>
  <si>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</si>
  <si>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</si>
  <si>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</si>
  <si>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</si>
  <si>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</si>
  <si>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</si>
  <si>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</si>
  <si>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</si>
  <si>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</si>
  <si>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</si>
  <si>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</si>
  <si>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</si>
  <si>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</si>
  <si>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</si>
  <si>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</si>
  <si>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</si>
  <si>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</si>
  <si>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</si>
  <si>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</si>
  <si>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</si>
  <si>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</si>
  <si>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</si>
  <si>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</si>
  <si>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</si>
  <si>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</si>
  <si>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</si>
  <si>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</si>
  <si>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</si>
  <si>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</si>
  <si>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</si>
  <si>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</si>
  <si>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</si>
  <si>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</si>
  <si>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</si>
  <si>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</si>
  <si>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</si>
  <si>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</si>
  <si>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</si>
  <si>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</si>
  <si>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</si>
  <si>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</si>
  <si>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</si>
  <si>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</si>
  <si>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</si>
  <si>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</si>
  <si>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</si>
  <si>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</si>
  <si>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</si>
  <si>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</si>
  <si>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</si>
  <si>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</si>
  <si>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</si>
  <si>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</si>
  <si>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</si>
  <si>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</si>
  <si>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</si>
  <si>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</si>
  <si>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</si>
  <si>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</si>
  <si>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</si>
  <si>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</si>
  <si>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</si>
  <si>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</si>
  <si>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</si>
  <si>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</si>
  <si>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</si>
  <si>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</si>
  <si>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t xml:space="preserve">服務條件查證（A 段）：Q1 OpenAI 標準端點每用戶輸出速度（AA 與 OpenRouter 各層級）；Q3 大批次 decode 獨立點（DeepSeek profile 2,324、線上服務 1,850、vLLM GB200 10.1K）；Q4 MLPerf v6.0 server GB200／GB300 72 GPU（4,668／5,562）與第二來源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</si>
  <si>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</si>
  <si>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</si>
  <si>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</si>
  <si>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</si>
  <si>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</si>
  <si>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t xml:space="preserve">採納（E1–E4）；Hopper 與 GB200 的 η_d 倍數未寫入（停損規則，見 Decisions ETA-E1H／ETA-E1G）</t>
  </si>
  <si>
    <t xml:space="preserve">讀取者：chat 端（A 段查證）；CC 轉入｜Andy 2026-10-16 18:18「都依建議」（E1–E4）；E4 為 18:22 決定 (b)；細節預設由 chat 端補充，可撤回｜OpenAI／Azure 的每 GPU 批次已搜尋未找到；ChatGPT 網頁版獨立量測已搜尋未找到；兩家量測商系統性相差 1.5–2 倍</t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</si>
  <si>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</si>
  <si>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</si>
  <si>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t xml:space="preserve">混合（見各 SRC 紀錄）</t>
  </si>
  <si>
    <t xml:space="preserve">大批次低估查證（A 段，PR #84）：MLPerf v6.0 offline（GB200 NVL72 6,752、GB300 NVL72 8,987；同輪 CoreWeave 7,323、Nebius 9,360）；TensorRT-LLM H200 8 GPU 並行 1,024 每 GPU 1,436；H200 規格 141 GB／4.8 TB/s</t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</si>
  <si>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大批次低估查證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大批次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/mlperf_v6.0_deepseek-r1.csv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H200 </t>
    </r>
    <r>
      <rPr>
        <sz val="10"/>
        <color rgb="FF0000FF"/>
        <rFont val="Noto Sans CJK SC"/>
        <family val="2"/>
      </rPr>
      <t xml:space="preserve">規格頁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</si>
  <si>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Nebius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MLCommons </t>
    </r>
    <r>
      <rPr>
        <sz val="10"/>
        <color rgb="FF0000FF"/>
        <rFont val="Noto Sans CJK SC"/>
        <family val="2"/>
      </rPr>
      <t xml:space="preserve">稽核）</t>
    </r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</si>
  <si>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V20–V22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</t>
    </r>
  </si>
  <si>
    <t xml:space="preserve">無大批次（offline）驗證點；V1–V3 為硬上限</t>
  </si>
  <si>
    <t xml:space="preserve">新增 V20–V22（通過帶 0.5–2.0）；V1–V3 改軟上限</t>
  </si>
  <si>
    <t xml:space="preserve">採納為驗證材料（不用於校準）；V1–V3 軟上限（MLPerf server TPOT 80 ms 是 p99，模型取平均）</t>
  </si>
  <si>
    <t xml:space="preserve">讀取者：chat 端（A 段查證）；CC 轉入｜Andy 2026-10-16 21:55「both ok」（發本段、V2 改軟上限）；其餘細節為 chat 端預設，可撤回｜V22 無第二來源；H200 規格為一手（NVIDIA 頁）但模型 Hopper 欄仍用 H100 規格</t>
  </si>
  <si>
    <r>
      <rPr>
        <sz val="10"/>
        <color rgb="FF000000"/>
        <rFont val="Arial"/>
        <family val="0"/>
        <charset val="1"/>
      </rPr>
      <t xml:space="preserve">SRC_PERF_079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SRC_PERF_083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SRC_HW_068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</si>
  <si>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與研發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下游（</t>
    </r>
    <r>
      <rPr>
        <sz val="10"/>
        <color rgb="FF000000"/>
        <rFont val="Arial"/>
        <family val="0"/>
        <charset val="1"/>
      </rPr>
      <t xml:space="preserve">CAL_BatchEtaD GB200</t>
    </r>
    <r>
      <rPr>
        <sz val="10"/>
        <color rgb="FF000000"/>
        <rFont val="Noto Sans CJK SC"/>
        <family val="2"/>
      </rPr>
      <t xml:space="preserve">）</t>
    </r>
  </si>
  <si>
    <t xml:space="preserve">利害關係方（見各 SRC 紀錄）</t>
  </si>
  <si>
    <r>
      <rPr>
        <sz val="10"/>
        <color rgb="FF0000FF"/>
        <rFont val="Arial"/>
        <family val="0"/>
        <charset val="1"/>
      </rPr>
      <t xml:space="preserve">PUE </t>
    </r>
    <r>
      <rPr>
        <sz val="10"/>
        <color rgb="FF0000FF"/>
        <rFont val="Noto Sans CJK SC"/>
        <family val="2"/>
      </rPr>
      <t xml:space="preserve">外部對照：</t>
    </r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全機隊年均 </t>
    </r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Q2 TTM 1.09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Uptime Institute 2025 </t>
    </r>
    <r>
      <rPr>
        <sz val="10"/>
        <color rgb="FF0000FF"/>
        <rFont val="Noto Sans CJK SC"/>
        <family val="2"/>
      </rPr>
      <t xml:space="preserve">全球平均 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（超大規模 </t>
    </r>
    <r>
      <rPr>
        <sz val="10"/>
        <color rgb="FF0000FF"/>
        <rFont val="Arial"/>
        <family val="0"/>
        <charset val="1"/>
      </rPr>
      <t xml:space="preserve">1.10–1.15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colo</t>
    </r>
    <r>
      <rPr>
        <sz val="10"/>
        <color rgb="FF0000FF"/>
        <rFont val="Noto Sans CJK SC"/>
        <family val="2"/>
      </rPr>
      <t xml:space="preserve">／企業 </t>
    </r>
    <r>
      <rPr>
        <sz val="10"/>
        <color rgb="FF0000FF"/>
        <rFont val="Arial"/>
        <family val="0"/>
        <charset val="1"/>
      </rPr>
      <t xml:space="preserve">1.58–1.80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mgrid </t>
    </r>
    <r>
      <rPr>
        <sz val="10"/>
        <color rgb="FF0000FF"/>
        <rFont val="Noto Sans CJK SC"/>
        <family val="2"/>
      </rPr>
      <t xml:space="preserve">轉述）</t>
    </r>
  </si>
  <si>
    <r>
      <rPr>
        <sz val="10"/>
        <color rgb="FF0000FF"/>
        <rFont val="Arial"/>
        <family val="0"/>
        <charset val="1"/>
      </rPr>
      <t xml:space="preserve">https://datacenters.google/efficiency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mgrid.org 2025-10-01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年度調查（原 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未讀）；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</si>
  <si>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）／中立調查（</t>
    </r>
    <r>
      <rPr>
        <sz val="10"/>
        <color rgb="FF0000FF"/>
        <rFont val="Arial"/>
        <family val="0"/>
        <charset val="1"/>
      </rPr>
      <t xml:space="preserve">Uptime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</si>
  <si>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D9:F9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PUE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</si>
  <si>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</si>
  <si>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全機隊）；</t>
    </r>
    <r>
      <rPr>
        <sz val="10"/>
        <color rgb="FF0000FF"/>
        <rFont val="Arial"/>
        <family val="0"/>
        <charset val="1"/>
      </rPr>
      <t xml:space="preserve">1.54</t>
    </r>
    <r>
      <rPr>
        <sz val="10"/>
        <color rgb="FF0000FF"/>
        <rFont val="Noto Sans CJK SC"/>
        <family val="2"/>
      </rPr>
      <t xml:space="preserve">（全球平均）</t>
    </r>
  </si>
  <si>
    <t xml:space="preserve">並列（Analogy 對照，數值不改）</t>
  </si>
  <si>
    <t xml:space="preserve">v13.1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</si>
  <si>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定案（工作單），可撤回｜全機隊或一般機房≠液冷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設施，故標 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Uptime </t>
    </r>
    <r>
      <rPr>
        <sz val="10"/>
        <color rgb="FF0000FF"/>
        <rFont val="Noto Sans CJK SC"/>
        <family val="2"/>
      </rPr>
      <t xml:space="preserve">原文未讀</t>
    </r>
  </si>
  <si>
    <r>
      <rPr>
        <sz val="10"/>
        <color rgb="FF000000"/>
        <rFont val="Arial"/>
        <family val="0"/>
        <charset val="1"/>
      </rPr>
      <t xml:space="preserve">SRC_DC_018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SRC_DC_019</t>
    </r>
  </si>
  <si>
    <t xml:space="preserve">不改任何 IF_（PUE 數值不變）</t>
  </si>
  <si>
    <t xml:space="preserve">利害關係方（Google）／中立（Uptime）</t>
  </si>
  <si>
    <t xml:space="preserve">並列（Analogy 對照，數值不改）｜v13.1 新增列（非 106 列積壓）</t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</si>
  <si>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半價牌價：</t>
    </r>
    <r>
      <rPr>
        <sz val="10"/>
        <color rgb="FF0000FF"/>
        <rFont val="Arial"/>
        <family val="0"/>
        <charset val="1"/>
      </rPr>
      <t xml:space="preserve">OpenAI Batch API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cost discount</t>
    </r>
    <r>
      <rPr>
        <sz val="10"/>
        <color rgb="FF0000FF"/>
        <rFont val="Noto Sans CJK SC"/>
        <family val="2"/>
      </rPr>
      <t xml:space="preserve">』；</t>
    </r>
    <r>
      <rPr>
        <sz val="10"/>
        <color rgb="FF0000FF"/>
        <rFont val="Arial"/>
        <family val="0"/>
        <charset val="1"/>
      </rPr>
      <t xml:space="preserve">Anthropic Message Batches</t>
    </r>
    <r>
      <rPr>
        <sz val="10"/>
        <color rgb="FF0000FF"/>
        <rFont val="Noto Sans CJK SC"/>
        <family val="2"/>
      </rPr>
      <t xml:space="preserve">『</t>
    </r>
    <r>
      <rPr>
        <sz val="10"/>
        <color rgb="FF0000FF"/>
        <rFont val="Arial"/>
        <family val="0"/>
        <charset val="1"/>
      </rPr>
      <t xml:space="preserve">50% of the standard API prices</t>
    </r>
    <r>
      <rPr>
        <sz val="10"/>
        <color rgb="FF0000FF"/>
        <rFont val="Noto Sans CJK SC"/>
        <family val="2"/>
      </rPr>
      <t xml:space="preserve">』</t>
    </r>
  </si>
  <si>
    <r>
      <rPr>
        <sz val="10"/>
        <color rgb="FF0000FF"/>
        <rFont val="Arial"/>
        <family val="0"/>
        <charset val="1"/>
      </rPr>
      <t xml:space="preserve">https://developers.openai.com/api/docs/guides/batch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https://platform.claude.com/docs/en/build-with-claude/batch-processing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</si>
  <si>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</t>
    </r>
  </si>
  <si>
    <r>
      <rPr>
        <sz val="10"/>
        <color rgb="FF0000FF"/>
        <rFont val="Arial"/>
        <family val="0"/>
        <charset val="1"/>
      </rPr>
      <t xml:space="preserve">Cap_In C12</t>
    </r>
    <r>
      <rPr>
        <sz val="10"/>
        <color rgb="FF0000FF"/>
        <rFont val="Noto Sans CJK SC"/>
        <family val="2"/>
      </rPr>
      <t xml:space="preserve">（有效折扣，</t>
    </r>
    <r>
      <rPr>
        <sz val="10"/>
        <color rgb="FF0000FF"/>
        <rFont val="Arial"/>
        <family val="0"/>
        <charset val="1"/>
      </rPr>
      <t xml:space="preserve">Gov_Map GM441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</si>
  <si>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0.2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0.1–0.4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</si>
  <si>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Batch </t>
    </r>
    <r>
      <rPr>
        <sz val="10"/>
        <color rgb="FF0000FF"/>
        <rFont val="Noto Sans CJK SC"/>
        <family val="2"/>
      </rPr>
      <t xml:space="preserve">價＝標準價 </t>
    </r>
    <r>
      <rPr>
        <sz val="10"/>
        <color rgb="FF0000FF"/>
        <rFont val="Arial"/>
        <family val="0"/>
        <charset val="1"/>
      </rPr>
      <t xml:space="preserve">× 0.5</t>
    </r>
  </si>
  <si>
    <t xml:space="preserve">並列（只確認 Batch 半價；占比與企業議價仍找不到，E333、E334）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</si>
  <si>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定案（工作單），可撤回｜兩家為不同主體，互為第二來源；賣方自訂價屬 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</si>
  <si>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SRC_PRC_045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SRC_PRC_046</t>
    </r>
  </si>
  <si>
    <t xml:space="preserve">不改任何 IF_（有效折扣不變）</t>
  </si>
  <si>
    <t xml:space="preserve">利害關係方（賣方牌價）</t>
  </si>
  <si>
    <t xml:space="preserve">並列（只確認 Batch 半價；占比與企業議價仍找不到，E333、E334）｜v13.1 新增列（非 106 列積壓）</t>
  </si>
  <si>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規格第二來源：</t>
    </r>
    <r>
      <rPr>
        <sz val="10"/>
        <color rgb="FF0000FF"/>
        <rFont val="Arial"/>
        <family val="0"/>
        <charset val="1"/>
      </rPr>
      <t xml:space="preserve">Lenovo Press LP1944 </t>
    </r>
    <r>
      <rPr>
        <sz val="10"/>
        <color rgb="FF0000FF"/>
        <rFont val="Noto Sans CJK SC"/>
        <family val="2"/>
      </rPr>
      <t xml:space="preserve">產品指南 </t>
    </r>
    <r>
      <rPr>
        <sz val="10"/>
        <color rgb="FF0000FF"/>
        <rFont val="Arial"/>
        <family val="0"/>
        <charset val="1"/>
      </rPr>
      <t xml:space="preserve">141 GB HBM3e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SXM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NVL </t>
    </r>
    <r>
      <rPr>
        <sz val="10"/>
        <color rgb="FF0000FF"/>
        <rFont val="Noto Sans CJK SC"/>
        <family val="2"/>
      </rPr>
      <t xml:space="preserve">同值；更新日 </t>
    </r>
    <r>
      <rPr>
        <sz val="10"/>
        <color rgb="FF0000FF"/>
        <rFont val="Arial"/>
        <family val="0"/>
        <charset val="1"/>
      </rPr>
      <t xml:space="preserve">2025-11-07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</si>
  <si>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https://lenovopress.lenovo.com/LP1944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</si>
  <si>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SRC_HW_067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L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E </t>
    </r>
    <r>
      <rPr>
        <sz val="10"/>
        <color rgb="FF0000FF"/>
        <rFont val="Noto Sans CJK SC"/>
        <family val="2"/>
      </rPr>
      <t xml:space="preserve">欄的 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條件）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</si>
  <si>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產品頁）</t>
    </r>
  </si>
  <si>
    <r>
      <rPr>
        <sz val="10"/>
        <color rgb="FF0000FF"/>
        <rFont val="Arial"/>
        <family val="0"/>
        <charset val="1"/>
      </rPr>
      <t xml:space="preserve">141 GB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4.8 TB/s</t>
    </r>
  </si>
  <si>
    <t xml:space="preserve">採納（第二來源，數值相同）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</si>
  <si>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</t>
    </r>
    <r>
      <rPr>
        <sz val="10"/>
        <color rgb="FF0000FF"/>
        <rFont val="Arial"/>
        <family val="0"/>
        <charset val="1"/>
      </rPr>
      <t xml:space="preserve">Lenovo </t>
    </r>
    <r>
      <rPr>
        <sz val="10"/>
        <color rgb="FF0000FF"/>
        <rFont val="Noto Sans CJK SC"/>
        <family val="2"/>
      </rPr>
      <t xml:space="preserve">為伺服器 </t>
    </r>
    <r>
      <rPr>
        <sz val="10"/>
        <color rgb="FF0000FF"/>
        <rFont val="Arial"/>
        <family val="0"/>
        <charset val="1"/>
      </rPr>
      <t xml:space="preserve">OEM</t>
    </r>
    <r>
      <rPr>
        <sz val="10"/>
        <color rgb="FF0000FF"/>
        <rFont val="Noto Sans CJK SC"/>
        <family val="2"/>
      </rPr>
      <t xml:space="preserve">，有銷售誘因，但與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為不同主體</t>
    </r>
  </si>
  <si>
    <r>
      <rPr>
        <sz val="10"/>
        <color rgb="FF000000"/>
        <rFont val="Arial"/>
        <family val="0"/>
        <charset val="1"/>
      </rPr>
      <t xml:space="preserve">SRC_HW_069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SRC_HW_070</t>
    </r>
  </si>
  <si>
    <t xml:space="preserve">不改任何 IF_（規格值不變）</t>
  </si>
  <si>
    <t xml:space="preserve">採納（第二來源，數值相同）｜v13.1 新增列（非 106 列積壓）</t>
  </si>
  <si>
    <t xml:space="preserve">E384</t>
  </si>
  <si>
    <r>
      <rPr>
        <sz val="10"/>
        <color rgb="FF0000FF"/>
        <rFont val="Arial"/>
        <family val="0"/>
        <charset val="1"/>
      </rPr>
      <t xml:space="preserve">MLCommons v5.1 DeepSeek-R1 </t>
    </r>
    <r>
      <rPr>
        <sz val="10"/>
        <color rgb="FF0000FF"/>
        <rFont val="Noto Sans CJK SC"/>
        <family val="2"/>
      </rPr>
      <t xml:space="preserve">原始資料（</t>
    </r>
    <r>
      <rPr>
        <sz val="10"/>
        <color rgb="FF0000FF"/>
        <rFont val="Arial"/>
        <family val="0"/>
        <charset val="1"/>
      </rPr>
      <t xml:space="preserve">summary_results.json</t>
    </r>
    <r>
      <rPr>
        <sz val="10"/>
        <color rgb="FF0000FF"/>
        <rFont val="Noto Sans CJK SC"/>
        <family val="2"/>
      </rPr>
      <t xml:space="preserve">，共 </t>
    </r>
    <r>
      <rPr>
        <sz val="10"/>
        <color rgb="FF0000FF"/>
        <rFont val="Arial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列）找不到 </t>
    </r>
    <r>
      <rPr>
        <sz val="10"/>
        <color rgb="FF0000FF"/>
        <rFont val="Arial"/>
        <family val="0"/>
        <charset val="1"/>
      </rPr>
      <t xml:space="preserve">H200 Server </t>
    </r>
    <r>
      <rPr>
        <sz val="10"/>
        <color rgb="FF0000FF"/>
        <rFont val="Noto Sans CJK SC"/>
        <family val="2"/>
      </rPr>
      <t xml:space="preserve">列，也找不到 </t>
    </r>
    <r>
      <rPr>
        <sz val="10"/>
        <color rgb="FF0000FF"/>
        <rFont val="Arial"/>
        <family val="0"/>
        <charset val="1"/>
      </rPr>
      <t xml:space="preserve">556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HPE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 </t>
    </r>
    <r>
      <rPr>
        <sz val="10"/>
        <color rgb="FF0000FF"/>
        <rFont val="Noto Sans CJK SC"/>
        <family val="2"/>
      </rPr>
      <t xml:space="preserve">一列（每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</si>
  <si>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https://raw.githubusercontent.com/mlcommons/inference_results_v5.1/main/summary_results.json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docs/evidence/20261017_D15/04_mlperf51.py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</si>
  <si>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SRC_PERF_060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Checks V1 </t>
    </r>
    <r>
      <rPr>
        <sz val="10"/>
        <color rgb="FF0000FF"/>
        <rFont val="Noto Sans CJK SC"/>
        <family val="2"/>
      </rPr>
      <t xml:space="preserve">的對照值）</t>
    </r>
  </si>
  <si>
    <r>
      <rPr>
        <sz val="10"/>
        <color rgb="FF0000FF"/>
        <rFont val="Arial"/>
        <family val="0"/>
        <charset val="1"/>
      </rPr>
      <t xml:space="preserve">556 tok/s/GPU</t>
    </r>
    <r>
      <rPr>
        <sz val="10"/>
        <color rgb="FF0000FF"/>
        <rFont val="Noto Sans CJK SC"/>
        <family val="2"/>
      </rPr>
      <t xml:space="preserve">（轉引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查證，未回原文）</t>
    </r>
  </si>
  <si>
    <t xml:space="preserve">原始資料中無此值</t>
  </si>
  <si>
    <t xml:space="preserve">待查（SRC_PERF_060 標『待回查』，V1 對照值未回查）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</si>
  <si>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筆第二來源選 </t>
    </r>
    <r>
      <rPr>
        <sz val="10"/>
        <color rgb="FF0000FF"/>
        <rFont val="Arial"/>
        <family val="0"/>
        <charset val="1"/>
      </rPr>
      <t xml:space="preserve">SRC_PERF_060 </t>
    </r>
    <r>
      <rPr>
        <sz val="10"/>
        <color rgb="FF0000FF"/>
        <rFont val="Noto Sans CJK SC"/>
        <family val="2"/>
      </rPr>
      <t xml:space="preserve">是代理的選擇，</t>
    </r>
    <r>
      <rPr>
        <sz val="10"/>
        <color rgb="FF0000FF"/>
        <rFont val="Arial"/>
        <family val="0"/>
        <charset val="1"/>
      </rPr>
      <t xml:space="preserve">Andy 2026-10-17 </t>
    </r>
    <r>
      <rPr>
        <sz val="10"/>
        <color rgb="FF0000FF"/>
        <rFont val="Noto Sans CJK SC"/>
        <family val="2"/>
      </rPr>
      <t xml:space="preserve">照預設；下一步：回查 </t>
    </r>
    <r>
      <rPr>
        <sz val="10"/>
        <color rgb="FF0000FF"/>
        <rFont val="Arial"/>
        <family val="0"/>
        <charset val="1"/>
      </rPr>
      <t xml:space="preserve">3A </t>
    </r>
    <r>
      <rPr>
        <sz val="10"/>
        <color rgb="FF0000FF"/>
        <rFont val="Noto Sans CJK SC"/>
        <family val="2"/>
      </rPr>
      <t xml:space="preserve">原表 </t>
    </r>
    <r>
      <rPr>
        <sz val="10"/>
        <color rgb="FF0000FF"/>
        <rFont val="Arial"/>
        <family val="0"/>
        <charset val="1"/>
      </rPr>
      <t xml:space="preserve">556 </t>
    </r>
    <r>
      <rPr>
        <sz val="10"/>
        <color rgb="FF0000FF"/>
        <rFont val="Noto Sans CJK SC"/>
        <family val="2"/>
      </rPr>
      <t xml:space="preserve">的出處</t>
    </r>
  </si>
  <si>
    <t xml:space="preserve">不改任何 IF_（V1 為驗證項，數值不變）</t>
  </si>
  <si>
    <t xml:space="preserve">待查（SRC_PERF_060 標『待回查』，V1 對照值未回查）｜v13.1 新增列（非 106 列積壓）</t>
  </si>
  <si>
    <t xml:space="preserve">E385</t>
  </si>
  <si>
    <r>
      <rPr>
        <sz val="10"/>
        <color rgb="FF0000FF"/>
        <rFont val="Arial"/>
        <family val="0"/>
        <charset val="1"/>
      </rPr>
      <t xml:space="preserve">SRC_PERF_081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TensorRT-LLM H200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1,436</t>
    </r>
    <r>
      <rPr>
        <sz val="10"/>
        <color rgb="FF0000FF"/>
        <rFont val="Noto Sans CJK SC"/>
        <family val="2"/>
      </rPr>
      <t xml:space="preserve">）的近似口徑對照：</t>
    </r>
    <r>
      <rPr>
        <sz val="10"/>
        <color rgb="FF0000FF"/>
        <rFont val="Arial"/>
        <family val="0"/>
        <charset val="1"/>
      </rPr>
      <t xml:space="preserve">MLPerf v5.1 Open </t>
    </r>
    <r>
      <rPr>
        <sz val="10"/>
        <color rgb="FF0000FF"/>
        <rFont val="Noto Sans CJK SC"/>
        <family val="2"/>
      </rPr>
      <t xml:space="preserve">組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Cray XD670 8× H200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 1,113.1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dstack 2025-03 SGLang Offline </t>
    </r>
    <r>
      <rPr>
        <sz val="10"/>
        <color rgb="FF0000FF"/>
        <rFont val="Noto Sans CJK SC"/>
        <family val="2"/>
      </rPr>
      <t xml:space="preserve">最高 </t>
    </r>
    <r>
      <rPr>
        <sz val="10"/>
        <color rgb="FF0000FF"/>
        <rFont val="Arial"/>
        <family val="0"/>
        <charset val="1"/>
      </rPr>
      <t xml:space="preserve">6,311 tok/s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 GPU</t>
    </r>
    <r>
      <rPr>
        <sz val="10"/>
        <color rgb="FF0000FF"/>
        <rFont val="Noto Sans CJK SC"/>
        <family val="2"/>
      </rPr>
      <t xml:space="preserve">，每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</si>
  <si>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MLCommons summary_results.json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5.1-0375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https://dstack.ai/blog/h200-mi300x-deepskeek-benchmark/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</si>
  <si>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</t>
    </r>
    <r>
      <rPr>
        <sz val="10"/>
        <color rgb="FF0000FF"/>
        <rFont val="Noto Sans CJK SC"/>
        <family val="2"/>
      </rPr>
      <t xml:space="preserve">）／中立偏工具商（</t>
    </r>
    <r>
      <rPr>
        <sz val="10"/>
        <color rgb="FF0000FF"/>
        <rFont val="Arial"/>
        <family val="0"/>
        <charset val="1"/>
      </rPr>
      <t xml:space="preserve">dstack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</si>
  <si>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Checks V22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SRC_PERF_081 </t>
    </r>
    <r>
      <rPr>
        <sz val="10"/>
        <color rgb="FF0000FF"/>
        <rFont val="Noto Sans CJK SC"/>
        <family val="2"/>
      </rPr>
      <t xml:space="preserve">單一來源）</t>
    </r>
  </si>
  <si>
    <r>
      <rPr>
        <sz val="10"/>
        <color rgb="FF0000FF"/>
        <rFont val="Arial"/>
        <family val="0"/>
        <charset val="1"/>
      </rPr>
      <t xml:space="preserve">1,436.2</t>
    </r>
    <r>
      <rPr>
        <sz val="10"/>
        <color rgb="FF0000FF"/>
        <rFont val="Noto Sans CJK SC"/>
        <family val="2"/>
      </rPr>
      <t xml:space="preserve">（單一來源）</t>
    </r>
  </si>
  <si>
    <r>
      <rPr>
        <sz val="10"/>
        <color rgb="FF0000FF"/>
        <rFont val="Arial"/>
        <family val="0"/>
        <charset val="1"/>
      </rPr>
      <t xml:space="preserve">1,113.1</t>
    </r>
    <r>
      <rPr>
        <sz val="10"/>
        <color rgb="FF0000FF"/>
        <rFont val="Noto Sans CJK SC"/>
        <family val="2"/>
      </rPr>
      <t xml:space="preserve">；約 </t>
    </r>
    <r>
      <rPr>
        <sz val="10"/>
        <color rgb="FF0000FF"/>
        <rFont val="Arial"/>
        <family val="0"/>
        <charset val="1"/>
      </rPr>
      <t xml:space="preserve">789</t>
    </r>
    <r>
      <rPr>
        <sz val="10"/>
        <color rgb="FF0000FF"/>
        <rFont val="Noto Sans CJK SC"/>
        <family val="2"/>
      </rPr>
      <t xml:space="preserve">（皆非同口徑）</t>
    </r>
  </si>
  <si>
    <t xml:space="preserve">並列（近似口徑，不登錄 SRC；不能消除 V22 的單一來源警示）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</si>
  <si>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段寫入｜工作單未要求登錄為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，列待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判斷｜模型 </t>
    </r>
    <r>
      <rPr>
        <sz val="10"/>
        <color rgb="FF0000FF"/>
        <rFont val="Arial"/>
        <family val="0"/>
        <charset val="1"/>
      </rPr>
      <t xml:space="preserve">÷ 1,113 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1.29</t>
    </r>
    <r>
      <rPr>
        <sz val="10"/>
        <color rgb="FF0000FF"/>
        <rFont val="Noto Sans CJK SC"/>
        <family val="2"/>
      </rPr>
      <t xml:space="preserve">，但並行數、長度、資料集不同</t>
    </r>
  </si>
  <si>
    <t xml:space="preserve">不改任何 IF_</t>
  </si>
  <si>
    <t xml:space="preserve">並列（近似口徑，不登錄 SRC；不能消除 V22 的單一來源警示）｜v13.1 新增列（非 106 列積壓）</t>
  </si>
  <si>
    <t xml:space="preserve">E386</t>
  </si>
  <si>
    <r>
      <rPr>
        <sz val="10"/>
        <color rgb="FF0000FF"/>
        <rFont val="Arial"/>
        <family val="0"/>
        <charset val="1"/>
      </rPr>
      <t xml:space="preserve">Inputs D19:F19</t>
    </r>
    <r>
      <rPr>
        <sz val="10"/>
        <color rgb="FF0000FF"/>
        <rFont val="Noto Sans CJK SC"/>
        <family val="2"/>
      </rPr>
      <t xml:space="preserve">（機械與散熱）外部管道：</t>
    </r>
    <r>
      <rPr>
        <sz val="10"/>
        <color rgb="FF0000FF"/>
        <rFont val="Arial"/>
        <family val="0"/>
        <charset val="1"/>
      </rPr>
      <t xml:space="preserve">datacentres.com </t>
    </r>
    <r>
      <rPr>
        <sz val="10"/>
        <color rgb="FF0000FF"/>
        <rFont val="Noto Sans CJK SC"/>
        <family val="2"/>
      </rPr>
      <t xml:space="preserve">寫 </t>
    </r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（機械）、總額 </t>
    </r>
    <r>
      <rPr>
        <sz val="10"/>
        <color rgb="FF0000FF"/>
        <rFont val="Arial"/>
        <family val="0"/>
        <charset val="1"/>
      </rPr>
      <t xml:space="preserve">11.3 $M/MW</t>
    </r>
    <r>
      <rPr>
        <sz val="10"/>
        <color rgb="FF0000FF"/>
        <rFont val="Noto Sans CJK SC"/>
        <family val="2"/>
      </rPr>
      <t xml:space="preserve">，未附原始出處；</t>
    </r>
    <r>
      <rPr>
        <sz val="10"/>
        <color rgb="FF0000FF"/>
        <rFont val="Arial"/>
        <family val="0"/>
        <charset val="1"/>
      </rPr>
      <t xml:space="preserve">Cushman &amp; Wakefield 2026 </t>
    </r>
    <r>
      <rPr>
        <sz val="10"/>
        <color rgb="FF0000FF"/>
        <rFont val="Noto Sans CJK SC"/>
        <family val="2"/>
      </rPr>
      <t xml:space="preserve">指南的分項在付費牆後</t>
    </r>
  </si>
  <si>
    <r>
      <rPr>
        <sz val="10"/>
        <color rgb="FF0000FF"/>
        <rFont val="Arial"/>
        <family val="0"/>
        <charset val="1"/>
      </rPr>
      <t xml:space="preserve">https://www.datacentres.com/guides/data-centre-costs-explained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docs/evidence/20261017_D15/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</si>
  <si>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（來源未附出處）</t>
    </r>
  </si>
  <si>
    <t xml:space="preserve">Inputs D19:F19</t>
  </si>
  <si>
    <r>
      <rPr>
        <sz val="10"/>
        <color rgb="FF0000FF"/>
        <rFont val="Arial"/>
        <family val="0"/>
        <charset val="1"/>
      </rPr>
      <t xml:space="preserve">2.0–3.2 $M/MW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</si>
  <si>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2–4 $M/MW</t>
    </r>
    <r>
      <rPr>
        <sz val="10"/>
        <color rgb="FF0000FF"/>
        <rFont val="Noto Sans CJK SC"/>
        <family val="2"/>
      </rPr>
      <t xml:space="preserve">（無出處）</t>
    </r>
  </si>
  <si>
    <t xml:space="preserve">不採納（來源未附出處；不作來源，只作參考）</t>
  </si>
  <si>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 </t>
    </r>
    <r>
      <rPr>
        <sz val="10"/>
        <color rgb="FF0000FF"/>
        <rFont val="Arial"/>
        <family val="0"/>
        <charset val="1"/>
      </rPr>
      <t xml:space="preserve">D15 4-2b-2A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B </t>
    </r>
    <r>
      <rPr>
        <sz val="10"/>
        <color rgb="FF0000FF"/>
        <rFont val="Noto Sans CJK SC"/>
        <family val="2"/>
      </rPr>
      <t xml:space="preserve">段寫入｜</t>
    </r>
    <r>
      <rPr>
        <sz val="10"/>
        <color rgb="FF0000FF"/>
        <rFont val="Arial"/>
        <family val="0"/>
        <charset val="1"/>
      </rPr>
      <t xml:space="preserve">Andy 2026-10-17 05:36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C68 </t>
    </r>
    <r>
      <rPr>
        <sz val="10"/>
        <color rgb="FF0000FF"/>
        <rFont val="Noto Sans CJK SC"/>
        <family val="2"/>
      </rPr>
      <t xml:space="preserve">選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D15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項判斷照預設）；</t>
    </r>
    <r>
      <rPr>
        <sz val="10"/>
        <color rgb="FF0000FF"/>
        <rFont val="Arial"/>
        <family val="0"/>
        <charset val="1"/>
      </rPr>
      <t xml:space="preserve">D15-01…09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2026-10-17 05:40 </t>
    </r>
    <r>
      <rPr>
        <sz val="10"/>
        <color rgb="FF0000FF"/>
        <rFont val="Noto Sans CJK SC"/>
        <family val="2"/>
      </rPr>
      <t xml:space="preserve">定案（工作單），可撤回｜外部來源仍找不到；數值不改，決策 </t>
    </r>
    <r>
      <rPr>
        <sz val="10"/>
        <color rgb="FF0000FF"/>
        <rFont val="Arial"/>
        <family val="0"/>
        <charset val="1"/>
      </rPr>
      <t xml:space="preserve">AF3B-Q6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D15-04</t>
    </r>
  </si>
  <si>
    <t xml:space="preserve">不採納（來源未附出處；不作來源，只作參考）｜v13.1 新增列（非 106 列積壓）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</si>
</sst>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sz val="11"/>
      <color theme="1"/>
      <name val="Noto Sans CJK SC"/>
      <family val="2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sz val="9"/>
      <color rgb="FF595959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25" hidden="false" customHeight="true" outlineLevel="0" collapsed="false">
      <c r="A48" s="8" t="s">
        <v>90</v>
      </c>
      <c r="B48" s="6" t="s">
        <v>91</v>
      </c>
    </row>
    <row r="49" customFormat="false" ht="29.25" hidden="false" customHeight="true" outlineLevel="0" collapsed="false">
      <c r="A49" s="9" t="s">
        <v>92</v>
      </c>
      <c r="B49" s="5" t="s">
        <v>93</v>
      </c>
    </row>
    <row r="50" customFormat="false" ht="29.25" hidden="false" customHeight="true" outlineLevel="0" collapsed="false">
      <c r="A50" s="9" t="s">
        <v>94</v>
      </c>
      <c r="B50" s="6" t="s">
        <v>95</v>
      </c>
    </row>
    <row r="51" customFormat="false" ht="29.25" hidden="false" customHeight="true" outlineLevel="0" collapsed="false">
      <c r="A51" s="8" t="s">
        <v>96</v>
      </c>
      <c r="B51" s="5" t="s">
        <v>97</v>
      </c>
    </row>
    <row r="52" customFormat="false" ht="29.25" hidden="false" customHeight="true" outlineLevel="0" collapsed="false">
      <c r="A52" s="9" t="s">
        <v>98</v>
      </c>
      <c r="B52" s="5" t="s">
        <v>99</v>
      </c>
    </row>
    <row r="53" customFormat="false" ht="29.25" hidden="false" customHeight="true" outlineLevel="0" collapsed="false">
      <c r="A53" s="8" t="s">
        <v>100</v>
      </c>
      <c r="B53" s="6" t="s">
        <v>101</v>
      </c>
    </row>
    <row r="54" customFormat="false" ht="29.25" hidden="false" customHeight="true" outlineLevel="0" collapsed="false">
      <c r="A54" s="9" t="s">
        <v>102</v>
      </c>
      <c r="B54" s="5" t="s">
        <v>103</v>
      </c>
    </row>
    <row r="55" customFormat="false" ht="29.85" hidden="false" customHeight="false" outlineLevel="0" collapsed="false">
      <c r="A55" s="10" t="s">
        <v>104</v>
      </c>
      <c r="B55" s="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106</v>
      </c>
    </row>
    <row r="2" customFormat="false" ht="15" hidden="false" customHeight="true" outlineLevel="0" collapsed="false">
      <c r="A2" s="11" t="s">
        <v>107</v>
      </c>
    </row>
    <row r="3" customFormat="false" ht="15" hidden="false" customHeight="true" outlineLevel="0" collapsed="false">
      <c r="A3" s="12" t="s">
        <v>108</v>
      </c>
      <c r="B3" s="12" t="s">
        <v>109</v>
      </c>
      <c r="C3" s="12"/>
      <c r="D3" s="12" t="s">
        <v>110</v>
      </c>
      <c r="E3" s="12" t="s">
        <v>111</v>
      </c>
      <c r="F3" s="12" t="s">
        <v>112</v>
      </c>
      <c r="G3" s="12" t="s">
        <v>113</v>
      </c>
      <c r="H3" s="12" t="s">
        <v>114</v>
      </c>
      <c r="I3" s="13" t="s">
        <v>2</v>
      </c>
    </row>
    <row r="4" customFormat="false" ht="15" hidden="false" customHeight="true" outlineLevel="0" collapsed="false">
      <c r="A4" s="14" t="s">
        <v>115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116</v>
      </c>
      <c r="B5" s="17" t="s">
        <v>117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118</v>
      </c>
      <c r="H5" s="20" t="s">
        <v>119</v>
      </c>
      <c r="I5" s="21" t="s">
        <v>120</v>
      </c>
    </row>
    <row r="6" customFormat="false" ht="15" hidden="false" customHeight="true" outlineLevel="0" collapsed="false">
      <c r="A6" s="22" t="s">
        <v>121</v>
      </c>
      <c r="B6" s="23" t="s">
        <v>122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118</v>
      </c>
      <c r="H6" s="20" t="s">
        <v>123</v>
      </c>
      <c r="I6" s="21" t="s">
        <v>124</v>
      </c>
    </row>
    <row r="7" customFormat="false" ht="15" hidden="false" customHeight="true" outlineLevel="0" collapsed="false">
      <c r="A7" s="14" t="s">
        <v>125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126</v>
      </c>
      <c r="B8" s="17" t="s">
        <v>127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128</v>
      </c>
      <c r="H8" s="20" t="s">
        <v>129</v>
      </c>
      <c r="I8" s="21" t="s">
        <v>130</v>
      </c>
    </row>
    <row r="9" customFormat="false" ht="15" hidden="false" customHeight="true" outlineLevel="0" collapsed="false">
      <c r="A9" s="16" t="s">
        <v>131</v>
      </c>
      <c r="B9" s="17" t="s">
        <v>132</v>
      </c>
      <c r="D9" s="26" t="n">
        <v>1.1</v>
      </c>
      <c r="E9" s="26" t="n">
        <v>1.2</v>
      </c>
      <c r="F9" s="26" t="n">
        <v>1.3</v>
      </c>
      <c r="G9" s="17" t="s">
        <v>133</v>
      </c>
      <c r="H9" s="20" t="s">
        <v>134</v>
      </c>
    </row>
    <row r="10" customFormat="false" ht="15" hidden="false" customHeight="true" outlineLevel="0" collapsed="false">
      <c r="A10" s="22" t="s">
        <v>135</v>
      </c>
      <c r="B10" s="17" t="s">
        <v>127</v>
      </c>
      <c r="D10" s="25" t="n">
        <v>0.7</v>
      </c>
      <c r="E10" s="25" t="n">
        <v>0.8</v>
      </c>
      <c r="F10" s="25" t="n">
        <v>0.9</v>
      </c>
      <c r="G10" s="17" t="s">
        <v>128</v>
      </c>
      <c r="H10" s="6" t="s">
        <v>136</v>
      </c>
    </row>
    <row r="11" customFormat="false" ht="15" hidden="false" customHeight="true" outlineLevel="0" collapsed="false">
      <c r="A11" s="22" t="s">
        <v>137</v>
      </c>
      <c r="B11" s="17" t="s">
        <v>138</v>
      </c>
      <c r="D11" s="26" t="n">
        <v>0.06</v>
      </c>
      <c r="E11" s="26" t="n">
        <v>0.08</v>
      </c>
      <c r="F11" s="26" t="n">
        <v>0.1</v>
      </c>
      <c r="G11" s="17" t="s">
        <v>139</v>
      </c>
      <c r="H11" s="6" t="s">
        <v>140</v>
      </c>
    </row>
    <row r="12" customFormat="false" ht="15" hidden="false" customHeight="true" outlineLevel="0" collapsed="false">
      <c r="A12" s="27" t="s">
        <v>141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142</v>
      </c>
      <c r="B13" s="17" t="s">
        <v>127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133</v>
      </c>
      <c r="H13" s="6" t="s">
        <v>143</v>
      </c>
    </row>
    <row r="14" customFormat="false" ht="15" hidden="false" customHeight="true" outlineLevel="0" collapsed="false">
      <c r="A14" s="22" t="s">
        <v>144</v>
      </c>
      <c r="B14" s="17" t="s">
        <v>145</v>
      </c>
      <c r="D14" s="19" t="n">
        <v>300</v>
      </c>
      <c r="E14" s="19" t="n">
        <v>500</v>
      </c>
      <c r="F14" s="19" t="n">
        <v>800</v>
      </c>
      <c r="G14" s="17" t="s">
        <v>128</v>
      </c>
      <c r="H14" s="6" t="s">
        <v>146</v>
      </c>
    </row>
    <row r="15" customFormat="false" ht="15" hidden="false" customHeight="true" outlineLevel="0" collapsed="false">
      <c r="A15" s="14" t="s">
        <v>147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148</v>
      </c>
      <c r="B16" s="17" t="s">
        <v>149</v>
      </c>
      <c r="D16" s="26" t="n">
        <v>0.02</v>
      </c>
      <c r="E16" s="26" t="n">
        <v>0.02</v>
      </c>
      <c r="F16" s="26" t="n">
        <v>0.02</v>
      </c>
      <c r="G16" s="17" t="s">
        <v>128</v>
      </c>
      <c r="H16" s="6" t="s">
        <v>150</v>
      </c>
    </row>
    <row r="17" customFormat="false" ht="15" hidden="false" customHeight="true" outlineLevel="0" collapsed="false">
      <c r="A17" s="22" t="s">
        <v>151</v>
      </c>
      <c r="B17" s="17" t="s">
        <v>149</v>
      </c>
      <c r="D17" s="26" t="n">
        <v>3</v>
      </c>
      <c r="E17" s="26" t="n">
        <v>3.6</v>
      </c>
      <c r="F17" s="26" t="n">
        <v>4.5</v>
      </c>
      <c r="G17" s="17" t="s">
        <v>128</v>
      </c>
      <c r="H17" s="20" t="s">
        <v>152</v>
      </c>
    </row>
    <row r="18" customFormat="false" ht="15" hidden="false" customHeight="true" outlineLevel="0" collapsed="false">
      <c r="A18" s="22" t="s">
        <v>153</v>
      </c>
      <c r="B18" s="17" t="s">
        <v>149</v>
      </c>
      <c r="D18" s="26" t="n">
        <v>3.8</v>
      </c>
      <c r="E18" s="26" t="n">
        <v>4.5</v>
      </c>
      <c r="F18" s="26" t="n">
        <v>5.5</v>
      </c>
      <c r="G18" s="17" t="s">
        <v>128</v>
      </c>
      <c r="H18" s="20" t="s">
        <v>154</v>
      </c>
    </row>
    <row r="19" customFormat="false" ht="15" hidden="false" customHeight="true" outlineLevel="0" collapsed="false">
      <c r="A19" s="22" t="s">
        <v>155</v>
      </c>
      <c r="B19" s="17" t="s">
        <v>149</v>
      </c>
      <c r="D19" s="26" t="n">
        <v>2</v>
      </c>
      <c r="E19" s="26" t="n">
        <v>2.5</v>
      </c>
      <c r="F19" s="26" t="n">
        <v>3.2</v>
      </c>
      <c r="G19" s="17" t="s">
        <v>128</v>
      </c>
      <c r="H19" s="20" t="s">
        <v>156</v>
      </c>
    </row>
    <row r="20" customFormat="false" ht="15" hidden="false" customHeight="true" outlineLevel="0" collapsed="false">
      <c r="A20" s="22" t="s">
        <v>157</v>
      </c>
      <c r="B20" s="17" t="s">
        <v>149</v>
      </c>
      <c r="D20" s="26" t="n">
        <v>0.3</v>
      </c>
      <c r="E20" s="26" t="n">
        <v>0.4</v>
      </c>
      <c r="F20" s="26" t="n">
        <v>0.5</v>
      </c>
      <c r="G20" s="17" t="s">
        <v>128</v>
      </c>
      <c r="H20" s="20" t="s">
        <v>154</v>
      </c>
    </row>
    <row r="21" customFormat="false" ht="15" hidden="false" customHeight="true" outlineLevel="0" collapsed="false">
      <c r="A21" s="22" t="s">
        <v>158</v>
      </c>
      <c r="B21" s="17" t="s">
        <v>159</v>
      </c>
      <c r="D21" s="25" t="n">
        <v>0.12</v>
      </c>
      <c r="E21" s="25" t="n">
        <v>0.15</v>
      </c>
      <c r="F21" s="25" t="n">
        <v>0.18</v>
      </c>
      <c r="G21" s="17" t="s">
        <v>128</v>
      </c>
      <c r="H21" s="6" t="s">
        <v>160</v>
      </c>
    </row>
    <row r="22" customFormat="false" ht="15" hidden="false" customHeight="true" outlineLevel="0" collapsed="false">
      <c r="A22" s="14" t="s">
        <v>161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162</v>
      </c>
      <c r="B23" s="23" t="s">
        <v>163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164</v>
      </c>
      <c r="H23" s="6" t="s">
        <v>165</v>
      </c>
    </row>
    <row r="24" customFormat="false" ht="15" hidden="false" customHeight="true" outlineLevel="0" collapsed="false">
      <c r="A24" s="22" t="s">
        <v>166</v>
      </c>
      <c r="B24" s="23" t="s">
        <v>163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133</v>
      </c>
      <c r="H24" s="6" t="s">
        <v>167</v>
      </c>
    </row>
    <row r="25" customFormat="false" ht="15" hidden="false" customHeight="true" outlineLevel="0" collapsed="false">
      <c r="A25" s="22" t="s">
        <v>168</v>
      </c>
      <c r="B25" s="23" t="s">
        <v>163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133</v>
      </c>
      <c r="H25" s="6" t="s">
        <v>167</v>
      </c>
    </row>
    <row r="26" customFormat="false" ht="15" hidden="false" customHeight="true" outlineLevel="0" collapsed="false">
      <c r="A26" s="22" t="s">
        <v>169</v>
      </c>
      <c r="B26" s="23" t="s">
        <v>163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133</v>
      </c>
      <c r="H26" s="6" t="s">
        <v>167</v>
      </c>
    </row>
    <row r="27" customFormat="false" ht="15" hidden="false" customHeight="true" outlineLevel="0" collapsed="false">
      <c r="A27" s="22" t="s">
        <v>170</v>
      </c>
      <c r="B27" s="23" t="s">
        <v>163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133</v>
      </c>
      <c r="H27" s="6" t="s">
        <v>167</v>
      </c>
    </row>
    <row r="28" customFormat="false" ht="15" hidden="false" customHeight="true" outlineLevel="0" collapsed="false">
      <c r="A28" s="16" t="s">
        <v>171</v>
      </c>
      <c r="B28" s="17" t="s">
        <v>127</v>
      </c>
      <c r="D28" s="25" t="n">
        <v>0.08</v>
      </c>
      <c r="E28" s="25" t="n">
        <v>0.1</v>
      </c>
      <c r="F28" s="25" t="n">
        <v>0.13</v>
      </c>
      <c r="G28" s="17" t="s">
        <v>128</v>
      </c>
      <c r="H28" s="20" t="s">
        <v>172</v>
      </c>
    </row>
    <row r="29" customFormat="false" ht="15" hidden="false" customHeight="true" outlineLevel="0" collapsed="false">
      <c r="A29" s="14" t="s">
        <v>173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174</v>
      </c>
      <c r="B30" s="17" t="s">
        <v>175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176</v>
      </c>
      <c r="H30" s="6" t="s">
        <v>177</v>
      </c>
    </row>
    <row r="31" customFormat="false" ht="15" hidden="false" customHeight="true" outlineLevel="0" collapsed="false">
      <c r="A31" s="22" t="s">
        <v>178</v>
      </c>
      <c r="B31" s="17" t="s">
        <v>179</v>
      </c>
      <c r="D31" s="25" t="n">
        <v>0.015</v>
      </c>
      <c r="E31" s="25" t="n">
        <v>0.02</v>
      </c>
      <c r="F31" s="25" t="n">
        <v>0.025</v>
      </c>
      <c r="G31" s="17" t="s">
        <v>133</v>
      </c>
      <c r="H31" s="6" t="s">
        <v>180</v>
      </c>
    </row>
    <row r="32" customFormat="false" ht="15" hidden="false" customHeight="true" outlineLevel="0" collapsed="false">
      <c r="A32" s="22" t="s">
        <v>181</v>
      </c>
      <c r="B32" s="17" t="s">
        <v>182</v>
      </c>
      <c r="D32" s="19" t="n">
        <v>50</v>
      </c>
      <c r="E32" s="19" t="n">
        <v>75</v>
      </c>
      <c r="F32" s="19" t="n">
        <v>100</v>
      </c>
      <c r="G32" s="17" t="s">
        <v>128</v>
      </c>
      <c r="H32" s="6" t="s">
        <v>183</v>
      </c>
    </row>
    <row r="33" customFormat="false" ht="15" hidden="false" customHeight="true" outlineLevel="0" collapsed="false">
      <c r="A33" s="22" t="s">
        <v>184</v>
      </c>
      <c r="B33" s="17" t="s">
        <v>182</v>
      </c>
      <c r="D33" s="19" t="n">
        <v>150</v>
      </c>
      <c r="E33" s="19" t="n">
        <v>200</v>
      </c>
      <c r="F33" s="19" t="n">
        <v>250</v>
      </c>
      <c r="G33" s="17" t="s">
        <v>128</v>
      </c>
      <c r="H33" s="6" t="s">
        <v>185</v>
      </c>
    </row>
    <row r="34" customFormat="false" ht="15" hidden="false" customHeight="true" outlineLevel="0" collapsed="false">
      <c r="A34" s="22" t="s">
        <v>186</v>
      </c>
      <c r="B34" s="17" t="s">
        <v>187</v>
      </c>
      <c r="D34" s="26" t="n">
        <v>0.04</v>
      </c>
      <c r="E34" s="26" t="n">
        <v>0.05</v>
      </c>
      <c r="F34" s="26" t="n">
        <v>0.06</v>
      </c>
      <c r="G34" s="17" t="s">
        <v>128</v>
      </c>
      <c r="H34" s="6" t="s">
        <v>188</v>
      </c>
    </row>
    <row r="35" customFormat="false" ht="15" hidden="false" customHeight="true" outlineLevel="0" collapsed="false">
      <c r="A35" s="22" t="s">
        <v>189</v>
      </c>
      <c r="B35" s="17" t="s">
        <v>190</v>
      </c>
      <c r="D35" s="25" t="n">
        <v>0.003</v>
      </c>
      <c r="E35" s="25" t="n">
        <v>0.005</v>
      </c>
      <c r="F35" s="25" t="n">
        <v>0.008</v>
      </c>
      <c r="G35" s="17" t="s">
        <v>133</v>
      </c>
      <c r="H35" s="6" t="s">
        <v>191</v>
      </c>
    </row>
    <row r="36" customFormat="false" ht="15" hidden="false" customHeight="true" outlineLevel="0" collapsed="false">
      <c r="A36" s="30" t="s">
        <v>192</v>
      </c>
      <c r="B36" s="31" t="s">
        <v>163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164</v>
      </c>
      <c r="H36" s="30" t="s">
        <v>193</v>
      </c>
    </row>
    <row r="37" customFormat="false" ht="15" hidden="false" customHeight="true" outlineLevel="0" collapsed="false">
      <c r="A37" s="30" t="s">
        <v>194</v>
      </c>
      <c r="B37" s="34" t="s">
        <v>175</v>
      </c>
      <c r="D37" s="35" t="n">
        <v>0.0025</v>
      </c>
      <c r="E37" s="35" t="n">
        <v>0.005</v>
      </c>
      <c r="F37" s="35" t="n">
        <v>0.01</v>
      </c>
      <c r="G37" s="34" t="s">
        <v>133</v>
      </c>
      <c r="H37" s="30" t="s">
        <v>195</v>
      </c>
    </row>
    <row r="38" customFormat="false" ht="15" hidden="false" customHeight="true" outlineLevel="0" collapsed="false">
      <c r="A38" s="30" t="s">
        <v>196</v>
      </c>
      <c r="B38" s="34" t="s">
        <v>175</v>
      </c>
      <c r="D38" s="35" t="n">
        <v>0.02</v>
      </c>
      <c r="E38" s="35" t="n">
        <v>0.03</v>
      </c>
      <c r="F38" s="35" t="n">
        <v>0.05</v>
      </c>
      <c r="G38" s="34" t="s">
        <v>133</v>
      </c>
      <c r="H38" s="30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198</v>
      </c>
    </row>
    <row r="2" customFormat="false" ht="15" hidden="false" customHeight="true" outlineLevel="0" collapsed="false">
      <c r="A2" s="11" t="s">
        <v>199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200</v>
      </c>
      <c r="C4" s="27" t="s">
        <v>201</v>
      </c>
      <c r="D4" s="27" t="s">
        <v>202</v>
      </c>
      <c r="E4" s="27" t="s">
        <v>203</v>
      </c>
      <c r="F4" s="27" t="s">
        <v>204</v>
      </c>
      <c r="G4" s="27" t="s">
        <v>205</v>
      </c>
      <c r="H4" s="9" t="s">
        <v>206</v>
      </c>
    </row>
    <row r="5" customFormat="false" ht="15" hidden="false" customHeight="true" outlineLevel="0" collapsed="false">
      <c r="A5" s="22" t="s">
        <v>207</v>
      </c>
      <c r="C5" s="6" t="s">
        <v>208</v>
      </c>
      <c r="D5" s="6" t="s">
        <v>209</v>
      </c>
      <c r="E5" s="6" t="s">
        <v>210</v>
      </c>
      <c r="F5" s="6" t="s">
        <v>211</v>
      </c>
      <c r="G5" s="6" t="s">
        <v>212</v>
      </c>
    </row>
    <row r="6" customFormat="false" ht="15" hidden="false" customHeight="true" outlineLevel="0" collapsed="false">
      <c r="A6" s="16" t="s">
        <v>213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214</v>
      </c>
      <c r="C7" s="20" t="s">
        <v>215</v>
      </c>
      <c r="D7" s="20" t="s">
        <v>216</v>
      </c>
      <c r="E7" s="20" t="s">
        <v>216</v>
      </c>
      <c r="F7" s="20" t="s">
        <v>217</v>
      </c>
      <c r="G7" s="20" t="s">
        <v>216</v>
      </c>
    </row>
    <row r="8" customFormat="false" ht="15" hidden="false" customHeight="true" outlineLevel="0" collapsed="false">
      <c r="A8" s="22" t="s">
        <v>218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219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220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221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F12*SR_RU_PxMultLo</f>
        <v>12.6</v>
      </c>
    </row>
    <row r="12" customFormat="false" ht="15" hidden="false" customHeight="true" outlineLevel="0" collapsed="false">
      <c r="A12" s="22" t="s">
        <v>222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223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F12*SR_RU_PxMultHi</f>
        <v>21</v>
      </c>
    </row>
    <row r="14" customFormat="false" ht="54" hidden="false" customHeight="true" outlineLevel="0" collapsed="false">
      <c r="A14" s="22" t="s">
        <v>224</v>
      </c>
      <c r="C14" s="40" t="s">
        <v>225</v>
      </c>
      <c r="D14" s="41" t="s">
        <v>226</v>
      </c>
      <c r="E14" s="41" t="s">
        <v>154</v>
      </c>
      <c r="F14" s="41" t="s">
        <v>227</v>
      </c>
      <c r="G14" s="40" t="s">
        <v>228</v>
      </c>
    </row>
    <row r="15" customFormat="false" ht="54" hidden="false" customHeight="true" outlineLevel="0" collapsed="false">
      <c r="A15" s="22" t="s">
        <v>229</v>
      </c>
      <c r="C15" s="40" t="s">
        <v>230</v>
      </c>
      <c r="D15" s="41" t="s">
        <v>231</v>
      </c>
      <c r="E15" s="40" t="s">
        <v>232</v>
      </c>
      <c r="F15" s="40" t="s">
        <v>233</v>
      </c>
      <c r="G15" s="41" t="s">
        <v>234</v>
      </c>
    </row>
    <row r="16" customFormat="false" ht="54" hidden="false" customHeight="true" outlineLevel="0" collapsed="false">
      <c r="A16" s="22" t="s">
        <v>235</v>
      </c>
      <c r="C16" s="42" t="s">
        <v>236</v>
      </c>
      <c r="D16" s="40" t="s">
        <v>237</v>
      </c>
      <c r="E16" s="40" t="s">
        <v>238</v>
      </c>
      <c r="F16" s="40" t="s">
        <v>239</v>
      </c>
      <c r="G16" s="41" t="s">
        <v>240</v>
      </c>
    </row>
    <row r="17" customFormat="false" ht="54" hidden="false" customHeight="true" outlineLevel="0" collapsed="false">
      <c r="A17" s="22" t="s">
        <v>113</v>
      </c>
      <c r="C17" s="40" t="s">
        <v>133</v>
      </c>
      <c r="D17" s="40" t="s">
        <v>241</v>
      </c>
      <c r="E17" s="40" t="s">
        <v>242</v>
      </c>
      <c r="F17" s="40" t="s">
        <v>241</v>
      </c>
      <c r="G17" s="40" t="s">
        <v>243</v>
      </c>
    </row>
    <row r="19" customFormat="false" ht="15" hidden="false" customHeight="true" outlineLevel="0" collapsed="false">
      <c r="A19" s="11" t="s">
        <v>244</v>
      </c>
    </row>
    <row r="21" customFormat="false" ht="15" hidden="false" customHeight="true" outlineLevel="0" collapsed="false">
      <c r="A21" s="43" t="s">
        <v>245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246</v>
      </c>
      <c r="C22" s="30" t="s">
        <v>247</v>
      </c>
      <c r="D22" s="30" t="s">
        <v>248</v>
      </c>
      <c r="E22" s="30" t="s">
        <v>248</v>
      </c>
      <c r="F22" s="30" t="s">
        <v>248</v>
      </c>
      <c r="G22" s="30" t="s">
        <v>248</v>
      </c>
      <c r="H22" s="45" t="s">
        <v>249</v>
      </c>
    </row>
    <row r="23" customFormat="false" ht="15" hidden="false" customHeight="true" outlineLevel="0" collapsed="false">
      <c r="A23" s="44" t="s">
        <v>250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251</v>
      </c>
    </row>
    <row r="24" customFormat="false" ht="15" hidden="false" customHeight="true" outlineLevel="0" collapsed="false">
      <c r="A24" s="44" t="s">
        <v>252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253</v>
      </c>
    </row>
    <row r="25" customFormat="false" ht="15" hidden="false" customHeight="true" outlineLevel="0" collapsed="false">
      <c r="A25" s="30" t="s">
        <v>254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255</v>
      </c>
    </row>
    <row r="26" customFormat="false" ht="15" hidden="false" customHeight="true" outlineLevel="0" collapsed="false">
      <c r="A26" s="30" t="s">
        <v>256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257</v>
      </c>
    </row>
    <row r="27" customFormat="false" ht="15" hidden="false" customHeight="true" outlineLevel="0" collapsed="false">
      <c r="A27" s="30" t="s">
        <v>258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259</v>
      </c>
    </row>
    <row r="28" customFormat="false" ht="15" hidden="false" customHeight="true" outlineLevel="0" collapsed="false">
      <c r="A28" s="30" t="s">
        <v>260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  <c r="I28" s="21" t="s">
        <v>261</v>
      </c>
    </row>
    <row r="29" customFormat="false" ht="15" hidden="false" customHeight="true" outlineLevel="0" collapsed="false">
      <c r="A29" s="30" t="s">
        <v>262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263</v>
      </c>
    </row>
    <row r="30" customFormat="false" ht="15" hidden="false" customHeight="true" outlineLevel="0" collapsed="false">
      <c r="A30" s="44" t="s">
        <v>264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265</v>
      </c>
    </row>
    <row r="31" customFormat="false" ht="15" hidden="false" customHeight="true" outlineLevel="0" collapsed="false">
      <c r="A31" s="44" t="s">
        <v>266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267</v>
      </c>
    </row>
    <row r="32" customFormat="false" ht="15" hidden="false" customHeight="true" outlineLevel="0" collapsed="false">
      <c r="A32" s="44" t="s">
        <v>268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269</v>
      </c>
    </row>
    <row r="33" customFormat="false" ht="15" hidden="false" customHeight="true" outlineLevel="0" collapsed="false">
      <c r="A33" s="30" t="s">
        <v>270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271</v>
      </c>
    </row>
    <row r="34" customFormat="false" ht="15" hidden="false" customHeight="true" outlineLevel="0" collapsed="false">
      <c r="A34" s="30" t="s">
        <v>272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273</v>
      </c>
    </row>
    <row r="35" customFormat="false" ht="15" hidden="false" customHeight="true" outlineLevel="0" collapsed="false">
      <c r="A35" s="9" t="s">
        <v>274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275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  <c r="I36" s="21" t="s">
        <v>276</v>
      </c>
    </row>
    <row r="38" customFormat="false" ht="15" hidden="false" customHeight="true" outlineLevel="0" collapsed="false">
      <c r="A38" s="43" t="s">
        <v>277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278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279</v>
      </c>
      <c r="I39" s="21" t="s">
        <v>280</v>
      </c>
    </row>
    <row r="40" customFormat="false" ht="15" hidden="false" customHeight="true" outlineLevel="0" collapsed="false">
      <c r="A40" s="30" t="s">
        <v>281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282</v>
      </c>
    </row>
    <row r="41" customFormat="false" ht="15" hidden="false" customHeight="true" outlineLevel="0" collapsed="false">
      <c r="A41" s="30" t="s">
        <v>283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284</v>
      </c>
      <c r="I41" s="21" t="s">
        <v>285</v>
      </c>
    </row>
    <row r="43" customFormat="false" ht="15" hidden="false" customHeight="true" outlineLevel="0" collapsed="false">
      <c r="A43" s="57" t="s">
        <v>286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287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288</v>
      </c>
    </row>
    <row r="45" customFormat="false" ht="15" hidden="false" customHeight="true" outlineLevel="0" collapsed="false">
      <c r="A45" s="44" t="s">
        <v>289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290</v>
      </c>
      <c r="I45" s="21" t="s">
        <v>291</v>
      </c>
    </row>
    <row r="46" customFormat="false" ht="15" hidden="false" customHeight="true" outlineLevel="0" collapsed="false">
      <c r="A46" s="44" t="s">
        <v>292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293</v>
      </c>
      <c r="I46" s="21" t="s">
        <v>294</v>
      </c>
    </row>
    <row r="48" customFormat="false" ht="15" hidden="false" customHeight="true" outlineLevel="0" collapsed="false">
      <c r="A48" s="43" t="s">
        <v>295</v>
      </c>
      <c r="B48" s="15"/>
      <c r="C48" s="15"/>
      <c r="D48" s="15"/>
      <c r="E48" s="15"/>
      <c r="F48" s="15"/>
      <c r="G48" s="15"/>
      <c r="H48" s="15"/>
    </row>
    <row r="49" customFormat="false" ht="15" hidden="false" customHeight="true" outlineLevel="0" collapsed="false">
      <c r="A49" s="30" t="s">
        <v>296</v>
      </c>
      <c r="B49" s="30" t="s">
        <v>132</v>
      </c>
      <c r="C49" s="54" t="n">
        <v>1.5</v>
      </c>
      <c r="H49" s="45" t="s">
        <v>297</v>
      </c>
    </row>
    <row r="50" customFormat="false" ht="15" hidden="false" customHeight="true" outlineLevel="0" collapsed="false">
      <c r="A50" s="30" t="s">
        <v>298</v>
      </c>
      <c r="B50" s="30" t="s">
        <v>132</v>
      </c>
      <c r="C50" s="54" t="n">
        <v>2.5</v>
      </c>
      <c r="H50" s="45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300</v>
      </c>
    </row>
    <row r="2" customFormat="false" ht="15" hidden="false" customHeight="false" outlineLevel="0" collapsed="false">
      <c r="A2" s="59" t="s">
        <v>301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60" t="s">
        <v>108</v>
      </c>
      <c r="B4" s="60" t="s">
        <v>109</v>
      </c>
      <c r="C4" s="10" t="s">
        <v>302</v>
      </c>
      <c r="D4" s="10" t="s">
        <v>303</v>
      </c>
      <c r="E4" s="10" t="s">
        <v>304</v>
      </c>
      <c r="F4" s="60" t="s">
        <v>113</v>
      </c>
      <c r="G4" s="60" t="s">
        <v>114</v>
      </c>
    </row>
    <row r="5" customFormat="false" ht="15" hidden="false" customHeight="false" outlineLevel="0" collapsed="false">
      <c r="A5" s="61" t="s">
        <v>305</v>
      </c>
      <c r="B5" s="61"/>
      <c r="C5" s="62" t="s">
        <v>306</v>
      </c>
      <c r="D5" s="62" t="s">
        <v>307</v>
      </c>
      <c r="E5" s="61" t="s">
        <v>308</v>
      </c>
      <c r="F5" s="59" t="s">
        <v>118</v>
      </c>
      <c r="G5" s="59" t="s">
        <v>309</v>
      </c>
    </row>
    <row r="6" customFormat="false" ht="15" hidden="false" customHeight="false" outlineLevel="0" collapsed="false">
      <c r="A6" s="61" t="s">
        <v>310</v>
      </c>
      <c r="B6" s="62" t="s">
        <v>311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128</v>
      </c>
      <c r="G6" s="59" t="s">
        <v>312</v>
      </c>
    </row>
    <row r="7" customFormat="false" ht="15" hidden="false" customHeight="false" outlineLevel="0" collapsed="false">
      <c r="A7" s="61" t="s">
        <v>313</v>
      </c>
      <c r="B7" s="62" t="s">
        <v>311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128</v>
      </c>
      <c r="G7" s="59" t="s">
        <v>314</v>
      </c>
    </row>
    <row r="8" customFormat="false" ht="15" hidden="false" customHeight="false" outlineLevel="0" collapsed="false">
      <c r="A8" s="61" t="s">
        <v>315</v>
      </c>
      <c r="B8" s="61" t="s">
        <v>316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128</v>
      </c>
      <c r="G8" s="59" t="s">
        <v>317</v>
      </c>
    </row>
    <row r="9" customFormat="false" ht="15" hidden="false" customHeight="false" outlineLevel="0" collapsed="false">
      <c r="A9" s="62" t="s">
        <v>318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319</v>
      </c>
      <c r="G9" s="59" t="s">
        <v>320</v>
      </c>
    </row>
    <row r="10" customFormat="false" ht="15" hidden="false" customHeight="false" outlineLevel="0" collapsed="false">
      <c r="A10" s="62" t="s">
        <v>321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319</v>
      </c>
      <c r="G10" s="59" t="s">
        <v>322</v>
      </c>
    </row>
    <row r="11" customFormat="false" ht="15" hidden="false" customHeight="false" outlineLevel="0" collapsed="false">
      <c r="A11" s="62" t="s">
        <v>323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319</v>
      </c>
      <c r="G11" s="59" t="s">
        <v>324</v>
      </c>
    </row>
    <row r="12" customFormat="false" ht="15" hidden="false" customHeight="false" outlineLevel="0" collapsed="false">
      <c r="A12" s="62" t="s">
        <v>325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319</v>
      </c>
      <c r="G12" s="59"/>
    </row>
    <row r="13" customFormat="false" ht="15" hidden="false" customHeight="false" outlineLevel="0" collapsed="false">
      <c r="A13" s="61" t="s">
        <v>326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319</v>
      </c>
      <c r="G13" s="59"/>
    </row>
    <row r="14" customFormat="false" ht="15" hidden="false" customHeight="false" outlineLevel="0" collapsed="false">
      <c r="A14" s="62" t="s">
        <v>327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164</v>
      </c>
      <c r="G14" s="59"/>
    </row>
    <row r="15" customFormat="false" ht="15" hidden="false" customHeight="false" outlineLevel="0" collapsed="false">
      <c r="A15" s="62" t="s">
        <v>328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319</v>
      </c>
      <c r="G15" s="59"/>
      <c r="H15" s="65" t="s">
        <v>329</v>
      </c>
    </row>
    <row r="16" customFormat="false" ht="15" hidden="false" customHeight="false" outlineLevel="0" collapsed="false">
      <c r="A16" s="61" t="s">
        <v>330</v>
      </c>
      <c r="B16" s="62" t="s">
        <v>127</v>
      </c>
      <c r="C16" s="66" t="n">
        <f aca="false">SRC_MOD_015</f>
        <v>0.512</v>
      </c>
      <c r="D16" s="66" t="n">
        <f aca="false">SRC_MOD_054</f>
        <v>0.492</v>
      </c>
      <c r="E16" s="67" t="n">
        <v>1</v>
      </c>
      <c r="F16" s="59" t="s">
        <v>319</v>
      </c>
      <c r="G16" s="59" t="s">
        <v>331</v>
      </c>
    </row>
    <row r="17" customFormat="false" ht="15" hidden="false" customHeight="false" outlineLevel="0" collapsed="false">
      <c r="A17" s="61" t="s">
        <v>332</v>
      </c>
      <c r="B17" s="62" t="s">
        <v>333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176</v>
      </c>
      <c r="G17" s="59" t="s">
        <v>334</v>
      </c>
    </row>
    <row r="18" customFormat="false" ht="15" hidden="false" customHeight="false" outlineLevel="0" collapsed="false">
      <c r="A18" s="61" t="s">
        <v>335</v>
      </c>
      <c r="B18" s="62" t="s">
        <v>132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164</v>
      </c>
      <c r="G18" s="59" t="s">
        <v>336</v>
      </c>
    </row>
    <row r="19" customFormat="false" ht="15" hidden="false" customHeight="false" outlineLevel="0" collapsed="false">
      <c r="A19" s="61" t="s">
        <v>337</v>
      </c>
      <c r="B19" s="62" t="s">
        <v>333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164</v>
      </c>
      <c r="G19" s="65"/>
    </row>
    <row r="20" customFormat="false" ht="15" hidden="false" customHeight="false" outlineLevel="0" collapsed="false">
      <c r="A20" s="62" t="s">
        <v>338</v>
      </c>
      <c r="B20" s="61" t="s">
        <v>122</v>
      </c>
      <c r="E20" s="68" t="n">
        <v>2</v>
      </c>
      <c r="F20" s="59" t="s">
        <v>118</v>
      </c>
      <c r="G20" s="59" t="s">
        <v>339</v>
      </c>
    </row>
    <row r="21" customFormat="false" ht="15" hidden="false" customHeight="false" outlineLevel="0" collapsed="false">
      <c r="A21" s="62" t="s">
        <v>340</v>
      </c>
      <c r="B21" s="62" t="s">
        <v>311</v>
      </c>
      <c r="C21" s="69" t="n">
        <f aca="false">C34*C8</f>
        <v>2795</v>
      </c>
      <c r="D21" s="69" t="n">
        <f aca="false">D34*D8</f>
        <v>3965</v>
      </c>
      <c r="E21" s="69" t="n">
        <f aca="false">E36*E35*E8*$C$38</f>
        <v>14976</v>
      </c>
      <c r="F21" s="59" t="s">
        <v>341</v>
      </c>
      <c r="G21" s="59" t="s">
        <v>342</v>
      </c>
    </row>
    <row r="22" customFormat="false" ht="15" hidden="false" customHeight="false" outlineLevel="0" collapsed="false">
      <c r="A22" s="62" t="s">
        <v>343</v>
      </c>
      <c r="B22" s="62" t="s">
        <v>311</v>
      </c>
      <c r="C22" s="69" t="n">
        <f aca="false">C34*C8</f>
        <v>2795</v>
      </c>
      <c r="D22" s="69" t="n">
        <f aca="false">D34*D8</f>
        <v>3965</v>
      </c>
      <c r="E22" s="69" t="n">
        <f aca="false">E35*E8*$C$38</f>
        <v>57600</v>
      </c>
      <c r="F22" s="59" t="s">
        <v>341</v>
      </c>
      <c r="G22" s="59" t="s">
        <v>344</v>
      </c>
    </row>
    <row r="23" customFormat="false" ht="15" hidden="false" customHeight="false" outlineLevel="0" collapsed="false">
      <c r="A23" s="62" t="s">
        <v>345</v>
      </c>
      <c r="B23" s="62" t="s">
        <v>311</v>
      </c>
      <c r="C23" s="69" t="n">
        <f aca="false">C34*C8</f>
        <v>2795</v>
      </c>
      <c r="D23" s="69" t="n">
        <f aca="false">D34*D8</f>
        <v>3965</v>
      </c>
      <c r="E23" s="69" t="n">
        <f aca="false">E37*E11*2*E8*$C$38</f>
        <v>204800</v>
      </c>
      <c r="F23" s="59" t="s">
        <v>341</v>
      </c>
      <c r="G23" s="59" t="s">
        <v>346</v>
      </c>
    </row>
    <row r="24" customFormat="false" ht="15" hidden="false" customHeight="false" outlineLevel="0" collapsed="false">
      <c r="A24" s="70" t="s">
        <v>347</v>
      </c>
      <c r="B24" s="71"/>
      <c r="C24" s="71"/>
      <c r="D24" s="71"/>
      <c r="E24" s="71"/>
      <c r="F24" s="71"/>
      <c r="G24" s="71"/>
    </row>
    <row r="25" customFormat="false" ht="15" hidden="false" customHeight="false" outlineLevel="0" collapsed="false">
      <c r="A25" s="62" t="s">
        <v>348</v>
      </c>
      <c r="B25" s="62" t="s">
        <v>311</v>
      </c>
      <c r="C25" s="72" t="n">
        <f aca="false">CHOOSE(IF(C20="",1,C20),C21,C22,C23)</f>
        <v>2795</v>
      </c>
      <c r="D25" s="72" t="n">
        <f aca="false">CHOOSE(IF(D20="",1,D20),D21,D22,D23)</f>
        <v>3965</v>
      </c>
      <c r="E25" s="72" t="n">
        <f aca="false">CHOOSE(IF(E20="",1,E20),E21,E22,E23)</f>
        <v>57600</v>
      </c>
    </row>
    <row r="26" customFormat="false" ht="15" hidden="false" customHeight="false" outlineLevel="0" collapsed="false">
      <c r="A26" s="61"/>
      <c r="B26" s="61"/>
      <c r="C26" s="73"/>
      <c r="D26" s="73"/>
      <c r="E26" s="73"/>
      <c r="H26" s="65" t="s">
        <v>349</v>
      </c>
    </row>
    <row r="27" customFormat="false" ht="15" hidden="false" customHeight="false" outlineLevel="0" collapsed="false">
      <c r="A27" s="61" t="s">
        <v>350</v>
      </c>
      <c r="B27" s="62" t="s">
        <v>311</v>
      </c>
      <c r="C27" s="74" t="n">
        <f aca="false">(C6-C7)/(C8*(C12-C13))</f>
        <v>0.0252093023255814</v>
      </c>
      <c r="D27" s="74" t="n">
        <f aca="false">(D6-D7)/(D8*(D12-D13))</f>
        <v>0.0672651574290919</v>
      </c>
      <c r="E27" s="74" t="n">
        <f aca="false">(E6-E7)/(E8*(E12-E13))</f>
        <v>0.0770161290322581</v>
      </c>
      <c r="G27" s="65" t="s">
        <v>351</v>
      </c>
    </row>
    <row r="28" customFormat="false" ht="15" hidden="false" customHeight="false" outlineLevel="0" collapsed="false">
      <c r="A28" s="61" t="s">
        <v>352</v>
      </c>
      <c r="B28" s="62" t="s">
        <v>311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353</v>
      </c>
      <c r="B29" s="62" t="s">
        <v>311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7.15" hidden="false" customHeight="false" outlineLevel="0" collapsed="false">
      <c r="A30" s="61" t="s">
        <v>354</v>
      </c>
      <c r="B30" s="62" t="s">
        <v>355</v>
      </c>
      <c r="C30" s="69" t="n">
        <f aca="false">4*C10*C11*C8</f>
        <v>5636096</v>
      </c>
      <c r="D30" s="69" t="n">
        <f aca="false">4*D10*D11*D8</f>
        <v>15990784</v>
      </c>
      <c r="E30" s="69" t="n">
        <f aca="false">4*E10*E11*E8</f>
        <v>4915200</v>
      </c>
      <c r="G30" s="76" t="s">
        <v>356</v>
      </c>
    </row>
    <row r="31" customFormat="false" ht="15" hidden="false" customHeight="false" outlineLevel="0" collapsed="false">
      <c r="A31" s="61"/>
      <c r="B31" s="61"/>
      <c r="C31" s="73"/>
      <c r="D31" s="73"/>
      <c r="E31" s="73"/>
      <c r="H31" s="65" t="s">
        <v>357</v>
      </c>
    </row>
    <row r="32" customFormat="false" ht="15" hidden="false" customHeight="false" outlineLevel="0" collapsed="false">
      <c r="A32" s="61" t="s">
        <v>358</v>
      </c>
      <c r="B32" s="62" t="s">
        <v>333</v>
      </c>
      <c r="C32" s="64" t="n">
        <v>128000</v>
      </c>
      <c r="F32" s="65" t="s">
        <v>359</v>
      </c>
      <c r="G32" s="65" t="s">
        <v>360</v>
      </c>
    </row>
    <row r="33" customFormat="false" ht="15" hidden="false" customHeight="false" outlineLevel="0" collapsed="false">
      <c r="A33" s="77" t="s">
        <v>361</v>
      </c>
      <c r="B33" s="71"/>
      <c r="C33" s="71"/>
      <c r="D33" s="71"/>
      <c r="E33" s="71"/>
      <c r="F33" s="71"/>
      <c r="G33" s="71"/>
    </row>
    <row r="34" customFormat="false" ht="15" hidden="false" customHeight="false" outlineLevel="0" collapsed="false">
      <c r="A34" s="61" t="s">
        <v>362</v>
      </c>
      <c r="B34" s="62" t="s">
        <v>311</v>
      </c>
      <c r="C34" s="64" t="n">
        <v>65</v>
      </c>
      <c r="D34" s="64" t="n">
        <v>65</v>
      </c>
      <c r="F34" s="59" t="s">
        <v>128</v>
      </c>
      <c r="G34" s="59" t="s">
        <v>363</v>
      </c>
    </row>
    <row r="35" customFormat="false" ht="15" hidden="false" customHeight="false" outlineLevel="0" collapsed="false">
      <c r="A35" s="62" t="s">
        <v>364</v>
      </c>
      <c r="B35" s="61" t="s">
        <v>365</v>
      </c>
      <c r="E35" s="64" t="n">
        <v>576</v>
      </c>
      <c r="F35" s="59" t="s">
        <v>133</v>
      </c>
      <c r="G35" s="65" t="s">
        <v>366</v>
      </c>
    </row>
    <row r="36" customFormat="false" ht="15" hidden="false" customHeight="false" outlineLevel="0" collapsed="false">
      <c r="A36" s="62" t="s">
        <v>367</v>
      </c>
      <c r="B36" s="62" t="s">
        <v>127</v>
      </c>
      <c r="E36" s="67" t="n">
        <v>0.26</v>
      </c>
      <c r="F36" s="59" t="s">
        <v>128</v>
      </c>
      <c r="G36" s="65" t="s">
        <v>368</v>
      </c>
    </row>
    <row r="37" customFormat="false" ht="15" hidden="false" customHeight="false" outlineLevel="0" collapsed="false">
      <c r="A37" s="62" t="s">
        <v>369</v>
      </c>
      <c r="B37" s="61" t="s">
        <v>370</v>
      </c>
      <c r="E37" s="64" t="n">
        <v>8</v>
      </c>
      <c r="F37" s="59" t="s">
        <v>128</v>
      </c>
      <c r="G37" s="59" t="s">
        <v>371</v>
      </c>
    </row>
    <row r="38" customFormat="false" ht="15" hidden="false" customHeight="false" outlineLevel="0" collapsed="false">
      <c r="A38" s="62" t="s">
        <v>372</v>
      </c>
      <c r="B38" s="62" t="s">
        <v>311</v>
      </c>
      <c r="C38" s="63" t="n">
        <f aca="false">SRC_HW_055</f>
        <v>1</v>
      </c>
      <c r="F38" s="65" t="s">
        <v>373</v>
      </c>
      <c r="G38" s="59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375</v>
      </c>
    </row>
    <row r="2" customFormat="false" ht="15" hidden="false" customHeight="false" outlineLevel="0" collapsed="false">
      <c r="A2" s="65" t="s">
        <v>376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377</v>
      </c>
      <c r="B4" s="60" t="s">
        <v>109</v>
      </c>
      <c r="C4" s="60" t="s">
        <v>378</v>
      </c>
      <c r="D4" s="60" t="s">
        <v>113</v>
      </c>
      <c r="E4" s="60"/>
      <c r="F4" s="60" t="s">
        <v>379</v>
      </c>
    </row>
    <row r="5" customFormat="false" ht="15" hidden="false" customHeight="false" outlineLevel="0" collapsed="false">
      <c r="A5" s="61" t="s">
        <v>380</v>
      </c>
      <c r="B5" s="61"/>
      <c r="C5" s="61" t="s">
        <v>381</v>
      </c>
      <c r="D5" s="59" t="s">
        <v>118</v>
      </c>
      <c r="F5" s="59" t="s">
        <v>382</v>
      </c>
    </row>
    <row r="6" customFormat="false" ht="15" hidden="false" customHeight="false" outlineLevel="0" collapsed="false">
      <c r="A6" s="62" t="s">
        <v>383</v>
      </c>
      <c r="B6" s="62" t="s">
        <v>333</v>
      </c>
      <c r="C6" s="68" t="n">
        <v>3</v>
      </c>
      <c r="D6" s="59" t="s">
        <v>133</v>
      </c>
      <c r="F6" s="59" t="s">
        <v>384</v>
      </c>
    </row>
    <row r="7" customFormat="false" ht="15" hidden="false" customHeight="false" outlineLevel="0" collapsed="false">
      <c r="A7" s="61" t="s">
        <v>385</v>
      </c>
      <c r="B7" s="62" t="s">
        <v>127</v>
      </c>
      <c r="C7" s="66" t="n">
        <f aca="false">SRC_PERF_005</f>
        <v>0.7</v>
      </c>
      <c r="D7" s="59" t="s">
        <v>386</v>
      </c>
      <c r="F7" s="59" t="s">
        <v>387</v>
      </c>
    </row>
    <row r="8" customFormat="false" ht="15" hidden="false" customHeight="false" outlineLevel="0" collapsed="false">
      <c r="A8" s="61" t="s">
        <v>388</v>
      </c>
      <c r="B8" s="62" t="s">
        <v>333</v>
      </c>
      <c r="C8" s="78" t="n">
        <f aca="false">(1-C7^(C6+1))/(1-C7)</f>
        <v>2.533</v>
      </c>
      <c r="D8" s="59" t="s">
        <v>176</v>
      </c>
      <c r="F8" s="59" t="s">
        <v>389</v>
      </c>
    </row>
    <row r="9" customFormat="false" ht="15" hidden="false" customHeight="false" outlineLevel="0" collapsed="false">
      <c r="A9" s="62" t="s">
        <v>390</v>
      </c>
      <c r="B9" s="62" t="s">
        <v>127</v>
      </c>
      <c r="C9" s="67" t="n">
        <v>0.1</v>
      </c>
      <c r="D9" s="59" t="s">
        <v>128</v>
      </c>
      <c r="F9" s="65" t="s">
        <v>391</v>
      </c>
    </row>
    <row r="10" customFormat="false" ht="15" hidden="false" customHeight="false" outlineLevel="0" collapsed="false">
      <c r="A10" s="61" t="s">
        <v>392</v>
      </c>
      <c r="B10" s="62" t="s">
        <v>127</v>
      </c>
      <c r="C10" s="67" t="n">
        <v>0.2</v>
      </c>
      <c r="D10" s="59" t="s">
        <v>128</v>
      </c>
      <c r="F10" s="65" t="s">
        <v>393</v>
      </c>
    </row>
    <row r="11" customFormat="false" ht="15" hidden="false" customHeight="false" outlineLevel="0" collapsed="false">
      <c r="A11" s="61" t="s">
        <v>394</v>
      </c>
      <c r="B11" s="62" t="s">
        <v>127</v>
      </c>
      <c r="C11" s="67" t="n">
        <v>0.4</v>
      </c>
      <c r="D11" s="59" t="s">
        <v>128</v>
      </c>
      <c r="F11" s="65" t="s">
        <v>395</v>
      </c>
    </row>
    <row r="12" customFormat="false" ht="15" hidden="false" customHeight="false" outlineLevel="0" collapsed="false">
      <c r="A12" s="62" t="s">
        <v>396</v>
      </c>
      <c r="B12" s="62" t="s">
        <v>311</v>
      </c>
      <c r="C12" s="79" t="n">
        <v>3</v>
      </c>
      <c r="D12" s="59" t="s">
        <v>133</v>
      </c>
      <c r="F12" s="59" t="s">
        <v>397</v>
      </c>
    </row>
    <row r="13" customFormat="false" ht="15" hidden="false" customHeight="false" outlineLevel="0" collapsed="false">
      <c r="A13" s="62" t="s">
        <v>398</v>
      </c>
      <c r="B13" s="62" t="s">
        <v>127</v>
      </c>
      <c r="C13" s="67" t="n">
        <v>0.7</v>
      </c>
      <c r="D13" s="59" t="s">
        <v>133</v>
      </c>
      <c r="F13" s="65" t="s">
        <v>399</v>
      </c>
    </row>
    <row r="14" customFormat="false" ht="15" hidden="false" customHeight="false" outlineLevel="0" collapsed="false">
      <c r="A14" s="62" t="s">
        <v>400</v>
      </c>
      <c r="B14" s="62" t="s">
        <v>127</v>
      </c>
      <c r="C14" s="67" t="n">
        <v>0.7</v>
      </c>
      <c r="D14" s="59" t="s">
        <v>133</v>
      </c>
      <c r="F14" s="65" t="s">
        <v>399</v>
      </c>
    </row>
    <row r="15" customFormat="false" ht="15" hidden="false" customHeight="false" outlineLevel="0" collapsed="false">
      <c r="A15" s="61" t="s">
        <v>401</v>
      </c>
      <c r="B15" s="62" t="s">
        <v>402</v>
      </c>
      <c r="C15" s="80" t="n">
        <v>0.1</v>
      </c>
      <c r="D15" s="59" t="s">
        <v>128</v>
      </c>
      <c r="F15" s="65" t="s">
        <v>403</v>
      </c>
    </row>
    <row r="16" customFormat="false" ht="15" hidden="false" customHeight="false" outlineLevel="0" collapsed="false">
      <c r="A16" s="61" t="s">
        <v>404</v>
      </c>
      <c r="B16" s="61" t="s">
        <v>122</v>
      </c>
      <c r="C16" s="68" t="n">
        <v>1</v>
      </c>
      <c r="D16" s="59" t="s">
        <v>118</v>
      </c>
      <c r="F16" s="59" t="s">
        <v>405</v>
      </c>
    </row>
    <row r="17" customFormat="false" ht="15" hidden="false" customHeight="false" outlineLevel="0" collapsed="false">
      <c r="A17" s="61" t="s">
        <v>406</v>
      </c>
      <c r="B17" s="62" t="s">
        <v>127</v>
      </c>
      <c r="C17" s="81" t="n">
        <v>0.6</v>
      </c>
      <c r="D17" s="59" t="s">
        <v>128</v>
      </c>
      <c r="F17" s="59" t="s">
        <v>407</v>
      </c>
    </row>
    <row r="18" customFormat="false" ht="15" hidden="false" customHeight="false" outlineLevel="0" collapsed="false">
      <c r="A18" s="61" t="s">
        <v>408</v>
      </c>
      <c r="B18" s="62" t="s">
        <v>132</v>
      </c>
      <c r="C18" s="82" t="n">
        <v>1</v>
      </c>
      <c r="D18" s="59" t="s">
        <v>128</v>
      </c>
      <c r="F18" s="65" t="s">
        <v>409</v>
      </c>
    </row>
    <row r="19" customFormat="false" ht="15" hidden="false" customHeight="false" outlineLevel="0" collapsed="false">
      <c r="A19" s="70" t="s">
        <v>410</v>
      </c>
      <c r="B19" s="71"/>
      <c r="C19" s="71"/>
      <c r="D19" s="71"/>
      <c r="E19" s="71"/>
      <c r="F19" s="71"/>
    </row>
    <row r="20" customFormat="false" ht="15" hidden="false" customHeight="false" outlineLevel="0" collapsed="false">
      <c r="A20" s="60" t="s">
        <v>411</v>
      </c>
      <c r="B20" s="60" t="s">
        <v>109</v>
      </c>
      <c r="C20" s="83" t="str">
        <f aca="false">Arch!C4</f>
        <v>Luna（低層）</v>
      </c>
      <c r="D20" s="83" t="str">
        <f aca="false">Arch!D4</f>
        <v>Sol（中層）</v>
      </c>
      <c r="E20" s="83" t="str">
        <f aca="false">Arch!E4</f>
        <v>Astra（頂層）</v>
      </c>
      <c r="F20" s="60" t="s">
        <v>379</v>
      </c>
      <c r="G20" s="65" t="s">
        <v>412</v>
      </c>
    </row>
    <row r="21" customFormat="false" ht="15" hidden="false" customHeight="false" outlineLevel="0" collapsed="false">
      <c r="A21" s="62" t="s">
        <v>413</v>
      </c>
      <c r="B21" s="62" t="s">
        <v>414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415</v>
      </c>
    </row>
    <row r="22" customFormat="false" ht="15" hidden="false" customHeight="false" outlineLevel="0" collapsed="false">
      <c r="A22" s="62" t="s">
        <v>416</v>
      </c>
      <c r="B22" s="62" t="s">
        <v>417</v>
      </c>
      <c r="C22" s="79" t="n">
        <v>2</v>
      </c>
      <c r="D22" s="79" t="n">
        <v>3</v>
      </c>
      <c r="E22" s="79" t="n">
        <v>5</v>
      </c>
      <c r="F22" s="59" t="s">
        <v>128</v>
      </c>
    </row>
    <row r="23" customFormat="false" ht="15" hidden="false" customHeight="false" outlineLevel="0" collapsed="false">
      <c r="A23" s="61" t="s">
        <v>418</v>
      </c>
      <c r="B23" s="62" t="s">
        <v>333</v>
      </c>
      <c r="C23" s="64" t="n">
        <v>8192</v>
      </c>
      <c r="D23" s="64" t="n">
        <v>16384</v>
      </c>
      <c r="E23" s="64" t="n">
        <v>32768</v>
      </c>
      <c r="F23" s="59" t="s">
        <v>419</v>
      </c>
    </row>
    <row r="24" customFormat="false" ht="15" hidden="false" customHeight="false" outlineLevel="0" collapsed="false">
      <c r="A24" s="61" t="s">
        <v>420</v>
      </c>
      <c r="B24" s="62" t="s">
        <v>333</v>
      </c>
      <c r="C24" s="64" t="n">
        <v>1024</v>
      </c>
      <c r="D24" s="64" t="n">
        <v>2048</v>
      </c>
      <c r="E24" s="64" t="n">
        <v>4096</v>
      </c>
      <c r="F24" s="59" t="s">
        <v>128</v>
      </c>
    </row>
    <row r="25" customFormat="false" ht="15" hidden="false" customHeight="false" outlineLevel="0" collapsed="false">
      <c r="A25" s="61"/>
      <c r="B25" s="61"/>
      <c r="C25" s="69"/>
      <c r="D25" s="69"/>
      <c r="E25" s="69"/>
      <c r="F25" s="59" t="s">
        <v>176</v>
      </c>
      <c r="G25" s="65" t="s">
        <v>421</v>
      </c>
    </row>
    <row r="26" customFormat="false" ht="15" hidden="false" customHeight="false" outlineLevel="0" collapsed="false">
      <c r="A26" s="61"/>
      <c r="B26" s="61"/>
      <c r="C26" s="69"/>
      <c r="D26" s="69"/>
      <c r="E26" s="69"/>
      <c r="F26" s="59" t="s">
        <v>176</v>
      </c>
      <c r="G26" s="65" t="s">
        <v>349</v>
      </c>
    </row>
    <row r="28" customFormat="false" ht="15" hidden="false" customHeight="false" outlineLevel="0" collapsed="false">
      <c r="A28" s="61" t="s">
        <v>422</v>
      </c>
      <c r="B28" s="62" t="s">
        <v>132</v>
      </c>
      <c r="C28" s="82" t="n">
        <v>0.85</v>
      </c>
      <c r="D28" s="59" t="s">
        <v>128</v>
      </c>
      <c r="F28" s="59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424</v>
      </c>
    </row>
    <row r="2" customFormat="false" ht="15" hidden="false" customHeight="false" outlineLevel="0" collapsed="false">
      <c r="A2" s="65" t="s">
        <v>425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108</v>
      </c>
      <c r="B4" s="60" t="s">
        <v>109</v>
      </c>
      <c r="C4" s="84" t="s">
        <v>426</v>
      </c>
      <c r="D4" s="84" t="s">
        <v>427</v>
      </c>
      <c r="E4" s="84" t="s">
        <v>428</v>
      </c>
      <c r="F4" s="84" t="s">
        <v>429</v>
      </c>
      <c r="G4" s="85" t="s">
        <v>430</v>
      </c>
      <c r="H4" s="60" t="s">
        <v>379</v>
      </c>
    </row>
    <row r="5" customFormat="false" ht="15" hidden="false" customHeight="false" outlineLevel="0" collapsed="false">
      <c r="A5" s="61" t="s">
        <v>431</v>
      </c>
      <c r="B5" s="61" t="s">
        <v>432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433</v>
      </c>
    </row>
    <row r="6" customFormat="false" ht="15" hidden="false" customHeight="false" outlineLevel="0" collapsed="false">
      <c r="A6" s="61" t="s">
        <v>434</v>
      </c>
      <c r="B6" s="62" t="s">
        <v>333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128</v>
      </c>
    </row>
    <row r="7" customFormat="false" ht="15" hidden="false" customHeight="false" outlineLevel="0" collapsed="false">
      <c r="A7" s="61" t="s">
        <v>435</v>
      </c>
      <c r="B7" s="62" t="s">
        <v>333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128</v>
      </c>
    </row>
    <row r="8" customFormat="false" ht="15" hidden="false" customHeight="false" outlineLevel="0" collapsed="false">
      <c r="A8" s="61" t="s">
        <v>436</v>
      </c>
      <c r="B8" s="62" t="s">
        <v>333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437</v>
      </c>
    </row>
    <row r="9" customFormat="false" ht="15" hidden="false" customHeight="false" outlineLevel="0" collapsed="false">
      <c r="A9" s="61" t="s">
        <v>438</v>
      </c>
      <c r="B9" s="62" t="s">
        <v>333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128</v>
      </c>
    </row>
    <row r="10" customFormat="false" ht="15" hidden="false" customHeight="false" outlineLevel="0" collapsed="false">
      <c r="A10" s="61" t="s">
        <v>439</v>
      </c>
      <c r="B10" s="62" t="s">
        <v>127</v>
      </c>
      <c r="C10" s="67" t="n">
        <v>0</v>
      </c>
      <c r="D10" s="67" t="n">
        <v>0</v>
      </c>
      <c r="E10" s="67" t="n">
        <v>0</v>
      </c>
      <c r="F10" s="67" t="n">
        <v>0</v>
      </c>
      <c r="G10" s="67" t="n">
        <v>0</v>
      </c>
      <c r="H10" s="59" t="s">
        <v>440</v>
      </c>
    </row>
    <row r="11" customFormat="false" ht="15" hidden="false" customHeight="false" outlineLevel="0" collapsed="false">
      <c r="A11" s="61" t="s">
        <v>441</v>
      </c>
      <c r="B11" s="62" t="s">
        <v>127</v>
      </c>
      <c r="C11" s="67" t="n">
        <v>0.5</v>
      </c>
      <c r="D11" s="67" t="n">
        <v>0.5</v>
      </c>
      <c r="E11" s="67" t="n">
        <v>0.9</v>
      </c>
      <c r="F11" s="67" t="n">
        <v>0.9</v>
      </c>
      <c r="G11" s="67" t="n">
        <v>0.9</v>
      </c>
      <c r="H11" s="59" t="s">
        <v>442</v>
      </c>
    </row>
    <row r="12" customFormat="false" ht="15" hidden="false" customHeight="false" outlineLevel="0" collapsed="false">
      <c r="A12" s="61" t="s">
        <v>443</v>
      </c>
      <c r="B12" s="61" t="s">
        <v>370</v>
      </c>
      <c r="C12" s="68" t="n">
        <v>0</v>
      </c>
      <c r="D12" s="68" t="n">
        <v>0</v>
      </c>
      <c r="E12" s="68" t="n">
        <v>0</v>
      </c>
      <c r="F12" s="68" t="n">
        <v>3</v>
      </c>
      <c r="G12" s="68" t="n">
        <v>0</v>
      </c>
      <c r="H12" s="59" t="s">
        <v>444</v>
      </c>
    </row>
    <row r="13" customFormat="false" ht="15" hidden="false" customHeight="false" outlineLevel="0" collapsed="false">
      <c r="A13" s="62" t="s">
        <v>445</v>
      </c>
      <c r="B13" s="62" t="s">
        <v>132</v>
      </c>
      <c r="C13" s="80" t="n">
        <v>1</v>
      </c>
      <c r="D13" s="80" t="n">
        <v>1</v>
      </c>
      <c r="E13" s="80" t="n">
        <v>1</v>
      </c>
      <c r="F13" s="80" t="n">
        <v>1</v>
      </c>
      <c r="G13" s="80" t="n">
        <v>1</v>
      </c>
      <c r="H13" s="59" t="s">
        <v>446</v>
      </c>
    </row>
    <row r="14" customFormat="false" ht="15" hidden="false" customHeight="false" outlineLevel="0" collapsed="false">
      <c r="A14" s="61" t="s">
        <v>447</v>
      </c>
      <c r="B14" s="62" t="s">
        <v>132</v>
      </c>
      <c r="C14" s="80" t="n">
        <v>1</v>
      </c>
      <c r="D14" s="80" t="n">
        <v>1</v>
      </c>
      <c r="E14" s="80" t="n">
        <v>1</v>
      </c>
      <c r="F14" s="80" t="n">
        <v>1</v>
      </c>
      <c r="G14" s="80" t="n">
        <v>1</v>
      </c>
      <c r="H14" s="65" t="s">
        <v>448</v>
      </c>
    </row>
    <row r="16" customFormat="false" ht="15" hidden="false" customHeight="false" outlineLevel="0" collapsed="false">
      <c r="A16" s="70" t="s">
        <v>449</v>
      </c>
      <c r="B16" s="71"/>
      <c r="C16" s="71"/>
      <c r="D16" s="71"/>
      <c r="E16" s="71"/>
      <c r="F16" s="71"/>
      <c r="G16" s="71"/>
      <c r="H16" s="71"/>
    </row>
    <row r="17" customFormat="false" ht="15" hidden="false" customHeight="false" outlineLevel="0" collapsed="false">
      <c r="A17" s="61"/>
      <c r="B17" s="61"/>
      <c r="C17" s="78"/>
      <c r="D17" s="78"/>
      <c r="E17" s="78"/>
      <c r="F17" s="78"/>
      <c r="G17" s="78"/>
      <c r="I17" s="65" t="s">
        <v>450</v>
      </c>
    </row>
    <row r="18" customFormat="false" ht="15" hidden="false" customHeight="false" outlineLevel="0" collapsed="false">
      <c r="A18" s="61" t="s">
        <v>451</v>
      </c>
      <c r="B18" s="61" t="s">
        <v>432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452</v>
      </c>
      <c r="B19" s="62" t="s">
        <v>333</v>
      </c>
      <c r="C19" s="69" t="n">
        <f aca="false">C8*(1+B5_W*(INDEX(B5_SelH,1,1)-1))</f>
        <v>0</v>
      </c>
      <c r="D19" s="69" t="n">
        <f aca="false">D8*(1+B5_W*(INDEX(B5_SelH,1,2)-1))</f>
        <v>3000</v>
      </c>
      <c r="E19" s="69" t="n">
        <f aca="false">E8*(1+B5_W*(INDEX(B5_SelH,1,3)-1))</f>
        <v>400</v>
      </c>
      <c r="F19" s="69" t="n">
        <f aca="false">F8*(1+B5_W*(INDEX(B5_SelH,1,4)-1))</f>
        <v>400</v>
      </c>
      <c r="G19" s="69" t="n">
        <f aca="false">G8*(1+B5_W*(INDEX(B5_SelH,1,5)-1))</f>
        <v>600</v>
      </c>
    </row>
    <row r="20" customFormat="false" ht="15" hidden="false" customHeight="false" outlineLevel="0" collapsed="false">
      <c r="A20" s="61" t="s">
        <v>453</v>
      </c>
      <c r="B20" s="62" t="s">
        <v>127</v>
      </c>
      <c r="C20" s="86" t="n">
        <f aca="false">C10+B5_W*(INDEX(B5_Selrho,1,1)-C10)</f>
        <v>0</v>
      </c>
      <c r="D20" s="86" t="n">
        <f aca="false">D10+B5_W*(INDEX(B5_Selrho,1,2)-D10)</f>
        <v>0</v>
      </c>
      <c r="E20" s="86" t="n">
        <f aca="false">E10+B5_W*(INDEX(B5_Selrho,1,3)-E10)</f>
        <v>0</v>
      </c>
      <c r="F20" s="86" t="n">
        <f aca="false">F10+B5_W*(INDEX(B5_Selrho,1,4)-F10)</f>
        <v>0</v>
      </c>
      <c r="G20" s="86" t="n">
        <f aca="false">G10+B5_W*(INDEX(B5_Selrho,1,5)-G10)</f>
        <v>0</v>
      </c>
    </row>
    <row r="21" customFormat="false" ht="15" hidden="false" customHeight="false" outlineLevel="0" collapsed="false">
      <c r="A21" s="61" t="s">
        <v>454</v>
      </c>
      <c r="B21" s="62" t="s">
        <v>127</v>
      </c>
      <c r="C21" s="86" t="n">
        <f aca="false">MIN(1,MAX(0,C11+B5_W*INDEX(B5_SelDChi,1,1)))</f>
        <v>0.5</v>
      </c>
      <c r="D21" s="86" t="n">
        <f aca="false">MIN(1,MAX(0,D11+B5_W*INDEX(B5_SelDChi,1,2)))</f>
        <v>0.5</v>
      </c>
      <c r="E21" s="86" t="n">
        <f aca="false">MIN(1,MAX(0,E11+B5_W*INDEX(B5_SelDChi,1,3)))</f>
        <v>0.9</v>
      </c>
      <c r="F21" s="86" t="n">
        <f aca="false">MIN(1,MAX(0,F11+B5_W*INDEX(B5_SelDChi,1,4)))</f>
        <v>0.9</v>
      </c>
      <c r="G21" s="86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455</v>
      </c>
      <c r="B22" s="61" t="s">
        <v>370</v>
      </c>
      <c r="C22" s="87" t="n">
        <f aca="false">C12+B5_W*INDEX(B5_SelDM,1,1)</f>
        <v>0</v>
      </c>
      <c r="D22" s="87" t="n">
        <f aca="false">D12+B5_W*INDEX(B5_SelDM,1,2)</f>
        <v>0</v>
      </c>
      <c r="E22" s="87" t="n">
        <f aca="false">E12+B5_W*INDEX(B5_SelDM,1,3)</f>
        <v>0</v>
      </c>
      <c r="F22" s="87" t="n">
        <f aca="false">F12+B5_W*INDEX(B5_SelDM,1,4)</f>
        <v>3</v>
      </c>
      <c r="G22" s="87" t="n">
        <f aca="false">G12+B5_W*INDEX(B5_SelDM,1,5)</f>
        <v>0</v>
      </c>
    </row>
    <row r="23" customFormat="false" ht="15" hidden="false" customHeight="false" outlineLevel="0" collapsed="false">
      <c r="A23" s="61" t="s">
        <v>456</v>
      </c>
      <c r="B23" s="62" t="s">
        <v>132</v>
      </c>
      <c r="C23" s="78" t="n">
        <f aca="false">C14+B5_W*(INDEX(B5_SelC,1,1)-C14)</f>
        <v>1</v>
      </c>
      <c r="D23" s="78" t="n">
        <f aca="false">D14+B5_W*(INDEX(B5_SelC,1,2)-D14)</f>
        <v>1</v>
      </c>
      <c r="E23" s="78" t="n">
        <f aca="false">E14+B5_W*(INDEX(B5_SelC,1,3)-E14)</f>
        <v>1</v>
      </c>
      <c r="F23" s="78" t="n">
        <f aca="false">F14+B5_W*(INDEX(B5_SelC,1,4)-F14)</f>
        <v>1</v>
      </c>
      <c r="G23" s="78" t="n">
        <f aca="false">G14+B5_W*(INDEX(B5_SelC,1,5)-G14)</f>
        <v>1</v>
      </c>
    </row>
    <row r="25" customFormat="false" ht="15" hidden="false" customHeight="false" outlineLevel="0" collapsed="false">
      <c r="A25" s="70" t="s">
        <v>457</v>
      </c>
      <c r="B25" s="71"/>
      <c r="C25" s="71"/>
      <c r="D25" s="71"/>
      <c r="E25" s="71"/>
      <c r="F25" s="71"/>
      <c r="G25" s="71"/>
      <c r="H25" s="71"/>
    </row>
    <row r="26" customFormat="false" ht="15" hidden="false" customHeight="false" outlineLevel="0" collapsed="false">
      <c r="A26" s="61" t="s">
        <v>458</v>
      </c>
      <c r="B26" s="62" t="s">
        <v>333</v>
      </c>
      <c r="C26" s="69" t="n">
        <f aca="false">C7+C9+C20*C19</f>
        <v>1000</v>
      </c>
      <c r="D26" s="69" t="n">
        <f aca="false">D7+D9+D20*D19</f>
        <v>1200</v>
      </c>
      <c r="E26" s="69" t="n">
        <f aca="false">E7+E9+E20*E19</f>
        <v>1400</v>
      </c>
      <c r="F26" s="69" t="n">
        <f aca="false">F7+F9+F20*F19</f>
        <v>1400</v>
      </c>
      <c r="G26" s="69" t="n">
        <f aca="false">G7+G9+G20*G19</f>
        <v>2400</v>
      </c>
    </row>
    <row r="27" customFormat="false" ht="15" hidden="false" customHeight="false" outlineLevel="0" collapsed="false">
      <c r="A27" s="61" t="s">
        <v>459</v>
      </c>
      <c r="B27" s="62" t="s">
        <v>333</v>
      </c>
      <c r="C27" s="69" t="n">
        <f aca="false">C18*(C6+C7)+C23*C26*C18*(C18-1)/2</f>
        <v>2500</v>
      </c>
      <c r="D27" s="69" t="n">
        <f aca="false">D18*(D6+D7)+D23*D26*D18*(D18-1)/2</f>
        <v>2500</v>
      </c>
      <c r="E27" s="69" t="n">
        <f aca="false">E18*(E6+E7)+E23*E26*E18*(E18-1)/2</f>
        <v>25200</v>
      </c>
      <c r="F27" s="69" t="n">
        <f aca="false">F18*(F6+F7)+F23*F26*F18*(F18-1)/2</f>
        <v>25200</v>
      </c>
      <c r="G27" s="69" t="n">
        <f aca="false">G18*(G6+G7)+G23*G26*G18*(G18-1)/2</f>
        <v>1464000</v>
      </c>
    </row>
    <row r="28" customFormat="false" ht="15" hidden="false" customHeight="false" outlineLevel="0" collapsed="false">
      <c r="A28" s="61" t="s">
        <v>460</v>
      </c>
      <c r="B28" s="62" t="s">
        <v>333</v>
      </c>
      <c r="C28" s="69" t="n">
        <f aca="false">C21*(C18*C6+C23*C26*C18*(C18-1)/2)</f>
        <v>1000</v>
      </c>
      <c r="D28" s="69" t="n">
        <f aca="false">D21*(D18*D6+D23*D26*D18*(D18-1)/2)</f>
        <v>1000</v>
      </c>
      <c r="E28" s="69" t="n">
        <f aca="false">E21*(E18*E6+E23*E26*E18*(E18-1)/2)</f>
        <v>18360</v>
      </c>
      <c r="F28" s="69" t="n">
        <f aca="false">F21*(F18*F6+F23*F26*F18*(F18-1)/2)</f>
        <v>18360</v>
      </c>
      <c r="G28" s="69" t="n">
        <f aca="false">G21*(G18*G6+G23*G26*G18*(G18-1)/2)</f>
        <v>1263600</v>
      </c>
    </row>
    <row r="29" customFormat="false" ht="15" hidden="false" customHeight="false" outlineLevel="0" collapsed="false">
      <c r="A29" s="61" t="s">
        <v>461</v>
      </c>
      <c r="B29" s="62" t="s">
        <v>333</v>
      </c>
      <c r="C29" s="69" t="n">
        <f aca="false">C27-C28</f>
        <v>1500</v>
      </c>
      <c r="D29" s="69" t="n">
        <f aca="false">D27-D28</f>
        <v>1500</v>
      </c>
      <c r="E29" s="69" t="n">
        <f aca="false">E27-E28</f>
        <v>6840</v>
      </c>
      <c r="F29" s="69" t="n">
        <f aca="false">F27-F28</f>
        <v>6840</v>
      </c>
      <c r="G29" s="69" t="n">
        <f aca="false">G27-G28</f>
        <v>200400</v>
      </c>
    </row>
    <row r="30" customFormat="false" ht="15" hidden="false" customHeight="false" outlineLevel="0" collapsed="false">
      <c r="A30" s="61" t="s">
        <v>462</v>
      </c>
      <c r="B30" s="62" t="s">
        <v>333</v>
      </c>
      <c r="C30" s="69" t="n">
        <f aca="false">C18*(C19+C9)</f>
        <v>500</v>
      </c>
      <c r="D30" s="69" t="n">
        <f aca="false">D18*(D19+D9)</f>
        <v>3700</v>
      </c>
      <c r="E30" s="69" t="n">
        <f aca="false">E18*(E19+E9)</f>
        <v>2400</v>
      </c>
      <c r="F30" s="69" t="n">
        <f aca="false">F18*(F19+F9)</f>
        <v>2400</v>
      </c>
      <c r="G30" s="69" t="n">
        <f aca="false">G18*(G19+G9)</f>
        <v>30000</v>
      </c>
    </row>
    <row r="31" customFormat="false" ht="15" hidden="false" customHeight="false" outlineLevel="0" collapsed="false">
      <c r="A31" s="61" t="s">
        <v>463</v>
      </c>
      <c r="B31" s="62" t="s">
        <v>132</v>
      </c>
      <c r="C31" s="78" t="n">
        <f aca="false">(1+C22)*C13</f>
        <v>1</v>
      </c>
      <c r="D31" s="78" t="n">
        <f aca="false">(1+D22)*D13</f>
        <v>1</v>
      </c>
      <c r="E31" s="78" t="n">
        <f aca="false">(1+E22)*E13</f>
        <v>1</v>
      </c>
      <c r="F31" s="78" t="n">
        <f aca="false">(1+F22)*F13</f>
        <v>4</v>
      </c>
      <c r="G31" s="78" t="n">
        <f aca="false">(1+G22)*G13</f>
        <v>1</v>
      </c>
    </row>
    <row r="32" customFormat="false" ht="15" hidden="false" customHeight="false" outlineLevel="0" collapsed="false">
      <c r="A32" s="61" t="s">
        <v>464</v>
      </c>
      <c r="B32" s="62" t="s">
        <v>333</v>
      </c>
      <c r="C32" s="69" t="n">
        <f aca="false">C29*C31</f>
        <v>1500</v>
      </c>
      <c r="D32" s="69" t="n">
        <f aca="false">D29*D31</f>
        <v>1500</v>
      </c>
      <c r="E32" s="69" t="n">
        <f aca="false">E29*E31</f>
        <v>6840</v>
      </c>
      <c r="F32" s="69" t="n">
        <f aca="false">F29*F31</f>
        <v>27360</v>
      </c>
      <c r="G32" s="69" t="n">
        <f aca="false">G29*G31</f>
        <v>200400</v>
      </c>
    </row>
    <row r="33" customFormat="false" ht="15" hidden="false" customHeight="false" outlineLevel="0" collapsed="false">
      <c r="A33" s="61" t="s">
        <v>465</v>
      </c>
      <c r="B33" s="62" t="s">
        <v>333</v>
      </c>
      <c r="C33" s="69" t="n">
        <f aca="false">C28*C31</f>
        <v>1000</v>
      </c>
      <c r="D33" s="69" t="n">
        <f aca="false">D28*D31</f>
        <v>1000</v>
      </c>
      <c r="E33" s="69" t="n">
        <f aca="false">E28*E31</f>
        <v>18360</v>
      </c>
      <c r="F33" s="69" t="n">
        <f aca="false">F28*F31</f>
        <v>73440</v>
      </c>
      <c r="G33" s="69" t="n">
        <f aca="false">G28*G31</f>
        <v>1263600</v>
      </c>
    </row>
    <row r="34" customFormat="false" ht="15" hidden="false" customHeight="false" outlineLevel="0" collapsed="false">
      <c r="A34" s="61" t="s">
        <v>466</v>
      </c>
      <c r="B34" s="62" t="s">
        <v>333</v>
      </c>
      <c r="C34" s="69" t="n">
        <f aca="false">C30*C31</f>
        <v>500</v>
      </c>
      <c r="D34" s="69" t="n">
        <f aca="false">D30*D31</f>
        <v>3700</v>
      </c>
      <c r="E34" s="69" t="n">
        <f aca="false">E30*E31</f>
        <v>2400</v>
      </c>
      <c r="F34" s="69" t="n">
        <f aca="false">F30*F31</f>
        <v>9600</v>
      </c>
      <c r="G34" s="69" t="n">
        <f aca="false">G30*G31</f>
        <v>30000</v>
      </c>
    </row>
    <row r="35" customFormat="false" ht="15" hidden="false" customHeight="false" outlineLevel="0" collapsed="false">
      <c r="A35" s="61" t="s">
        <v>467</v>
      </c>
      <c r="B35" s="62" t="s">
        <v>333</v>
      </c>
      <c r="C35" s="72" t="n">
        <f aca="false">C32+C33+C34</f>
        <v>3000</v>
      </c>
      <c r="D35" s="72" t="n">
        <f aca="false">D32+D33+D34</f>
        <v>6200</v>
      </c>
      <c r="E35" s="72" t="n">
        <f aca="false">E32+E33+E34</f>
        <v>27600</v>
      </c>
      <c r="F35" s="72" t="n">
        <f aca="false">F32+F33+F34</f>
        <v>110400</v>
      </c>
      <c r="G35" s="72" t="n">
        <f aca="false">G32+G33+G34</f>
        <v>1494000</v>
      </c>
    </row>
    <row r="36" customFormat="false" ht="26.85" hidden="false" customHeight="false" outlineLevel="0" collapsed="false">
      <c r="A36" s="61"/>
      <c r="B36" s="61"/>
      <c r="C36" s="69"/>
      <c r="D36" s="69"/>
      <c r="E36" s="69"/>
      <c r="F36" s="69"/>
      <c r="G36" s="69"/>
      <c r="H36" s="88" t="s">
        <v>468</v>
      </c>
      <c r="I36" s="65" t="s">
        <v>469</v>
      </c>
    </row>
    <row r="37" customFormat="false" ht="15" hidden="false" customHeight="false" outlineLevel="0" collapsed="false">
      <c r="A37" s="61"/>
      <c r="B37" s="61"/>
      <c r="C37" s="86"/>
      <c r="D37" s="86"/>
      <c r="E37" s="86"/>
      <c r="F37" s="86"/>
      <c r="G37" s="86"/>
      <c r="I37" s="65" t="s">
        <v>470</v>
      </c>
    </row>
    <row r="38" customFormat="false" ht="15" hidden="false" customHeight="false" outlineLevel="0" collapsed="false">
      <c r="A38" s="61" t="s">
        <v>471</v>
      </c>
      <c r="B38" s="62" t="s">
        <v>132</v>
      </c>
      <c r="C38" s="89" t="n">
        <f aca="false">C35/$C$35</f>
        <v>1</v>
      </c>
      <c r="D38" s="89" t="n">
        <f aca="false">D35/$C$35</f>
        <v>2.06666666666667</v>
      </c>
      <c r="E38" s="89" t="n">
        <f aca="false">E35/$C$35</f>
        <v>9.2</v>
      </c>
      <c r="F38" s="89" t="n">
        <f aca="false">F35/$C$35</f>
        <v>36.8</v>
      </c>
      <c r="G38" s="89" t="n">
        <f aca="false">G35/$C$35</f>
        <v>498</v>
      </c>
    </row>
    <row r="39" customFormat="false" ht="15" hidden="false" customHeight="false" outlineLevel="0" collapsed="false">
      <c r="A39" s="61"/>
      <c r="B39" s="61"/>
      <c r="C39" s="87"/>
      <c r="D39" s="87"/>
      <c r="E39" s="87"/>
      <c r="F39" s="87"/>
      <c r="G39" s="87"/>
      <c r="I39" s="65" t="s">
        <v>472</v>
      </c>
    </row>
    <row r="40" customFormat="false" ht="39.55" hidden="false" customHeight="false" outlineLevel="0" collapsed="false">
      <c r="A40" s="61" t="s">
        <v>473</v>
      </c>
      <c r="B40" s="62" t="s">
        <v>132</v>
      </c>
      <c r="C40" s="68" t="n">
        <v>1</v>
      </c>
      <c r="E40" s="90" t="n">
        <f aca="false">SRC_HAR_001</f>
        <v>4</v>
      </c>
      <c r="F40" s="90" t="n">
        <f aca="false">SRC_HAR_002</f>
        <v>15</v>
      </c>
      <c r="H40" s="88" t="s">
        <v>474</v>
      </c>
      <c r="I40" s="65" t="s">
        <v>475</v>
      </c>
    </row>
    <row r="42" customFormat="false" ht="15" hidden="false" customHeight="false" outlineLevel="0" collapsed="false">
      <c r="A42" s="70" t="s">
        <v>476</v>
      </c>
      <c r="B42" s="71"/>
      <c r="C42" s="71"/>
      <c r="D42" s="71"/>
      <c r="E42" s="71"/>
      <c r="F42" s="71"/>
      <c r="G42" s="71"/>
      <c r="H42" s="71"/>
    </row>
    <row r="43" customFormat="false" ht="15" hidden="false" customHeight="false" outlineLevel="0" collapsed="false">
      <c r="A43" s="61"/>
      <c r="B43" s="61"/>
      <c r="C43" s="91"/>
      <c r="D43" s="91"/>
      <c r="E43" s="91"/>
      <c r="F43" s="91"/>
      <c r="G43" s="91"/>
      <c r="I43" s="65" t="s">
        <v>477</v>
      </c>
    </row>
    <row r="44" customFormat="false" ht="15" hidden="false" customHeight="false" outlineLevel="0" collapsed="false">
      <c r="A44" s="61"/>
      <c r="B44" s="61"/>
      <c r="C44" s="91"/>
      <c r="D44" s="91"/>
      <c r="E44" s="91"/>
      <c r="F44" s="91"/>
      <c r="G44" s="91"/>
      <c r="I44" s="65" t="s">
        <v>478</v>
      </c>
    </row>
    <row r="45" customFormat="false" ht="15" hidden="false" customHeight="false" outlineLevel="0" collapsed="false">
      <c r="A45" s="61"/>
      <c r="B45" s="61"/>
      <c r="C45" s="91"/>
      <c r="D45" s="91"/>
      <c r="E45" s="91"/>
      <c r="F45" s="91"/>
      <c r="G45" s="91"/>
      <c r="I45" s="65" t="s">
        <v>479</v>
      </c>
    </row>
    <row r="46" customFormat="false" ht="15" hidden="false" customHeight="false" outlineLevel="0" collapsed="false">
      <c r="A46" s="61"/>
      <c r="B46" s="61"/>
      <c r="C46" s="91"/>
      <c r="D46" s="91"/>
      <c r="E46" s="91"/>
      <c r="F46" s="91"/>
      <c r="G46" s="91"/>
      <c r="I46" s="65" t="s">
        <v>480</v>
      </c>
    </row>
    <row r="47" customFormat="false" ht="15" hidden="false" customHeight="false" outlineLevel="0" collapsed="false">
      <c r="A47" s="61"/>
      <c r="B47" s="61"/>
      <c r="C47" s="91"/>
      <c r="D47" s="91"/>
      <c r="E47" s="91"/>
      <c r="F47" s="91"/>
      <c r="G47" s="91"/>
      <c r="I47" s="65" t="s">
        <v>481</v>
      </c>
    </row>
    <row r="48" customFormat="false" ht="15" hidden="false" customHeight="false" outlineLevel="0" collapsed="false">
      <c r="A48" s="61"/>
      <c r="B48" s="61"/>
      <c r="C48" s="91"/>
      <c r="D48" s="91"/>
      <c r="E48" s="91"/>
      <c r="F48" s="91"/>
      <c r="G48" s="91"/>
      <c r="I48" s="65" t="s">
        <v>482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483</v>
      </c>
    </row>
    <row r="2" customFormat="false" ht="15" hidden="false" customHeight="false" outlineLevel="0" collapsed="false">
      <c r="A2" s="65" t="s">
        <v>484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7" t="s">
        <v>485</v>
      </c>
      <c r="B4" s="71"/>
      <c r="C4" s="71"/>
      <c r="D4" s="71"/>
      <c r="E4" s="71"/>
      <c r="F4" s="71"/>
      <c r="G4" s="71"/>
      <c r="H4" s="71"/>
      <c r="I4" s="71"/>
      <c r="J4" s="71"/>
    </row>
    <row r="5" customFormat="false" ht="15" hidden="false" customHeight="false" outlineLevel="0" collapsed="false">
      <c r="A5" s="62" t="s">
        <v>486</v>
      </c>
      <c r="B5" s="62" t="s">
        <v>127</v>
      </c>
      <c r="C5" s="67" t="n">
        <v>0.3</v>
      </c>
      <c r="J5" s="59" t="s">
        <v>487</v>
      </c>
    </row>
    <row r="7" customFormat="false" ht="15" hidden="false" customHeight="false" outlineLevel="0" collapsed="false">
      <c r="A7" s="77" t="s">
        <v>488</v>
      </c>
      <c r="B7" s="71"/>
      <c r="C7" s="71"/>
      <c r="D7" s="71"/>
      <c r="E7" s="71"/>
      <c r="F7" s="71"/>
      <c r="G7" s="71"/>
      <c r="H7" s="71"/>
      <c r="I7" s="71"/>
      <c r="J7" s="71"/>
    </row>
    <row r="8" customFormat="false" ht="15" hidden="false" customHeight="false" outlineLevel="0" collapsed="false">
      <c r="A8" s="60" t="s">
        <v>411</v>
      </c>
      <c r="B8" s="60" t="s">
        <v>109</v>
      </c>
    </row>
    <row r="9" customFormat="false" ht="15" hidden="false" customHeight="false" outlineLevel="0" collapsed="false">
      <c r="A9" s="61" t="s">
        <v>2</v>
      </c>
      <c r="B9" s="61"/>
      <c r="C9" s="60" t="s">
        <v>489</v>
      </c>
      <c r="D9" s="60" t="s">
        <v>490</v>
      </c>
      <c r="E9" s="60" t="s">
        <v>491</v>
      </c>
      <c r="F9" s="60" t="s">
        <v>492</v>
      </c>
      <c r="G9" s="60" t="s">
        <v>492</v>
      </c>
      <c r="H9" s="60" t="s">
        <v>493</v>
      </c>
      <c r="I9" s="60" t="s">
        <v>493</v>
      </c>
    </row>
    <row r="10" customFormat="false" ht="15" hidden="false" customHeight="false" outlineLevel="0" collapsed="false">
      <c r="A10" s="61" t="s">
        <v>494</v>
      </c>
      <c r="B10" s="61"/>
      <c r="C10" s="68" t="n">
        <v>3</v>
      </c>
      <c r="D10" s="68" t="n">
        <v>3</v>
      </c>
      <c r="E10" s="68" t="n">
        <v>3</v>
      </c>
      <c r="F10" s="68" t="n">
        <v>3</v>
      </c>
      <c r="G10" s="68" t="n">
        <v>2</v>
      </c>
      <c r="H10" s="68" t="n">
        <v>2</v>
      </c>
      <c r="I10" s="68" t="n">
        <v>3</v>
      </c>
      <c r="K10" s="65" t="s">
        <v>495</v>
      </c>
    </row>
    <row r="11" customFormat="false" ht="15" hidden="false" customHeight="false" outlineLevel="0" collapsed="false">
      <c r="A11" s="61" t="s">
        <v>200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65" t="s">
        <v>496</v>
      </c>
    </row>
    <row r="12" customFormat="false" ht="30" hidden="false" customHeight="true" outlineLevel="0" collapsed="false">
      <c r="A12" s="61" t="s">
        <v>497</v>
      </c>
      <c r="B12" s="61"/>
      <c r="C12" s="88" t="s">
        <v>498</v>
      </c>
      <c r="D12" s="88" t="s">
        <v>498</v>
      </c>
      <c r="E12" s="88" t="s">
        <v>499</v>
      </c>
      <c r="F12" s="88" t="s">
        <v>500</v>
      </c>
      <c r="G12" s="88" t="s">
        <v>500</v>
      </c>
      <c r="H12" s="88" t="s">
        <v>501</v>
      </c>
      <c r="I12" s="88" t="s">
        <v>501</v>
      </c>
    </row>
    <row r="13" customFormat="false" ht="15" hidden="false" customHeight="false" outlineLevel="0" collapsed="false">
      <c r="A13" s="62" t="s">
        <v>502</v>
      </c>
      <c r="B13" s="61"/>
      <c r="C13" s="90" t="n">
        <f aca="false">SRC_PERF_009_MTP</f>
        <v>1</v>
      </c>
      <c r="D13" s="90" t="n">
        <f aca="false">SRC_PERF_010_MTP</f>
        <v>1</v>
      </c>
      <c r="E13" s="90" t="n">
        <f aca="false">SRC_PERF_004_MTP</f>
        <v>1</v>
      </c>
      <c r="F13" s="90" t="n">
        <f aca="false">SRC_PERF_001_MTP</f>
        <v>0</v>
      </c>
      <c r="G13" s="90" t="n">
        <f aca="false">SRC_PERF_002_MTP</f>
        <v>0</v>
      </c>
      <c r="H13" s="90" t="n">
        <f aca="false">SRC_PERF_014_MTP</f>
        <v>1</v>
      </c>
      <c r="I13" s="90" t="n">
        <f aca="false">SRC_PERF_015_MTP</f>
        <v>1</v>
      </c>
      <c r="K13" s="65" t="s">
        <v>503</v>
      </c>
    </row>
    <row r="14" customFormat="false" ht="15" hidden="false" customHeight="false" outlineLevel="0" collapsed="false">
      <c r="A14" s="61" t="s">
        <v>504</v>
      </c>
      <c r="B14" s="62" t="s">
        <v>414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65" t="s">
        <v>505</v>
      </c>
    </row>
    <row r="15" customFormat="false" ht="15" hidden="false" customHeight="false" outlineLevel="0" collapsed="false">
      <c r="A15" s="62" t="s">
        <v>506</v>
      </c>
      <c r="B15" s="62" t="s">
        <v>333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65" t="s">
        <v>507</v>
      </c>
    </row>
    <row r="16" customFormat="false" ht="15" hidden="false" customHeight="false" outlineLevel="0" collapsed="false">
      <c r="A16" s="62" t="s">
        <v>508</v>
      </c>
      <c r="B16" s="62" t="s">
        <v>333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65" t="s">
        <v>509</v>
      </c>
    </row>
    <row r="17" customFormat="false" ht="15" hidden="false" customHeight="false" outlineLevel="0" collapsed="false">
      <c r="A17" s="61" t="s">
        <v>510</v>
      </c>
      <c r="B17" s="62" t="s">
        <v>414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65" t="s">
        <v>511</v>
      </c>
    </row>
    <row r="18" customFormat="false" ht="15" hidden="false" customHeight="false" outlineLevel="0" collapsed="false">
      <c r="A18" s="61" t="s">
        <v>512</v>
      </c>
      <c r="B18" s="61"/>
      <c r="C18" s="59" t="s">
        <v>513</v>
      </c>
      <c r="D18" s="59" t="s">
        <v>513</v>
      </c>
      <c r="E18" s="59" t="s">
        <v>514</v>
      </c>
      <c r="F18" s="59" t="s">
        <v>515</v>
      </c>
      <c r="G18" s="59" t="s">
        <v>515</v>
      </c>
      <c r="H18" s="59" t="s">
        <v>516</v>
      </c>
      <c r="I18" s="59" t="s">
        <v>516</v>
      </c>
    </row>
    <row r="19" customFormat="false" ht="26.85" hidden="false" customHeight="false" outlineLevel="0" collapsed="false">
      <c r="A19" s="61" t="s">
        <v>517</v>
      </c>
      <c r="B19" s="61"/>
      <c r="C19" s="88" t="s">
        <v>518</v>
      </c>
      <c r="D19" s="88" t="s">
        <v>518</v>
      </c>
      <c r="E19" s="88" t="s">
        <v>518</v>
      </c>
      <c r="F19" s="88" t="s">
        <v>518</v>
      </c>
      <c r="G19" s="88" t="s">
        <v>518</v>
      </c>
      <c r="H19" s="88" t="s">
        <v>518</v>
      </c>
      <c r="I19" s="88" t="s">
        <v>518</v>
      </c>
      <c r="J19" s="93" t="s">
        <v>519</v>
      </c>
    </row>
    <row r="20" customFormat="false" ht="30" hidden="false" customHeight="true" outlineLevel="0" collapsed="false">
      <c r="A20" s="61" t="s">
        <v>520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65" t="s">
        <v>521</v>
      </c>
    </row>
    <row r="21" customFormat="false" ht="26.85" hidden="false" customHeight="false" outlineLevel="0" collapsed="false">
      <c r="A21" s="61" t="s">
        <v>522</v>
      </c>
      <c r="B21" s="61"/>
      <c r="C21" s="93" t="s">
        <v>523</v>
      </c>
      <c r="D21" s="93" t="s">
        <v>523</v>
      </c>
      <c r="E21" s="93" t="s">
        <v>523</v>
      </c>
      <c r="F21" s="93" t="s">
        <v>523</v>
      </c>
      <c r="G21" s="93" t="s">
        <v>523</v>
      </c>
      <c r="H21" s="93" t="s">
        <v>523</v>
      </c>
      <c r="I21" s="93" t="s">
        <v>523</v>
      </c>
    </row>
    <row r="22" customFormat="false" ht="15" hidden="false" customHeight="false" outlineLevel="0" collapsed="false">
      <c r="A22" s="77" t="s">
        <v>524</v>
      </c>
      <c r="B22" s="71"/>
      <c r="C22" s="71"/>
      <c r="D22" s="71"/>
      <c r="E22" s="71"/>
      <c r="F22" s="71"/>
      <c r="G22" s="71"/>
      <c r="H22" s="71"/>
      <c r="I22" s="71"/>
      <c r="J22" s="71"/>
    </row>
    <row r="23" customFormat="false" ht="15" hidden="false" customHeight="false" outlineLevel="0" collapsed="false">
      <c r="A23" s="61" t="s">
        <v>525</v>
      </c>
      <c r="B23" s="62" t="s">
        <v>526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65" t="s">
        <v>527</v>
      </c>
    </row>
    <row r="24" customFormat="false" ht="15" hidden="false" customHeight="false" outlineLevel="0" collapsed="false">
      <c r="A24" s="62" t="s">
        <v>528</v>
      </c>
      <c r="B24" s="62" t="s">
        <v>529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65" t="s">
        <v>530</v>
      </c>
    </row>
    <row r="25" customFormat="false" ht="15" hidden="false" customHeight="false" outlineLevel="0" collapsed="false">
      <c r="A25" s="62" t="s">
        <v>531</v>
      </c>
      <c r="B25" s="62" t="s">
        <v>532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65" t="s">
        <v>533</v>
      </c>
    </row>
    <row r="26" customFormat="false" ht="15" hidden="false" customHeight="false" outlineLevel="0" collapsed="false">
      <c r="A26" s="62" t="s">
        <v>534</v>
      </c>
      <c r="B26" s="62" t="s">
        <v>532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65" t="s">
        <v>535</v>
      </c>
    </row>
    <row r="27" customFormat="false" ht="15" hidden="false" customHeight="false" outlineLevel="0" collapsed="false">
      <c r="A27" s="62" t="s">
        <v>536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65" t="s">
        <v>537</v>
      </c>
    </row>
    <row r="28" customFormat="false" ht="15" hidden="false" customHeight="false" outlineLevel="0" collapsed="false">
      <c r="A28" s="61" t="s">
        <v>538</v>
      </c>
      <c r="B28" s="62" t="s">
        <v>311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65" t="s">
        <v>539</v>
      </c>
    </row>
    <row r="29" customFormat="false" ht="15" hidden="false" customHeight="false" outlineLevel="0" collapsed="false">
      <c r="A29" s="61" t="s">
        <v>540</v>
      </c>
      <c r="B29" s="62" t="s">
        <v>311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65" t="s">
        <v>541</v>
      </c>
    </row>
    <row r="30" customFormat="false" ht="15" hidden="false" customHeight="false" outlineLevel="0" collapsed="false">
      <c r="A30" s="61" t="s">
        <v>313</v>
      </c>
      <c r="B30" s="62" t="s">
        <v>311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65" t="s">
        <v>542</v>
      </c>
    </row>
    <row r="31" customFormat="false" ht="15" hidden="false" customHeight="false" outlineLevel="0" collapsed="false">
      <c r="A31" s="61" t="s">
        <v>315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65" t="s">
        <v>543</v>
      </c>
    </row>
    <row r="32" customFormat="false" ht="15" hidden="false" customHeight="false" outlineLevel="0" collapsed="false">
      <c r="A32" s="62" t="s">
        <v>318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65" t="s">
        <v>544</v>
      </c>
    </row>
    <row r="33" customFormat="false" ht="15" hidden="false" customHeight="false" outlineLevel="0" collapsed="false">
      <c r="A33" s="61" t="s">
        <v>545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65" t="s">
        <v>546</v>
      </c>
    </row>
    <row r="34" customFormat="false" ht="15" hidden="false" customHeight="false" outlineLevel="0" collapsed="false">
      <c r="A34" s="61" t="s">
        <v>547</v>
      </c>
      <c r="B34" s="62" t="s">
        <v>311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65" t="s">
        <v>548</v>
      </c>
    </row>
    <row r="35" customFormat="false" ht="15" hidden="false" customHeight="false" outlineLevel="0" collapsed="false">
      <c r="A35" s="61" t="s">
        <v>353</v>
      </c>
      <c r="B35" s="62" t="s">
        <v>311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65" t="s">
        <v>549</v>
      </c>
    </row>
    <row r="36" customFormat="false" ht="15" hidden="false" customHeight="false" outlineLevel="0" collapsed="false">
      <c r="A36" s="62" t="s">
        <v>550</v>
      </c>
      <c r="B36" s="62" t="s">
        <v>311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65" t="s">
        <v>551</v>
      </c>
    </row>
    <row r="37" customFormat="false" ht="15" hidden="false" customHeight="false" outlineLevel="0" collapsed="false">
      <c r="A37" s="61" t="s">
        <v>552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65" t="s">
        <v>553</v>
      </c>
    </row>
    <row r="38" customFormat="false" ht="15" hidden="false" customHeight="false" outlineLevel="0" collapsed="false">
      <c r="A38" s="61" t="s">
        <v>330</v>
      </c>
      <c r="B38" s="62" t="s">
        <v>127</v>
      </c>
      <c r="C38" s="66" t="n">
        <f aca="false">Arch!$D$16</f>
        <v>0.492</v>
      </c>
      <c r="D38" s="66" t="n">
        <f aca="false">Arch!$D$16</f>
        <v>0.492</v>
      </c>
      <c r="E38" s="66" t="n">
        <f aca="false">Arch!$D$16</f>
        <v>0.492</v>
      </c>
      <c r="F38" s="66" t="n">
        <f aca="false">Arch!$D$16</f>
        <v>0.492</v>
      </c>
      <c r="G38" s="66" t="n">
        <f aca="false">Arch!$D$16</f>
        <v>0.492</v>
      </c>
      <c r="H38" s="66" t="n">
        <f aca="false">Arch!$D$16</f>
        <v>0.492</v>
      </c>
      <c r="I38" s="66" t="n">
        <f aca="false">Arch!$D$16</f>
        <v>0.492</v>
      </c>
      <c r="K38" s="65" t="s">
        <v>554</v>
      </c>
    </row>
    <row r="39" customFormat="false" ht="15" hidden="false" customHeight="false" outlineLevel="0" collapsed="false">
      <c r="A39" s="61" t="s">
        <v>555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65" t="s">
        <v>556</v>
      </c>
    </row>
    <row r="40" customFormat="false" ht="15" hidden="false" customHeight="false" outlineLevel="0" collapsed="false">
      <c r="A40" s="61" t="s">
        <v>557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65" t="s">
        <v>558</v>
      </c>
    </row>
    <row r="41" customFormat="false" ht="15" hidden="false" customHeight="false" outlineLevel="0" collapsed="false">
      <c r="A41" s="61" t="s">
        <v>559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65" t="s">
        <v>560</v>
      </c>
    </row>
    <row r="42" customFormat="false" ht="15" hidden="false" customHeight="false" outlineLevel="0" collapsed="false">
      <c r="A42" s="62" t="s">
        <v>561</v>
      </c>
      <c r="B42" s="62" t="s">
        <v>333</v>
      </c>
      <c r="C42" s="69" t="n">
        <f aca="false">C15+C16/2</f>
        <v>8704</v>
      </c>
      <c r="D42" s="69" t="n">
        <f aca="false">D15+D16/2</f>
        <v>8704</v>
      </c>
      <c r="E42" s="69" t="n">
        <f aca="false">E15+E16/2</f>
        <v>8704</v>
      </c>
      <c r="F42" s="69" t="n">
        <f aca="false">F15+F16/2</f>
        <v>8704</v>
      </c>
      <c r="G42" s="69" t="n">
        <f aca="false">G15+G16/2</f>
        <v>8704</v>
      </c>
      <c r="H42" s="69" t="n">
        <f aca="false">H15+H16/2</f>
        <v>8704</v>
      </c>
      <c r="I42" s="69" t="n">
        <f aca="false">I15+I16/2</f>
        <v>8704</v>
      </c>
      <c r="K42" s="65" t="s">
        <v>562</v>
      </c>
    </row>
    <row r="43" customFormat="false" ht="15" hidden="false" customHeight="false" outlineLevel="0" collapsed="false">
      <c r="A43" s="62" t="s">
        <v>563</v>
      </c>
      <c r="B43" s="62" t="s">
        <v>333</v>
      </c>
      <c r="C43" s="69" t="n">
        <f aca="false">C38*IF(C39=0,C42,MIN(C42,C39))+(1-C38)*(C42/C40+C41)</f>
        <v>2177.776</v>
      </c>
      <c r="D43" s="69" t="n">
        <f aca="false">D38*IF(D39=0,D42,MIN(D42,D39))+(1-D38)*(D42/D40+D41)</f>
        <v>2177.776</v>
      </c>
      <c r="E43" s="69" t="n">
        <f aca="false">E38*IF(E39=0,E42,MIN(E42,E39))+(1-E38)*(E42/E40+E41)</f>
        <v>2177.776</v>
      </c>
      <c r="F43" s="69" t="n">
        <f aca="false">F38*IF(F39=0,F42,MIN(F42,F39))+(1-F38)*(F42/F40+F41)</f>
        <v>2177.776</v>
      </c>
      <c r="G43" s="69" t="n">
        <f aca="false">G38*IF(G39=0,G42,MIN(G42,G39))+(1-G38)*(G42/G40+G41)</f>
        <v>2177.776</v>
      </c>
      <c r="H43" s="69" t="n">
        <f aca="false">H38*IF(H39=0,H42,MIN(H42,H39))+(1-H38)*(H42/H40+H41)</f>
        <v>2177.776</v>
      </c>
      <c r="I43" s="69" t="n">
        <f aca="false">I38*IF(I39=0,I42,MIN(I42,I39))+(1-I38)*(I42/I40+I41)</f>
        <v>2177.776</v>
      </c>
      <c r="K43" s="65" t="s">
        <v>564</v>
      </c>
    </row>
    <row r="44" customFormat="false" ht="15" hidden="false" customHeight="false" outlineLevel="0" collapsed="false">
      <c r="A44" s="62" t="s">
        <v>565</v>
      </c>
      <c r="B44" s="62" t="s">
        <v>566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65" t="s">
        <v>567</v>
      </c>
    </row>
    <row r="45" customFormat="false" ht="15" hidden="false" customHeight="false" outlineLevel="0" collapsed="false">
      <c r="A45" s="62" t="s">
        <v>568</v>
      </c>
      <c r="B45" s="62" t="s">
        <v>333</v>
      </c>
      <c r="C45" s="69" t="n">
        <f aca="false">C15/2</f>
        <v>4096</v>
      </c>
      <c r="D45" s="69" t="n">
        <f aca="false">D15/2</f>
        <v>4096</v>
      </c>
      <c r="E45" s="69" t="n">
        <f aca="false">E15/2</f>
        <v>4096</v>
      </c>
      <c r="F45" s="69" t="n">
        <f aca="false">F15/2</f>
        <v>4096</v>
      </c>
      <c r="G45" s="69" t="n">
        <f aca="false">G15/2</f>
        <v>4096</v>
      </c>
      <c r="H45" s="69" t="n">
        <f aca="false">H15/2</f>
        <v>4096</v>
      </c>
      <c r="I45" s="69" t="n">
        <f aca="false">I15/2</f>
        <v>4096</v>
      </c>
      <c r="K45" s="65" t="s">
        <v>569</v>
      </c>
    </row>
    <row r="46" customFormat="false" ht="15" hidden="false" customHeight="false" outlineLevel="0" collapsed="false">
      <c r="A46" s="62" t="s">
        <v>570</v>
      </c>
      <c r="B46" s="62" t="s">
        <v>333</v>
      </c>
      <c r="C46" s="69" t="n">
        <f aca="false">C38*IF(C39=0,C45,MIN(C45,C39))+(1-C38)*(C45/C40+C41)</f>
        <v>2096.512</v>
      </c>
      <c r="D46" s="69" t="n">
        <f aca="false">D38*IF(D39=0,D45,MIN(D45,D39))+(1-D38)*(D45/D40+D41)</f>
        <v>2096.512</v>
      </c>
      <c r="E46" s="69" t="n">
        <f aca="false">E38*IF(E39=0,E45,MIN(E45,E39))+(1-E38)*(E45/E40+E41)</f>
        <v>2096.512</v>
      </c>
      <c r="F46" s="69" t="n">
        <f aca="false">F38*IF(F39=0,F45,MIN(F45,F39))+(1-F38)*(F45/F40+F41)</f>
        <v>2096.512</v>
      </c>
      <c r="G46" s="69" t="n">
        <f aca="false">G38*IF(G39=0,G45,MIN(G45,G39))+(1-G38)*(G45/G40+G41)</f>
        <v>2096.512</v>
      </c>
      <c r="H46" s="69" t="n">
        <f aca="false">H38*IF(H39=0,H45,MIN(H45,H39))+(1-H38)*(H45/H40+H41)</f>
        <v>2096.512</v>
      </c>
      <c r="I46" s="69" t="n">
        <f aca="false">I38*IF(I39=0,I45,MIN(I45,I39))+(1-I38)*(I45/I40+I41)</f>
        <v>2096.512</v>
      </c>
      <c r="K46" s="65" t="s">
        <v>571</v>
      </c>
    </row>
    <row r="47" customFormat="false" ht="15" hidden="false" customHeight="false" outlineLevel="0" collapsed="false">
      <c r="A47" s="62" t="s">
        <v>572</v>
      </c>
      <c r="B47" s="62" t="s">
        <v>566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65" t="s">
        <v>573</v>
      </c>
    </row>
    <row r="48" customFormat="false" ht="15" hidden="false" customHeight="false" outlineLevel="0" collapsed="false">
      <c r="A48" s="61" t="s">
        <v>574</v>
      </c>
      <c r="B48" s="62" t="s">
        <v>529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65" t="s">
        <v>575</v>
      </c>
    </row>
    <row r="49" customFormat="false" ht="15" hidden="false" customHeight="false" outlineLevel="0" collapsed="false">
      <c r="A49" s="61" t="s">
        <v>576</v>
      </c>
      <c r="B49" s="61"/>
      <c r="C49" s="90" t="n">
        <f aca="false">MAX(1,CEILING(C34*C29/(Serving!$C$10*C48),1))</f>
        <v>1</v>
      </c>
      <c r="D49" s="90" t="n">
        <f aca="false">MAX(1,CEILING(D34*D29/(Serving!$C$10*D48),1))</f>
        <v>1</v>
      </c>
      <c r="E49" s="90" t="n">
        <f aca="false">MAX(1,CEILING(E34*E29/(Serving!$C$10*E48),1))</f>
        <v>1</v>
      </c>
      <c r="F49" s="90" t="n">
        <f aca="false">MAX(1,CEILING(F34*F29/(Serving!$C$10*F48),1))</f>
        <v>1</v>
      </c>
      <c r="G49" s="90" t="n">
        <f aca="false">MAX(1,CEILING(G34*G29/(Serving!$C$10*G48),1))</f>
        <v>1</v>
      </c>
      <c r="H49" s="90" t="n">
        <f aca="false">MAX(1,CEILING(H34*H29/(Serving!$C$10*H48),1))</f>
        <v>1</v>
      </c>
      <c r="I49" s="90" t="n">
        <f aca="false">MAX(1,CEILING(I34*I29/(Serving!$C$10*I48),1))</f>
        <v>1</v>
      </c>
      <c r="K49" s="65" t="s">
        <v>577</v>
      </c>
    </row>
    <row r="50" customFormat="false" ht="15" hidden="false" customHeight="false" outlineLevel="0" collapsed="false">
      <c r="A50" s="62" t="s">
        <v>578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65" t="s">
        <v>579</v>
      </c>
    </row>
    <row r="51" customFormat="false" ht="15" hidden="false" customHeight="false" outlineLevel="0" collapsed="false">
      <c r="A51" s="61" t="s">
        <v>580</v>
      </c>
      <c r="B51" s="62" t="s">
        <v>529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65" t="s">
        <v>581</v>
      </c>
    </row>
    <row r="52" customFormat="false" ht="15" hidden="false" customHeight="false" outlineLevel="0" collapsed="false">
      <c r="A52" s="61" t="s">
        <v>582</v>
      </c>
      <c r="B52" s="61"/>
      <c r="C52" s="90" t="n">
        <f aca="false">Serving!$C$6*C13</f>
        <v>3</v>
      </c>
      <c r="D52" s="90" t="n">
        <f aca="false">Serving!$C$6*D13</f>
        <v>3</v>
      </c>
      <c r="E52" s="90" t="n">
        <f aca="false">Serving!$C$6*E13</f>
        <v>3</v>
      </c>
      <c r="F52" s="90" t="n">
        <f aca="false">Serving!$C$6*F13</f>
        <v>0</v>
      </c>
      <c r="G52" s="90" t="n">
        <f aca="false">Serving!$C$6*G13</f>
        <v>0</v>
      </c>
      <c r="H52" s="90" t="n">
        <f aca="false">Serving!$C$6*H13</f>
        <v>3</v>
      </c>
      <c r="I52" s="90" t="n">
        <f aca="false">Serving!$C$6*I13</f>
        <v>3</v>
      </c>
      <c r="K52" s="65" t="s">
        <v>583</v>
      </c>
    </row>
    <row r="53" customFormat="false" ht="15" hidden="false" customHeight="false" outlineLevel="0" collapsed="false">
      <c r="A53" s="61" t="s">
        <v>584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65" t="s">
        <v>585</v>
      </c>
    </row>
    <row r="54" customFormat="false" ht="15" hidden="false" customHeight="false" outlineLevel="0" collapsed="false">
      <c r="A54" s="62" t="s">
        <v>586</v>
      </c>
      <c r="B54" s="62" t="s">
        <v>414</v>
      </c>
      <c r="C54" s="69" t="n">
        <f aca="false">$C$5*C23*1000000000000000/(C47*1000000000)</f>
        <v>34214.061426857</v>
      </c>
      <c r="D54" s="69" t="n">
        <f aca="false">$C$5*D23*1000000000000000/(D47*1000000000)</f>
        <v>34214.061426857</v>
      </c>
      <c r="E54" s="69" t="n">
        <f aca="false">$C$5*E23*1000000000000000/(E47*1000000000)</f>
        <v>34214.061426857</v>
      </c>
      <c r="F54" s="69" t="n">
        <f aca="false">$C$5*F23*1000000000000000/(F47*1000000000)</f>
        <v>34214.061426857</v>
      </c>
      <c r="G54" s="69" t="n">
        <f aca="false">$C$5*G23*1000000000000000/(G47*1000000000)</f>
        <v>22809.3742845713</v>
      </c>
      <c r="H54" s="69" t="n">
        <f aca="false">$C$5*H23*1000000000000000/(H47*1000000000)</f>
        <v>22809.3742845713</v>
      </c>
      <c r="I54" s="69" t="n">
        <f aca="false">$C$5*I23*1000000000000000/(I47*1000000000)</f>
        <v>34214.061426857</v>
      </c>
      <c r="K54" s="65" t="s">
        <v>587</v>
      </c>
    </row>
    <row r="55" customFormat="false" ht="15" hidden="false" customHeight="false" outlineLevel="0" collapsed="false">
      <c r="A55" s="61" t="s">
        <v>588</v>
      </c>
      <c r="B55" s="62" t="s">
        <v>589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65" t="s">
        <v>590</v>
      </c>
    </row>
    <row r="56" customFormat="false" ht="15" hidden="false" customHeight="false" outlineLevel="0" collapsed="false">
      <c r="A56" s="61" t="s">
        <v>591</v>
      </c>
      <c r="B56" s="62" t="s">
        <v>414</v>
      </c>
      <c r="C56" s="69" t="n">
        <f aca="false">C16/((C15+C16)/C17-C15/C54)</f>
        <v>1370.69137627503</v>
      </c>
      <c r="D56" s="69" t="n">
        <f aca="false">D16/((D15+D16)/D17-D15/D54)</f>
        <v>415.076479131515</v>
      </c>
      <c r="E56" s="69" t="n">
        <f aca="false">E16/((E15+E16)/E17-E15/E54)</f>
        <v>1755.15750600715</v>
      </c>
      <c r="F56" s="69" t="n">
        <f aca="false">F16/((F15+F16)/F17-F15/F54)</f>
        <v>818.3188584363</v>
      </c>
      <c r="G56" s="69" t="n">
        <f aca="false">G16/((G15+G16)/G17-G15/G54)</f>
        <v>265.905578608434</v>
      </c>
      <c r="H56" s="69" t="n">
        <f aca="false">H16/((H15+H16)/H17-H15/H54)</f>
        <v>494.927953841062</v>
      </c>
      <c r="I56" s="69" t="n">
        <f aca="false">I16/((I15+I16)/I17-I15/I54)</f>
        <v>872.571276968989</v>
      </c>
      <c r="J56" s="65" t="s">
        <v>592</v>
      </c>
      <c r="K56" s="65" t="s">
        <v>593</v>
      </c>
    </row>
    <row r="57" customFormat="false" ht="15" hidden="false" customHeight="false" outlineLevel="0" collapsed="false">
      <c r="A57" s="61" t="s">
        <v>594</v>
      </c>
      <c r="B57" s="61" t="s">
        <v>595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65" t="s">
        <v>596</v>
      </c>
    </row>
    <row r="59" customFormat="false" ht="15" hidden="false" customHeight="false" outlineLevel="0" collapsed="false">
      <c r="A59" s="77" t="s">
        <v>597</v>
      </c>
      <c r="B59" s="71"/>
      <c r="C59" s="71"/>
      <c r="D59" s="71"/>
      <c r="E59" s="71"/>
      <c r="F59" s="71"/>
      <c r="G59" s="71"/>
      <c r="H59" s="71"/>
      <c r="I59" s="71"/>
      <c r="J59" s="71"/>
    </row>
    <row r="60" customFormat="false" ht="15" hidden="false" customHeight="false" outlineLevel="0" collapsed="false">
      <c r="A60" s="62" t="s">
        <v>598</v>
      </c>
      <c r="B60" s="62" t="s">
        <v>127</v>
      </c>
      <c r="C60" s="100" t="n">
        <f aca="false">(C57-D57)*C55/(1000*(C53/C14-D53/D14))</f>
        <v>0.0357550334998836</v>
      </c>
      <c r="J60" s="59" t="s">
        <v>599</v>
      </c>
    </row>
    <row r="61" customFormat="false" ht="15" hidden="false" customHeight="false" outlineLevel="0" collapsed="false">
      <c r="A61" s="61" t="s">
        <v>600</v>
      </c>
      <c r="B61" s="62" t="s">
        <v>589</v>
      </c>
      <c r="C61" s="73" t="n">
        <f aca="false">1000*C53/C14-C57*C55/C60</f>
        <v>16.3216531987164</v>
      </c>
    </row>
    <row r="62" customFormat="false" ht="15" hidden="false" customHeight="false" outlineLevel="0" collapsed="false">
      <c r="A62" s="61" t="s">
        <v>601</v>
      </c>
      <c r="B62" s="62" t="s">
        <v>602</v>
      </c>
      <c r="C62" s="72" t="n">
        <f aca="false">(C61-C51/C25)*1000/(C31+C52)</f>
        <v>161.185338133698</v>
      </c>
      <c r="J62" s="65" t="s">
        <v>603</v>
      </c>
    </row>
    <row r="63" customFormat="false" ht="15" hidden="false" customHeight="false" outlineLevel="0" collapsed="false">
      <c r="A63" s="61" t="s">
        <v>604</v>
      </c>
      <c r="C63" s="92" t="str">
        <f aca="false">IF(C55/C60&gt;=MAX(C36*C42/(C25*Serving!$C$13)/1000000000,(C52+1)*C31*C33*C32*Serving!$C$12/(C26*Serving!$C$14)/1000000000),"成立","不成立")</f>
        <v>成立</v>
      </c>
      <c r="K63" s="65" t="s">
        <v>605</v>
      </c>
    </row>
    <row r="65" customFormat="false" ht="15" hidden="false" customHeight="false" outlineLevel="0" collapsed="false">
      <c r="A65" s="77" t="s">
        <v>606</v>
      </c>
      <c r="B65" s="71"/>
      <c r="C65" s="71"/>
      <c r="D65" s="71"/>
      <c r="E65" s="71"/>
      <c r="F65" s="71"/>
      <c r="G65" s="71"/>
      <c r="H65" s="71"/>
      <c r="I65" s="71"/>
      <c r="J65" s="71"/>
    </row>
    <row r="66" customFormat="false" ht="15" hidden="false" customHeight="false" outlineLevel="0" collapsed="false">
      <c r="A66" s="60" t="s">
        <v>200</v>
      </c>
      <c r="C66" s="83" t="str">
        <f aca="false">Spec_Rack!C4</f>
        <v>Hopper H100</v>
      </c>
      <c r="D66" s="83" t="str">
        <f aca="false">Spec_Rack!D4</f>
        <v>GB200 NVL72</v>
      </c>
      <c r="E66" s="83" t="str">
        <f aca="false">Spec_Rack!E4</f>
        <v>GB300 NVL72</v>
      </c>
      <c r="F66" s="83" t="str">
        <f aca="false">Spec_Rack!F4</f>
        <v>VR200 NVL72</v>
      </c>
      <c r="G66" s="83" t="str">
        <f aca="false">Spec_Rack!G4</f>
        <v>Rubin Ultra（MGX NVL 單架，72 GPU）</v>
      </c>
      <c r="K66" s="65" t="s">
        <v>607</v>
      </c>
    </row>
    <row r="67" customFormat="false" ht="52.2" hidden="false" customHeight="false" outlineLevel="0" collapsed="false">
      <c r="A67" s="62" t="s">
        <v>608</v>
      </c>
      <c r="B67" s="62" t="s">
        <v>132</v>
      </c>
      <c r="C67" s="80" t="n">
        <v>1.2</v>
      </c>
      <c r="D67" s="80" t="n">
        <v>1</v>
      </c>
      <c r="E67" s="80" t="n">
        <v>1</v>
      </c>
      <c r="F67" s="80" t="n">
        <v>1</v>
      </c>
      <c r="G67" s="80" t="n">
        <v>1</v>
      </c>
      <c r="J67" s="88" t="s">
        <v>609</v>
      </c>
    </row>
    <row r="68" customFormat="false" ht="204.45" hidden="false" customHeight="false" outlineLevel="0" collapsed="false">
      <c r="A68" s="61" t="s">
        <v>610</v>
      </c>
      <c r="B68" s="62" t="s">
        <v>132</v>
      </c>
      <c r="C68" s="80" t="n">
        <v>1.5</v>
      </c>
      <c r="D68" s="80" t="n">
        <v>1</v>
      </c>
      <c r="E68" s="80" t="n">
        <v>1</v>
      </c>
      <c r="F68" s="80" t="n">
        <v>1</v>
      </c>
      <c r="G68" s="80" t="n">
        <v>1</v>
      </c>
      <c r="J68" s="88" t="s">
        <v>611</v>
      </c>
    </row>
    <row r="69" customFormat="false" ht="26.85" hidden="false" customHeight="false" outlineLevel="0" collapsed="false">
      <c r="A69" s="62" t="s">
        <v>612</v>
      </c>
      <c r="B69" s="62" t="s">
        <v>132</v>
      </c>
      <c r="C69" s="97" t="n">
        <f aca="false">SRC_HW_019/SRC_HW_040</f>
        <v>0.499747347145023</v>
      </c>
      <c r="D69" s="80" t="n">
        <v>1</v>
      </c>
      <c r="E69" s="80" t="n">
        <v>1</v>
      </c>
      <c r="F69" s="80" t="n">
        <v>1</v>
      </c>
      <c r="G69" s="80" t="n">
        <v>1</v>
      </c>
      <c r="J69" s="88" t="s">
        <v>613</v>
      </c>
    </row>
    <row r="70" customFormat="false" ht="15" hidden="false" customHeight="false" outlineLevel="0" collapsed="false">
      <c r="A70" s="62" t="s">
        <v>614</v>
      </c>
      <c r="B70" s="62" t="s">
        <v>127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615</v>
      </c>
      <c r="B71" s="62" t="s">
        <v>602</v>
      </c>
      <c r="C71" s="72" t="n">
        <f aca="false">$C$62*C68</f>
        <v>241.778007200547</v>
      </c>
      <c r="D71" s="72" t="n">
        <f aca="false">$C$62*D68</f>
        <v>161.185338133698</v>
      </c>
      <c r="E71" s="72" t="n">
        <f aca="false">$C$62*E68</f>
        <v>161.185338133698</v>
      </c>
      <c r="F71" s="72" t="n">
        <f aca="false">$C$62*F68</f>
        <v>161.185338133698</v>
      </c>
      <c r="G71" s="72" t="n">
        <f aca="false">$C$62*G68</f>
        <v>161.185338133698</v>
      </c>
    </row>
    <row r="72" customFormat="false" ht="15" hidden="false" customHeight="false" outlineLevel="0" collapsed="false">
      <c r="A72" s="62" t="s">
        <v>616</v>
      </c>
      <c r="B72" s="62" t="s">
        <v>127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7" t="s">
        <v>617</v>
      </c>
      <c r="B74" s="71"/>
      <c r="C74" s="71"/>
      <c r="D74" s="71"/>
      <c r="E74" s="71"/>
      <c r="F74" s="71"/>
      <c r="G74" s="71"/>
      <c r="H74" s="71"/>
      <c r="I74" s="71"/>
      <c r="J74" s="71"/>
    </row>
    <row r="75" customFormat="false" ht="15" hidden="false" customHeight="false" outlineLevel="0" collapsed="false">
      <c r="A75" s="62" t="s">
        <v>618</v>
      </c>
      <c r="B75" s="62" t="s">
        <v>127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65" t="s">
        <v>619</v>
      </c>
    </row>
    <row r="76" customFormat="false" ht="15" hidden="false" customHeight="false" outlineLevel="0" collapsed="false">
      <c r="A76" s="61" t="s">
        <v>620</v>
      </c>
      <c r="B76" s="62" t="s">
        <v>602</v>
      </c>
      <c r="C76" s="69" t="n">
        <f aca="false">INDEX($C$71:$G$71,C10)</f>
        <v>161.185338133698</v>
      </c>
      <c r="D76" s="69" t="n">
        <f aca="false">INDEX($C$71:$G$71,D10)</f>
        <v>161.185338133698</v>
      </c>
      <c r="E76" s="69" t="n">
        <f aca="false">INDEX($C$71:$G$71,E10)</f>
        <v>161.185338133698</v>
      </c>
      <c r="F76" s="69" t="n">
        <f aca="false">INDEX($C$71:$G$71,F10)</f>
        <v>161.185338133698</v>
      </c>
      <c r="G76" s="69" t="n">
        <f aca="false">INDEX($C$71:$G$71,G10)</f>
        <v>161.185338133698</v>
      </c>
      <c r="H76" s="69" t="n">
        <f aca="false">INDEX($C$71:$G$71,H10)</f>
        <v>161.185338133698</v>
      </c>
      <c r="I76" s="69" t="n">
        <f aca="false">INDEX($C$71:$G$71,I10)</f>
        <v>161.185338133698</v>
      </c>
      <c r="K76" s="65" t="s">
        <v>621</v>
      </c>
    </row>
    <row r="77" customFormat="false" ht="15" hidden="false" customHeight="false" outlineLevel="0" collapsed="false">
      <c r="A77" s="62" t="s">
        <v>622</v>
      </c>
      <c r="B77" s="62" t="s">
        <v>127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65" t="s">
        <v>623</v>
      </c>
    </row>
    <row r="78" customFormat="false" ht="15" hidden="false" customHeight="false" outlineLevel="0" collapsed="false">
      <c r="A78" s="62" t="s">
        <v>624</v>
      </c>
      <c r="B78" s="62" t="s">
        <v>414</v>
      </c>
      <c r="C78" s="69" t="n">
        <f aca="false">C77*C23*1000000000000000/(C47*1000000000)</f>
        <v>34214.061426857</v>
      </c>
      <c r="D78" s="69" t="n">
        <f aca="false">D77*D23*1000000000000000/(D47*1000000000)</f>
        <v>34214.061426857</v>
      </c>
      <c r="E78" s="69" t="n">
        <f aca="false">E77*E23*1000000000000000/(E47*1000000000)</f>
        <v>34214.061426857</v>
      </c>
      <c r="F78" s="69" t="n">
        <f aca="false">F77*F23*1000000000000000/(F47*1000000000)</f>
        <v>34214.061426857</v>
      </c>
      <c r="G78" s="69" t="n">
        <f aca="false">G77*G23*1000000000000000/(G47*1000000000)</f>
        <v>22809.3742845713</v>
      </c>
      <c r="H78" s="69" t="n">
        <f aca="false">H77*H23*1000000000000000/(H47*1000000000)</f>
        <v>22809.3742845713</v>
      </c>
      <c r="I78" s="69" t="n">
        <f aca="false">I77*I23*1000000000000000/(I47*1000000000)</f>
        <v>34214.061426857</v>
      </c>
      <c r="K78" s="65" t="s">
        <v>625</v>
      </c>
    </row>
    <row r="79" customFormat="false" ht="15" hidden="false" customHeight="false" outlineLevel="0" collapsed="false">
      <c r="A79" s="61" t="s">
        <v>626</v>
      </c>
      <c r="B79" s="62" t="s">
        <v>589</v>
      </c>
      <c r="C79" s="73" t="n">
        <f aca="false">C51/C25+(C31+C52)*C76/1000</f>
        <v>16.3216531987164</v>
      </c>
      <c r="D79" s="73" t="n">
        <f aca="false">D51/D25+(D31+D52)*D76/1000</f>
        <v>16.3216531987164</v>
      </c>
      <c r="E79" s="73" t="n">
        <f aca="false">E51/E25+(E31+E52)*E76/1000</f>
        <v>16.3216531987164</v>
      </c>
      <c r="F79" s="73" t="n">
        <f aca="false">F51/F25+(F31+F52)*F76/1000</f>
        <v>15.8380971843153</v>
      </c>
      <c r="G79" s="73" t="n">
        <f aca="false">G51/G25+(G31+G52)*G76/1000</f>
        <v>15.8380971843153</v>
      </c>
      <c r="H79" s="73" t="n">
        <f aca="false">H51/H25+(H31+H52)*H76/1000</f>
        <v>16.3216531987164</v>
      </c>
      <c r="I79" s="73" t="n">
        <f aca="false">I51/I25+(I31+I52)*I76/1000</f>
        <v>16.3216531987164</v>
      </c>
      <c r="K79" s="65" t="s">
        <v>627</v>
      </c>
    </row>
    <row r="80" customFormat="false" ht="15" hidden="false" customHeight="false" outlineLevel="0" collapsed="false">
      <c r="A80" s="61" t="s">
        <v>628</v>
      </c>
      <c r="B80" s="62" t="s">
        <v>589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65" t="s">
        <v>629</v>
      </c>
    </row>
    <row r="81" customFormat="false" ht="15" hidden="false" customHeight="false" outlineLevel="0" collapsed="false">
      <c r="A81" s="62" t="s">
        <v>630</v>
      </c>
      <c r="B81" s="61" t="s">
        <v>631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65" t="s">
        <v>632</v>
      </c>
    </row>
    <row r="82" customFormat="false" ht="15" hidden="false" customHeight="false" outlineLevel="0" collapsed="false">
      <c r="A82" s="61" t="s">
        <v>633</v>
      </c>
      <c r="B82" s="61" t="s">
        <v>631</v>
      </c>
      <c r="C82" s="69" t="n">
        <f aca="false">(C48-C51)*1000000000/(C36*C42)</f>
        <v>6118.38152813225</v>
      </c>
      <c r="D82" s="69" t="n">
        <f aca="false">(D48-D51)*1000000000/(D36*D42)</f>
        <v>6118.38152813225</v>
      </c>
      <c r="E82" s="69" t="n">
        <f aca="false">(E48-E51)*1000000000/(E36*E42)</f>
        <v>6118.38152813225</v>
      </c>
      <c r="F82" s="69" t="n">
        <f aca="false">(F48-F51)*1000000000/(F36*F42)</f>
        <v>6118.38152813225</v>
      </c>
      <c r="G82" s="69" t="n">
        <f aca="false">(G48-G51)*1000000000/(G36*G42)</f>
        <v>3458.38783330249</v>
      </c>
      <c r="H82" s="69" t="n">
        <f aca="false">(H48-H51)*1000000000/(H36*H42)</f>
        <v>3458.38783330249</v>
      </c>
      <c r="I82" s="69" t="n">
        <f aca="false">(I48-I51)*1000000000/(I36*I42)</f>
        <v>6118.38152813225</v>
      </c>
      <c r="K82" s="65" t="s">
        <v>634</v>
      </c>
    </row>
    <row r="83" customFormat="false" ht="15" hidden="false" customHeight="false" outlineLevel="0" collapsed="false">
      <c r="A83" s="62" t="s">
        <v>635</v>
      </c>
      <c r="B83" s="61" t="s">
        <v>631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65" t="s">
        <v>636</v>
      </c>
    </row>
    <row r="84" customFormat="false" ht="15" hidden="false" customHeight="false" outlineLevel="0" collapsed="false">
      <c r="A84" s="62" t="s">
        <v>637</v>
      </c>
      <c r="B84" s="62" t="s">
        <v>414</v>
      </c>
      <c r="C84" s="69" t="n">
        <f aca="false">IF(C83&gt;0,C83*C53/((C79+C83*C80)/1000),0)</f>
        <v>1370.69137627503</v>
      </c>
      <c r="D84" s="69" t="n">
        <f aca="false">IF(D83&gt;0,D83*D53/((D79+D83*D80)/1000),0)</f>
        <v>415.076479131514</v>
      </c>
      <c r="E84" s="69" t="n">
        <f aca="false">IF(E83&gt;0,E83*E53/((E79+E83*E80)/1000),0)</f>
        <v>1733.16599243291</v>
      </c>
      <c r="F84" s="69" t="n">
        <f aca="false">IF(F83&gt;0,F83*F53/((F79+F83*F80)/1000),0)</f>
        <v>2311.15285708246</v>
      </c>
      <c r="G84" s="69" t="n">
        <f aca="false">IF(G83&gt;0,G83*G53/((G79+G83*G80)/1000),0)</f>
        <v>1540.76857138831</v>
      </c>
      <c r="H84" s="69" t="n">
        <f aca="false">IF(H83&gt;0,H83*H53/((H79+H83*H80)/1000),0)</f>
        <v>496.399238304576</v>
      </c>
      <c r="I84" s="69" t="n">
        <f aca="false">IF(I83&gt;0,I83*I53/((I79+I83*I80)/1000),0)</f>
        <v>744.598857456863</v>
      </c>
      <c r="K84" s="65" t="s">
        <v>638</v>
      </c>
    </row>
    <row r="85" customFormat="false" ht="15" hidden="false" customHeight="false" outlineLevel="0" collapsed="false">
      <c r="A85" s="61" t="s">
        <v>639</v>
      </c>
      <c r="B85" s="62" t="s">
        <v>414</v>
      </c>
      <c r="C85" s="69" t="n">
        <f aca="false">IF(C84&gt;0,(C15+C16)/(C15/C78+C16/C84),0)</f>
        <v>9342.1</v>
      </c>
      <c r="D85" s="69" t="n">
        <f aca="false">IF(D84&gt;0,(D15+D16)/(D15/D78+D16/D84),0)</f>
        <v>3405.2</v>
      </c>
      <c r="E85" s="69" t="n">
        <f aca="false">IF(E84&gt;0,(E15+E16)/(E15/E78+E16/E84),0)</f>
        <v>11100.1374307429</v>
      </c>
      <c r="F85" s="69" t="n">
        <f aca="false">IF(F84&gt;0,(F15+F16)/(F15/F78+F16/F84),0)</f>
        <v>13503.2444760612</v>
      </c>
      <c r="G85" s="69" t="n">
        <f aca="false">IF(G84&gt;0,(G15+G16)/(G15/G78+G16/G84),0)</f>
        <v>9002.16298404078</v>
      </c>
      <c r="H85" s="69" t="n">
        <f aca="false">IF(H84&gt;0,(H15+H16)/(H15/H78+H16/H84),0)</f>
        <v>3805.10986409177</v>
      </c>
      <c r="I85" s="69" t="n">
        <f aca="false">IF(I84&gt;0,(I15+I16)/(I15/I78+I16/I84),0)</f>
        <v>5707.66479613766</v>
      </c>
      <c r="K85" s="65" t="s">
        <v>640</v>
      </c>
    </row>
    <row r="86" customFormat="false" ht="15" hidden="false" customHeight="false" outlineLevel="0" collapsed="false">
      <c r="A86" s="61" t="s">
        <v>641</v>
      </c>
      <c r="B86" s="62" t="s">
        <v>132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65" t="s">
        <v>642</v>
      </c>
    </row>
    <row r="87" customFormat="false" ht="42" hidden="false" customHeight="true" outlineLevel="0" collapsed="false">
      <c r="A87" s="61" t="s">
        <v>643</v>
      </c>
      <c r="C87" s="93" t="s">
        <v>644</v>
      </c>
      <c r="D87" s="93" t="s">
        <v>644</v>
      </c>
      <c r="E87" s="93" t="s">
        <v>645</v>
      </c>
      <c r="F87" s="93" t="s">
        <v>646</v>
      </c>
      <c r="G87" s="93" t="s">
        <v>647</v>
      </c>
      <c r="H87" s="93" t="s">
        <v>648</v>
      </c>
      <c r="I87" s="93" t="s">
        <v>154</v>
      </c>
    </row>
    <row r="89" customFormat="false" ht="15" hidden="false" customHeight="false" outlineLevel="0" collapsed="false">
      <c r="A89" s="77" t="s">
        <v>649</v>
      </c>
      <c r="B89" s="71"/>
      <c r="C89" s="71"/>
      <c r="D89" s="71"/>
      <c r="E89" s="71"/>
      <c r="F89" s="71"/>
      <c r="G89" s="71"/>
      <c r="H89" s="71"/>
      <c r="I89" s="71"/>
      <c r="J89" s="71"/>
    </row>
    <row r="90" customFormat="false" ht="15" hidden="false" customHeight="false" outlineLevel="0" collapsed="false">
      <c r="A90" s="10" t="s">
        <v>650</v>
      </c>
      <c r="C90" s="67" t="n">
        <v>0.15</v>
      </c>
      <c r="D90" s="67" t="n">
        <v>0.3</v>
      </c>
      <c r="E90" s="67" t="n">
        <v>0.45</v>
      </c>
    </row>
    <row r="91" customFormat="false" ht="15" hidden="false" customHeight="false" outlineLevel="0" collapsed="false">
      <c r="A91" s="61" t="s">
        <v>651</v>
      </c>
      <c r="C91" s="69" t="n">
        <f aca="false">C90*$C$23*1000000000000000/($C$47*1000000000)</f>
        <v>17107.0307134285</v>
      </c>
      <c r="D91" s="69" t="n">
        <f aca="false">D90*$C$23*1000000000000000/($C$47*1000000000)</f>
        <v>34214.061426857</v>
      </c>
      <c r="E91" s="69" t="n">
        <f aca="false">E90*$C$23*1000000000000000/($C$47*1000000000)</f>
        <v>51321.0921402855</v>
      </c>
      <c r="K91" s="65" t="s">
        <v>652</v>
      </c>
    </row>
    <row r="92" customFormat="false" ht="15" hidden="false" customHeight="false" outlineLevel="0" collapsed="false">
      <c r="A92" s="61" t="s">
        <v>653</v>
      </c>
      <c r="C92" s="69" t="n">
        <f aca="false">C90*$D$23*1000000000000000/($D$47*1000000000)</f>
        <v>17107.0307134285</v>
      </c>
      <c r="D92" s="69" t="n">
        <f aca="false">D90*$D$23*1000000000000000/($D$47*1000000000)</f>
        <v>34214.061426857</v>
      </c>
      <c r="E92" s="69" t="n">
        <f aca="false">E90*$D$23*1000000000000000/($D$47*1000000000)</f>
        <v>51321.0921402855</v>
      </c>
      <c r="K92" s="65" t="s">
        <v>654</v>
      </c>
    </row>
    <row r="93" customFormat="false" ht="15" hidden="false" customHeight="false" outlineLevel="0" collapsed="false">
      <c r="A93" s="61" t="s">
        <v>655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65" t="s">
        <v>656</v>
      </c>
    </row>
    <row r="94" customFormat="false" ht="15" hidden="false" customHeight="false" outlineLevel="0" collapsed="false">
      <c r="A94" s="61" t="s">
        <v>657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65" t="s">
        <v>658</v>
      </c>
    </row>
    <row r="95" customFormat="false" ht="15" hidden="false" customHeight="false" outlineLevel="0" collapsed="false">
      <c r="A95" s="62" t="s">
        <v>659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65" t="s">
        <v>660</v>
      </c>
    </row>
    <row r="96" customFormat="false" ht="15" hidden="false" customHeight="false" outlineLevel="0" collapsed="false">
      <c r="A96" s="61" t="s">
        <v>661</v>
      </c>
      <c r="C96" s="69" t="n">
        <f aca="false">((1000*$C$53/$C$14-C93*$C$55/C95)-$C$51/$C$25)*1000/($C$31+$C$52)</f>
        <v>175.181704944217</v>
      </c>
      <c r="D96" s="69" t="n">
        <f aca="false">((1000*$C$53/$C$14-D93*$C$55/D95)-$C$51/$C$25)*1000/($C$31+$C$52)</f>
        <v>161.185338133698</v>
      </c>
      <c r="E96" s="69" t="n">
        <f aca="false">((1000*$C$53/$C$14-E93*$C$55/E95)-$C$51/$C$25)*1000/($C$31+$C$52)</f>
        <v>156.838003946316</v>
      </c>
      <c r="K96" s="65" t="s">
        <v>662</v>
      </c>
    </row>
    <row r="98" customFormat="false" ht="15" hidden="false" customHeight="false" outlineLevel="0" collapsed="false">
      <c r="A98" s="77" t="s">
        <v>663</v>
      </c>
      <c r="B98" s="71"/>
      <c r="C98" s="71"/>
      <c r="D98" s="71"/>
      <c r="E98" s="71"/>
      <c r="F98" s="71"/>
      <c r="G98" s="71"/>
      <c r="H98" s="71"/>
      <c r="I98" s="71"/>
      <c r="J98" s="71"/>
    </row>
    <row r="99" customFormat="false" ht="15" hidden="false" customHeight="false" outlineLevel="0" collapsed="false">
      <c r="A99" s="10" t="s">
        <v>664</v>
      </c>
    </row>
    <row r="100" customFormat="false" ht="26.85" hidden="false" customHeight="false" outlineLevel="0" collapsed="false">
      <c r="A100" s="61" t="s">
        <v>310</v>
      </c>
      <c r="B100" s="62" t="s">
        <v>311</v>
      </c>
      <c r="C100" s="63" t="n">
        <f aca="false">SRC_MOD_020</f>
        <v>671</v>
      </c>
      <c r="J100" s="88" t="s">
        <v>665</v>
      </c>
    </row>
    <row r="101" customFormat="false" ht="15" hidden="false" customHeight="false" outlineLevel="0" collapsed="false">
      <c r="A101" s="61" t="s">
        <v>313</v>
      </c>
      <c r="B101" s="62" t="s">
        <v>311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315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318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325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666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327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328</v>
      </c>
      <c r="B107" s="61"/>
      <c r="C107" s="63" t="n">
        <f aca="false">SRC_MOD_027</f>
        <v>129280</v>
      </c>
      <c r="K107" s="65" t="s">
        <v>667</v>
      </c>
    </row>
    <row r="108" customFormat="false" ht="15" hidden="false" customHeight="false" outlineLevel="0" collapsed="false">
      <c r="A108" s="62" t="s">
        <v>668</v>
      </c>
      <c r="B108" s="62" t="s">
        <v>311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669</v>
      </c>
      <c r="B109" s="62" t="s">
        <v>355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670</v>
      </c>
      <c r="B110" s="62" t="s">
        <v>333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671</v>
      </c>
      <c r="B111" s="62" t="s">
        <v>333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350</v>
      </c>
      <c r="B112" s="62" t="s">
        <v>311</v>
      </c>
      <c r="C112" s="74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547</v>
      </c>
      <c r="B113" s="62" t="s">
        <v>311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353</v>
      </c>
      <c r="B114" s="62" t="s">
        <v>311</v>
      </c>
      <c r="C114" s="69" t="n">
        <f aca="false">C100-C113</f>
        <v>657.008064516129</v>
      </c>
    </row>
    <row r="116" customFormat="false" ht="30" hidden="false" customHeight="true" outlineLevel="0" collapsed="false">
      <c r="A116" s="60" t="s">
        <v>672</v>
      </c>
      <c r="C116" s="85" t="s">
        <v>673</v>
      </c>
      <c r="D116" s="85" t="s">
        <v>674</v>
      </c>
      <c r="E116" s="85" t="s">
        <v>675</v>
      </c>
      <c r="F116" s="85" t="s">
        <v>676</v>
      </c>
      <c r="G116" s="85" t="s">
        <v>677</v>
      </c>
      <c r="H116" s="85" t="s">
        <v>678</v>
      </c>
    </row>
    <row r="117" customFormat="false" ht="15" hidden="false" customHeight="false" outlineLevel="0" collapsed="false">
      <c r="A117" s="61" t="s">
        <v>494</v>
      </c>
      <c r="B117" s="61"/>
      <c r="C117" s="68" t="n">
        <v>3</v>
      </c>
      <c r="D117" s="68" t="n">
        <v>2</v>
      </c>
      <c r="E117" s="68" t="n">
        <v>4</v>
      </c>
      <c r="F117" s="68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679</v>
      </c>
      <c r="B118" s="62" t="s">
        <v>414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680</v>
      </c>
      <c r="B119" s="61"/>
      <c r="C119" s="68" t="n">
        <v>1</v>
      </c>
      <c r="D119" s="68" t="n">
        <v>1</v>
      </c>
      <c r="E119" s="68" t="n">
        <v>1</v>
      </c>
      <c r="F119" s="68" t="n">
        <v>0</v>
      </c>
      <c r="G119" s="105" t="n">
        <v>0</v>
      </c>
      <c r="H119" s="105" t="n">
        <v>0</v>
      </c>
      <c r="J119" s="88" t="s">
        <v>681</v>
      </c>
    </row>
    <row r="120" customFormat="false" ht="26.85" hidden="false" customHeight="false" outlineLevel="0" collapsed="false">
      <c r="A120" s="62" t="s">
        <v>682</v>
      </c>
      <c r="B120" s="62" t="s">
        <v>683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2" t="n">
        <f aca="false">SRC_PERF_060</f>
        <v>556</v>
      </c>
      <c r="H120" s="72" t="n">
        <f aca="false">SRC_PERF_075</f>
        <v>4668.1</v>
      </c>
      <c r="J120" s="88" t="s">
        <v>684</v>
      </c>
    </row>
    <row r="121" customFormat="false" ht="30" hidden="false" customHeight="true" outlineLevel="0" collapsed="false">
      <c r="A121" s="61" t="s">
        <v>517</v>
      </c>
      <c r="C121" s="88" t="s">
        <v>685</v>
      </c>
      <c r="D121" s="88" t="s">
        <v>685</v>
      </c>
      <c r="E121" s="88" t="s">
        <v>686</v>
      </c>
      <c r="F121" s="88" t="s">
        <v>687</v>
      </c>
      <c r="G121" s="88" t="s">
        <v>688</v>
      </c>
      <c r="H121" s="88" t="s">
        <v>687</v>
      </c>
    </row>
    <row r="122" customFormat="false" ht="15" hidden="false" customHeight="false" outlineLevel="0" collapsed="false">
      <c r="A122" s="61" t="s">
        <v>200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65" t="s">
        <v>689</v>
      </c>
    </row>
    <row r="123" customFormat="false" ht="15" hidden="false" customHeight="false" outlineLevel="0" collapsed="false">
      <c r="A123" s="61" t="s">
        <v>522</v>
      </c>
      <c r="C123" s="65" t="s">
        <v>690</v>
      </c>
      <c r="D123" s="65" t="s">
        <v>690</v>
      </c>
      <c r="E123" s="65" t="s">
        <v>690</v>
      </c>
      <c r="F123" s="65" t="s">
        <v>690</v>
      </c>
      <c r="G123" s="65" t="s">
        <v>690</v>
      </c>
      <c r="H123" s="65" t="s">
        <v>690</v>
      </c>
    </row>
    <row r="124" customFormat="false" ht="15" hidden="false" customHeight="false" outlineLevel="0" collapsed="false">
      <c r="A124" s="61" t="s">
        <v>525</v>
      </c>
      <c r="B124" s="62" t="s">
        <v>691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692</v>
      </c>
      <c r="B125" s="62" t="s">
        <v>529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531</v>
      </c>
      <c r="B126" s="62" t="s">
        <v>532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693</v>
      </c>
      <c r="B127" s="62" t="s">
        <v>532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694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695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696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574</v>
      </c>
      <c r="B131" s="62" t="s">
        <v>529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697</v>
      </c>
      <c r="B132" s="61"/>
      <c r="C132" s="90" t="n">
        <f aca="false">MAX(1,CEILING($C$113*C130/(Serving!$C$10*C131),1))</f>
        <v>1</v>
      </c>
      <c r="D132" s="90" t="n">
        <f aca="false">MAX(1,CEILING($C$113*D130/(Serving!$C$10*D131),1))</f>
        <v>1</v>
      </c>
      <c r="E132" s="90" t="n">
        <f aca="false">MAX(1,CEILING($C$113*E130/(Serving!$C$10*E131),1))</f>
        <v>1</v>
      </c>
      <c r="F132" s="90" t="n">
        <f aca="false">MAX(1,CEILING($C$113*F130/(Serving!$C$10*F131),1))</f>
        <v>1</v>
      </c>
      <c r="G132" s="90" t="n">
        <f aca="false">MAX(1,CEILING($C$113*G130/(Serving!$C$10*G131),1))</f>
        <v>1</v>
      </c>
      <c r="H132" s="90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578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580</v>
      </c>
      <c r="B134" s="62" t="s">
        <v>529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561</v>
      </c>
      <c r="B135" s="62" t="s">
        <v>333</v>
      </c>
      <c r="C135" s="69" t="n">
        <f aca="false">$C$110+$C$111/2</f>
        <v>2740</v>
      </c>
      <c r="D135" s="69" t="n">
        <f aca="false">$C$110+$C$111/2</f>
        <v>2740</v>
      </c>
      <c r="E135" s="69" t="n">
        <f aca="false">$C$110+$C$111/2</f>
        <v>2740</v>
      </c>
      <c r="F135" s="69" t="n">
        <f aca="false">$C$110+$C$111/2</f>
        <v>2740</v>
      </c>
      <c r="G135" s="69" t="n">
        <f aca="false">$C$110+$C$111/2</f>
        <v>2740</v>
      </c>
      <c r="H135" s="69" t="n">
        <f aca="false">$C$110+$C$111/2</f>
        <v>2740</v>
      </c>
    </row>
    <row r="136" customFormat="false" ht="15" hidden="false" customHeight="false" outlineLevel="0" collapsed="false">
      <c r="A136" s="62" t="s">
        <v>565</v>
      </c>
      <c r="B136" s="62" t="s">
        <v>566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572</v>
      </c>
      <c r="B137" s="62" t="s">
        <v>566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698</v>
      </c>
      <c r="B138" s="61"/>
      <c r="C138" s="90" t="n">
        <f aca="false">Serving!$C$6*C119</f>
        <v>3</v>
      </c>
      <c r="D138" s="90" t="n">
        <f aca="false">Serving!$C$6*D119</f>
        <v>3</v>
      </c>
      <c r="E138" s="90" t="n">
        <f aca="false">Serving!$C$6*E119</f>
        <v>3</v>
      </c>
      <c r="F138" s="90" t="n">
        <f aca="false">Serving!$C$6*F119</f>
        <v>0</v>
      </c>
      <c r="G138" s="90" t="n">
        <f aca="false">Serving!$C$6*G119</f>
        <v>0</v>
      </c>
      <c r="H138" s="90" t="n">
        <f aca="false">Serving!$C$6*H119</f>
        <v>0</v>
      </c>
    </row>
    <row r="139" customFormat="false" ht="15" hidden="false" customHeight="false" outlineLevel="0" collapsed="false">
      <c r="A139" s="61" t="s">
        <v>699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618</v>
      </c>
      <c r="B140" s="62" t="s">
        <v>127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620</v>
      </c>
      <c r="B141" s="62" t="s">
        <v>602</v>
      </c>
      <c r="C141" s="69" t="n">
        <f aca="false">INDEX($C$71:$G$71,C117)</f>
        <v>161.185338133698</v>
      </c>
      <c r="D141" s="69" t="n">
        <f aca="false">INDEX($C$71:$G$71,D117)</f>
        <v>161.185338133698</v>
      </c>
      <c r="E141" s="69" t="n">
        <f aca="false">INDEX($C$71:$G$71,E117)</f>
        <v>161.185338133698</v>
      </c>
      <c r="F141" s="69" t="n">
        <f aca="false">INDEX($C$71:$G$71,F117)</f>
        <v>161.185338133698</v>
      </c>
      <c r="G141" s="69" t="n">
        <f aca="false">INDEX($C$71:$G$71,G117)</f>
        <v>241.778007200547</v>
      </c>
      <c r="H141" s="69" t="n">
        <f aca="false">INDEX($C$71:$G$71,H117)</f>
        <v>161.185338133698</v>
      </c>
    </row>
    <row r="142" customFormat="false" ht="15" hidden="false" customHeight="false" outlineLevel="0" collapsed="false">
      <c r="A142" s="62" t="s">
        <v>622</v>
      </c>
      <c r="B142" s="62" t="s">
        <v>127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624</v>
      </c>
      <c r="B143" s="62" t="s">
        <v>414</v>
      </c>
      <c r="C143" s="69" t="n">
        <f aca="false">C142*C124*1000000000000000/(C137*1000000000)</f>
        <v>59211.4238363192</v>
      </c>
      <c r="D143" s="69" t="n">
        <f aca="false">D142*D124*1000000000000000/(D137*1000000000)</f>
        <v>39474.2825575461</v>
      </c>
      <c r="E143" s="69" t="n">
        <f aca="false">E142*E124*1000000000000000/(E137*1000000000)</f>
        <v>138159.988951411</v>
      </c>
      <c r="F143" s="69" t="n">
        <f aca="false">F142*F124*1000000000000000/(F137*1000000000)</f>
        <v>59211.4238363192</v>
      </c>
      <c r="G143" s="69" t="n">
        <f aca="false">G142*G124*1000000000000000/(G137*1000000000)</f>
        <v>3904.00654494131</v>
      </c>
      <c r="H143" s="69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626</v>
      </c>
      <c r="B144" s="62" t="s">
        <v>589</v>
      </c>
      <c r="C144" s="73" t="n">
        <f aca="false">C134/C126+($C$102+C138)*C141/1000</f>
        <v>13.5084748115496</v>
      </c>
      <c r="D144" s="73" t="n">
        <f aca="false">D134/D126+($C$102+D138)*D141/1000</f>
        <v>13.5084748115496</v>
      </c>
      <c r="E144" s="73" t="n">
        <f aca="false">E134/E126+($C$102+E138)*E141/1000</f>
        <v>11.4768118845541</v>
      </c>
      <c r="F144" s="73" t="n">
        <f aca="false">F134/F126+($C$102+F138)*F141/1000</f>
        <v>13.0249187971485</v>
      </c>
      <c r="G144" s="73" t="n">
        <f aca="false">G134/G126+($C$102+G138)*G141/1000</f>
        <v>21.9895588845872</v>
      </c>
      <c r="H144" s="73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628</v>
      </c>
      <c r="B145" s="62" t="s">
        <v>589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635</v>
      </c>
      <c r="B146" s="61" t="s">
        <v>631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637</v>
      </c>
      <c r="B147" s="62" t="s">
        <v>414</v>
      </c>
      <c r="C147" s="69" t="n">
        <f aca="false">IF(C146&gt;0,C146*C139/((C144+C146*C145)/1000),0)</f>
        <v>2495.99576401334</v>
      </c>
      <c r="D147" s="69" t="n">
        <f aca="false">IF(D146&gt;0,D146*D139/((D144+D146*D145)/1000),0)</f>
        <v>1663.99717600889</v>
      </c>
      <c r="E147" s="69" t="n">
        <f aca="false">IF(E146&gt;0,E146*E139/((E144+E146*E145)/1000),0)</f>
        <v>6307.21036532602</v>
      </c>
      <c r="F147" s="69" t="n">
        <f aca="false">IF(F146&gt;0,F146*F139/((F144+F146*F145)/1000),0)</f>
        <v>5120.2503527006</v>
      </c>
      <c r="G147" s="69" t="n">
        <f aca="false">IF(G146&gt;0,G146*G139/((G144+G146*G145)/1000),0)</f>
        <v>702.133826483251</v>
      </c>
      <c r="H147" s="69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700</v>
      </c>
      <c r="B148" s="62" t="s">
        <v>414</v>
      </c>
      <c r="C148" s="69" t="n">
        <f aca="false">IF(C147&gt;0,$C$111/($C$110/C143+$C$111/C147),0)</f>
        <v>2474.48865345806</v>
      </c>
      <c r="D148" s="69" t="n">
        <f aca="false">IF(D147&gt;0,$C$111/($C$110/D143+$C$111/D147),0)</f>
        <v>1649.65910230537</v>
      </c>
      <c r="E148" s="69" t="n">
        <f aca="false">IF(E147&gt;0,$C$111/($C$110/E143+$C$111/E147),0)</f>
        <v>6248.39621214415</v>
      </c>
      <c r="F148" s="69" t="n">
        <f aca="false">IF(F147&gt;0,$C$111/($C$110/F143+$C$111/F147),0)</f>
        <v>5030.5570468308</v>
      </c>
      <c r="G148" s="69" t="n">
        <f aca="false">IF(G147&gt;0,$C$111/($C$110/G143+$C$111/G147),0)</f>
        <v>677.028015156497</v>
      </c>
      <c r="H148" s="69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701</v>
      </c>
      <c r="B149" s="62" t="s">
        <v>132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65" t="s">
        <v>702</v>
      </c>
    </row>
    <row r="150" customFormat="false" ht="26.85" hidden="false" customHeight="false" outlineLevel="0" collapsed="false">
      <c r="A150" s="62" t="s">
        <v>703</v>
      </c>
      <c r="C150" s="104" t="n">
        <f aca="false">E148/C148</f>
        <v>2.5251262330147</v>
      </c>
      <c r="J150" s="88" t="s">
        <v>704</v>
      </c>
    </row>
    <row r="151" customFormat="false" ht="15" hidden="false" customHeight="false" outlineLevel="0" collapsed="false">
      <c r="A151" s="62" t="s">
        <v>705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706</v>
      </c>
      <c r="C152" s="78" t="n">
        <f aca="false">C148/D148</f>
        <v>1.5</v>
      </c>
      <c r="D152" s="78" t="n">
        <f aca="false">C120/D120</f>
        <v>1.05487728759394</v>
      </c>
      <c r="J152" s="93" t="s">
        <v>707</v>
      </c>
    </row>
    <row r="154" customFormat="false" ht="15" hidden="false" customHeight="false" outlineLevel="0" collapsed="false">
      <c r="A154" s="77" t="s">
        <v>708</v>
      </c>
      <c r="B154" s="71"/>
      <c r="C154" s="71"/>
      <c r="D154" s="71"/>
      <c r="E154" s="71"/>
      <c r="F154" s="71"/>
      <c r="G154" s="71"/>
      <c r="H154" s="71"/>
      <c r="I154" s="71"/>
      <c r="J154" s="71"/>
    </row>
    <row r="155" customFormat="false" ht="15" hidden="false" customHeight="false" outlineLevel="0" collapsed="false">
      <c r="A155" s="60" t="s">
        <v>200</v>
      </c>
      <c r="B155" s="60" t="s">
        <v>109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65" t="s">
        <v>709</v>
      </c>
    </row>
    <row r="156" customFormat="false" ht="255.2" hidden="false" customHeight="false" outlineLevel="0" collapsed="false">
      <c r="A156" s="61" t="s">
        <v>710</v>
      </c>
      <c r="B156" s="62" t="s">
        <v>132</v>
      </c>
      <c r="C156" s="80" t="n">
        <v>1</v>
      </c>
      <c r="D156" s="80" t="n">
        <v>2.36</v>
      </c>
      <c r="E156" s="78" t="n">
        <v>1</v>
      </c>
      <c r="F156" s="80" t="n">
        <v>0.75</v>
      </c>
      <c r="G156" s="78" t="n">
        <v>1</v>
      </c>
      <c r="H156" s="59" t="s">
        <v>711</v>
      </c>
      <c r="J156" s="88" t="s">
        <v>712</v>
      </c>
    </row>
    <row r="158" customFormat="false" ht="15" hidden="false" customHeight="false" outlineLevel="0" collapsed="false">
      <c r="A158" s="77" t="s">
        <v>713</v>
      </c>
      <c r="B158" s="71"/>
      <c r="C158" s="71"/>
      <c r="D158" s="71"/>
      <c r="E158" s="71"/>
      <c r="F158" s="71"/>
      <c r="G158" s="71"/>
      <c r="H158" s="71"/>
      <c r="I158" s="71"/>
      <c r="J158" s="71"/>
    </row>
    <row r="159" customFormat="false" ht="57.75" hidden="false" customHeight="true" outlineLevel="0" collapsed="false">
      <c r="A159" s="60" t="s">
        <v>714</v>
      </c>
      <c r="C159" s="85" t="s">
        <v>715</v>
      </c>
      <c r="D159" s="85" t="s">
        <v>716</v>
      </c>
      <c r="E159" s="85" t="s">
        <v>717</v>
      </c>
      <c r="F159" s="85" t="s">
        <v>718</v>
      </c>
      <c r="G159" s="85" t="s">
        <v>719</v>
      </c>
    </row>
    <row r="160" customFormat="false" ht="26.85" hidden="false" customHeight="false" outlineLevel="0" collapsed="false">
      <c r="A160" s="61" t="s">
        <v>494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720</v>
      </c>
    </row>
    <row r="161" customFormat="false" ht="39.55" hidden="false" customHeight="false" outlineLevel="0" collapsed="false">
      <c r="A161" s="61" t="s">
        <v>721</v>
      </c>
      <c r="B161" s="62" t="s">
        <v>333</v>
      </c>
      <c r="C161" s="69" t="n">
        <v>4096</v>
      </c>
      <c r="D161" s="69" t="n">
        <v>2000</v>
      </c>
      <c r="E161" s="69" t="n">
        <v>4989</v>
      </c>
      <c r="F161" s="69" t="n">
        <v>2000</v>
      </c>
      <c r="G161" s="69" t="n">
        <v>2000</v>
      </c>
      <c r="J161" s="88" t="s">
        <v>722</v>
      </c>
    </row>
    <row r="162" customFormat="false" ht="15" hidden="false" customHeight="false" outlineLevel="0" collapsed="false">
      <c r="A162" s="61" t="s">
        <v>723</v>
      </c>
      <c r="B162" s="62" t="s">
        <v>333</v>
      </c>
      <c r="C162" s="69" t="n">
        <v>0</v>
      </c>
      <c r="D162" s="69" t="n">
        <v>2000</v>
      </c>
      <c r="E162" s="69" t="n">
        <v>0</v>
      </c>
      <c r="F162" s="69" t="n">
        <v>2000</v>
      </c>
      <c r="G162" s="69" t="n">
        <v>2000</v>
      </c>
    </row>
    <row r="163" customFormat="false" ht="26.85" hidden="false" customHeight="false" outlineLevel="0" collapsed="false">
      <c r="A163" s="62" t="s">
        <v>724</v>
      </c>
      <c r="B163" s="62" t="s">
        <v>725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8" t="s">
        <v>726</v>
      </c>
    </row>
    <row r="164" customFormat="false" ht="26.85" hidden="false" customHeight="false" outlineLevel="0" collapsed="false">
      <c r="A164" s="61" t="s">
        <v>727</v>
      </c>
      <c r="B164" s="62" t="s">
        <v>414</v>
      </c>
      <c r="C164" s="87" t="n">
        <v>0</v>
      </c>
      <c r="D164" s="87" t="n">
        <v>0</v>
      </c>
      <c r="E164" s="87" t="n">
        <v>21</v>
      </c>
      <c r="F164" s="87" t="n">
        <v>10</v>
      </c>
      <c r="G164" s="87" t="n">
        <v>10</v>
      </c>
      <c r="J164" s="88" t="s">
        <v>728</v>
      </c>
    </row>
    <row r="165" customFormat="false" ht="26.85" hidden="false" customHeight="false" outlineLevel="0" collapsed="false">
      <c r="A165" s="61" t="s">
        <v>729</v>
      </c>
      <c r="B165" s="61" t="s">
        <v>595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8" t="s">
        <v>730</v>
      </c>
    </row>
    <row r="166" customFormat="false" ht="15" hidden="false" customHeight="false" outlineLevel="0" collapsed="false">
      <c r="A166" s="61" t="s">
        <v>680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731</v>
      </c>
      <c r="B167" s="62" t="s">
        <v>683</v>
      </c>
      <c r="C167" s="72" t="n">
        <f aca="false">SRC_PERF_072</f>
        <v>2324</v>
      </c>
      <c r="D167" s="72" t="n">
        <f aca="false">SRC_PERF_074</f>
        <v>10100</v>
      </c>
      <c r="E167" s="72" t="n">
        <f aca="false">SRC_PERF_073</f>
        <v>1850</v>
      </c>
      <c r="F167" s="72" t="n">
        <f aca="false">SRC_PERF_062</f>
        <v>2785</v>
      </c>
      <c r="G167" s="72" t="n">
        <f aca="false">SRC_PERF_063</f>
        <v>13386</v>
      </c>
      <c r="J167" s="93" t="s">
        <v>732</v>
      </c>
      <c r="K167" s="65" t="s">
        <v>733</v>
      </c>
    </row>
    <row r="168" customFormat="false" ht="15" hidden="false" customHeight="false" outlineLevel="0" collapsed="false">
      <c r="A168" s="61" t="s">
        <v>200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  <c r="K168" s="65" t="s">
        <v>733</v>
      </c>
    </row>
    <row r="169" customFormat="false" ht="15" hidden="false" customHeight="false" outlineLevel="0" collapsed="false">
      <c r="A169" s="61" t="s">
        <v>525</v>
      </c>
      <c r="B169" s="62" t="s">
        <v>691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  <c r="K169" s="65" t="s">
        <v>733</v>
      </c>
    </row>
    <row r="170" customFormat="false" ht="15" hidden="false" customHeight="false" outlineLevel="0" collapsed="false">
      <c r="A170" s="62" t="s">
        <v>692</v>
      </c>
      <c r="B170" s="62" t="s">
        <v>529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  <c r="K170" s="65" t="s">
        <v>733</v>
      </c>
    </row>
    <row r="171" customFormat="false" ht="15" hidden="false" customHeight="false" outlineLevel="0" collapsed="false">
      <c r="A171" s="62" t="s">
        <v>531</v>
      </c>
      <c r="B171" s="62" t="s">
        <v>532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  <c r="K171" s="65" t="s">
        <v>733</v>
      </c>
    </row>
    <row r="172" customFormat="false" ht="15" hidden="false" customHeight="false" outlineLevel="0" collapsed="false">
      <c r="A172" s="62" t="s">
        <v>693</v>
      </c>
      <c r="B172" s="62" t="s">
        <v>532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  <c r="K172" s="65" t="s">
        <v>733</v>
      </c>
    </row>
    <row r="173" customFormat="false" ht="15" hidden="false" customHeight="false" outlineLevel="0" collapsed="false">
      <c r="A173" s="62" t="s">
        <v>694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  <c r="K173" s="65" t="s">
        <v>733</v>
      </c>
    </row>
    <row r="174" customFormat="false" ht="15" hidden="false" customHeight="false" outlineLevel="0" collapsed="false">
      <c r="A174" s="61" t="s">
        <v>695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  <c r="K174" s="65" t="s">
        <v>733</v>
      </c>
    </row>
    <row r="175" customFormat="false" ht="15" hidden="false" customHeight="false" outlineLevel="0" collapsed="false">
      <c r="A175" s="61" t="s">
        <v>696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  <c r="K175" s="65" t="s">
        <v>733</v>
      </c>
    </row>
    <row r="176" customFormat="false" ht="15" hidden="false" customHeight="false" outlineLevel="0" collapsed="false">
      <c r="A176" s="61" t="s">
        <v>574</v>
      </c>
      <c r="B176" s="62" t="s">
        <v>529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  <c r="K176" s="65" t="s">
        <v>733</v>
      </c>
    </row>
    <row r="177" customFormat="false" ht="15" hidden="false" customHeight="false" outlineLevel="0" collapsed="false">
      <c r="A177" s="61" t="s">
        <v>697</v>
      </c>
      <c r="B177" s="61"/>
      <c r="C177" s="90" t="n">
        <f aca="false">MAX(1,CEILING($C$113*C175/(Serving!$C$10*C176),1))</f>
        <v>1</v>
      </c>
      <c r="D177" s="90" t="n">
        <f aca="false">MAX(1,CEILING($C$113*D175/(Serving!$C$10*D176),1))</f>
        <v>1</v>
      </c>
      <c r="E177" s="90" t="n">
        <f aca="false">MAX(1,CEILING($C$113*E175/(Serving!$C$10*E176),1))</f>
        <v>1</v>
      </c>
      <c r="F177" s="90" t="n">
        <f aca="false">MAX(1,CEILING($C$113*F175/(Serving!$C$10*F176),1))</f>
        <v>1</v>
      </c>
      <c r="G177" s="90" t="n">
        <f aca="false">MAX(1,CEILING($C$113*G175/(Serving!$C$10*G176),1))</f>
        <v>1</v>
      </c>
      <c r="K177" s="65" t="s">
        <v>733</v>
      </c>
    </row>
    <row r="178" customFormat="false" ht="15" hidden="false" customHeight="false" outlineLevel="0" collapsed="false">
      <c r="A178" s="62" t="s">
        <v>578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  <c r="K178" s="65" t="s">
        <v>733</v>
      </c>
    </row>
    <row r="179" customFormat="false" ht="15" hidden="false" customHeight="false" outlineLevel="0" collapsed="false">
      <c r="A179" s="61" t="s">
        <v>580</v>
      </c>
      <c r="B179" s="62" t="s">
        <v>529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  <c r="K179" s="65" t="s">
        <v>733</v>
      </c>
    </row>
    <row r="180" customFormat="false" ht="15" hidden="false" customHeight="false" outlineLevel="0" collapsed="false">
      <c r="A180" s="62" t="s">
        <v>561</v>
      </c>
      <c r="B180" s="62" t="s">
        <v>333</v>
      </c>
      <c r="C180" s="69" t="n">
        <f aca="false">C161+C162/2</f>
        <v>4096</v>
      </c>
      <c r="D180" s="69" t="n">
        <f aca="false">D161+D162/2</f>
        <v>3000</v>
      </c>
      <c r="E180" s="69" t="n">
        <f aca="false">E161+E162/2</f>
        <v>4989</v>
      </c>
      <c r="F180" s="69" t="n">
        <f aca="false">F161+F162/2</f>
        <v>3000</v>
      </c>
      <c r="G180" s="69" t="n">
        <f aca="false">G161+G162/2</f>
        <v>3000</v>
      </c>
      <c r="K180" s="65" t="s">
        <v>733</v>
      </c>
    </row>
    <row r="181" customFormat="false" ht="15" hidden="false" customHeight="false" outlineLevel="0" collapsed="false">
      <c r="A181" s="62" t="s">
        <v>565</v>
      </c>
      <c r="B181" s="62" t="s">
        <v>566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  <c r="K181" s="65" t="s">
        <v>733</v>
      </c>
    </row>
    <row r="182" customFormat="false" ht="15" hidden="false" customHeight="false" outlineLevel="0" collapsed="false">
      <c r="A182" s="61" t="s">
        <v>698</v>
      </c>
      <c r="B182" s="61"/>
      <c r="C182" s="90" t="n">
        <f aca="false">Serving!$C$6*C166</f>
        <v>0</v>
      </c>
      <c r="D182" s="90" t="n">
        <f aca="false">Serving!$C$6*D166</f>
        <v>0</v>
      </c>
      <c r="E182" s="90" t="n">
        <f aca="false">Serving!$C$6*E166</f>
        <v>0</v>
      </c>
      <c r="F182" s="90" t="n">
        <f aca="false">Serving!$C$6*F166</f>
        <v>0</v>
      </c>
      <c r="G182" s="90" t="n">
        <f aca="false">Serving!$C$6*G166</f>
        <v>0</v>
      </c>
      <c r="K182" s="65" t="s">
        <v>733</v>
      </c>
    </row>
    <row r="183" customFormat="false" ht="15" hidden="false" customHeight="false" outlineLevel="0" collapsed="false">
      <c r="A183" s="61" t="s">
        <v>699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  <c r="K183" s="65" t="s">
        <v>733</v>
      </c>
    </row>
    <row r="184" customFormat="false" ht="26.85" hidden="false" customHeight="false" outlineLevel="0" collapsed="false">
      <c r="A184" s="62" t="s">
        <v>734</v>
      </c>
      <c r="B184" s="62" t="s">
        <v>127</v>
      </c>
      <c r="C184" s="102" t="n">
        <f aca="false">INDEX($C$70:$G$70,C160)*INDEX(CAL_BatchEtaD,1,C160)</f>
        <v>0.0429060401998604</v>
      </c>
      <c r="D184" s="102" t="n">
        <f aca="false">INDEX($C$70:$G$70,D160)*INDEX(CAL_BatchEtaD,1,D160)</f>
        <v>0.0843818790597254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  <c r="J184" s="88" t="s">
        <v>735</v>
      </c>
      <c r="K184" s="65" t="s">
        <v>733</v>
      </c>
    </row>
    <row r="185" customFormat="false" ht="15" hidden="false" customHeight="false" outlineLevel="0" collapsed="false">
      <c r="A185" s="61" t="s">
        <v>736</v>
      </c>
      <c r="B185" s="62" t="s">
        <v>602</v>
      </c>
      <c r="C185" s="69" t="n">
        <f aca="false">INDEX($C$71:$G$71,C160)</f>
        <v>241.778007200547</v>
      </c>
      <c r="D185" s="69" t="n">
        <f aca="false">INDEX($C$71:$G$71,D160)</f>
        <v>161.185338133698</v>
      </c>
      <c r="E185" s="69" t="n">
        <f aca="false">INDEX($C$71:$G$71,E160)</f>
        <v>241.778007200547</v>
      </c>
      <c r="F185" s="69" t="n">
        <f aca="false">INDEX($C$71:$G$71,F160)</f>
        <v>241.778007200547</v>
      </c>
      <c r="G185" s="69" t="n">
        <f aca="false">INDEX($C$71:$G$71,G160)</f>
        <v>161.185338133698</v>
      </c>
      <c r="K185" s="65" t="s">
        <v>733</v>
      </c>
    </row>
    <row r="186" customFormat="false" ht="15" hidden="false" customHeight="false" outlineLevel="0" collapsed="false">
      <c r="A186" s="61" t="s">
        <v>626</v>
      </c>
      <c r="B186" s="62" t="s">
        <v>589</v>
      </c>
      <c r="C186" s="73" t="n">
        <f aca="false">C179/C171+($C$102+C182)*C185/1000</f>
        <v>20.4573572415925</v>
      </c>
      <c r="D186" s="73" t="n">
        <f aca="false">D179/D171+($C$102+D182)*D185/1000</f>
        <v>17.3557825036757</v>
      </c>
      <c r="E186" s="73" t="n">
        <f aca="false">E179/E171+($C$102+E182)*E185/1000</f>
        <v>20.2871126145931</v>
      </c>
      <c r="F186" s="73" t="n">
        <f aca="false">F179/F171+($C$102+F182)*F185/1000</f>
        <v>21.9895588845872</v>
      </c>
      <c r="G186" s="73" t="n">
        <f aca="false">G179/G171+($C$102+G182)*G185/1000</f>
        <v>13.0249187971485</v>
      </c>
      <c r="K186" s="65" t="s">
        <v>733</v>
      </c>
    </row>
    <row r="187" customFormat="false" ht="15" hidden="false" customHeight="false" outlineLevel="0" collapsed="false">
      <c r="A187" s="61" t="s">
        <v>737</v>
      </c>
      <c r="B187" s="62" t="s">
        <v>589</v>
      </c>
      <c r="C187" s="74" t="n">
        <f aca="false">(C182+1)*C181/(C169*C184)/1000</f>
        <v>1.11255483902607</v>
      </c>
      <c r="D187" s="74" t="n">
        <f aca="false">(D182+1)*D181/(D169*D184)/1000</f>
        <v>0.105462643154713</v>
      </c>
      <c r="E187" s="74" t="n">
        <f aca="false">(E182+1)*E181/(E169*E184)/1000</f>
        <v>1.16510898802249</v>
      </c>
      <c r="F187" s="74" t="n">
        <f aca="false">(F182+1)*F181/(F169*F184)/1000</f>
        <v>1.0480538902018</v>
      </c>
      <c r="G187" s="74" t="n">
        <f aca="false">(G182+1)*G181/(G169*G184)/1000</f>
        <v>0.248891837845124</v>
      </c>
      <c r="K187" s="65" t="s">
        <v>733</v>
      </c>
    </row>
    <row r="188" customFormat="false" ht="15" hidden="false" customHeight="false" outlineLevel="0" collapsed="false">
      <c r="A188" s="61" t="s">
        <v>738</v>
      </c>
      <c r="B188" s="62" t="s">
        <v>589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  <c r="K188" s="65" t="s">
        <v>733</v>
      </c>
    </row>
    <row r="189" customFormat="false" ht="15" hidden="false" customHeight="false" outlineLevel="0" collapsed="false">
      <c r="A189" s="61" t="s">
        <v>739</v>
      </c>
      <c r="B189" s="62" t="s">
        <v>589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  <c r="K189" s="65" t="s">
        <v>733</v>
      </c>
    </row>
    <row r="190" customFormat="false" ht="15" hidden="false" customHeight="false" outlineLevel="0" collapsed="false">
      <c r="A190" s="61" t="s">
        <v>740</v>
      </c>
      <c r="B190" s="62" t="s">
        <v>589</v>
      </c>
      <c r="C190" s="74" t="n">
        <f aca="false">MAX(C187,C188,C189)</f>
        <v>1.11255483902607</v>
      </c>
      <c r="D190" s="74" t="n">
        <f aca="false">MAX(D187,D188,D189)</f>
        <v>0.105462643154713</v>
      </c>
      <c r="E190" s="74" t="n">
        <f aca="false">MAX(E187,E188,E189)</f>
        <v>1.16510898802249</v>
      </c>
      <c r="F190" s="74" t="n">
        <f aca="false">MAX(F187,F188,F189)</f>
        <v>1.0480538902018</v>
      </c>
      <c r="G190" s="74" t="n">
        <f aca="false">MAX(G187,G188,G189)</f>
        <v>0.248891837845124</v>
      </c>
      <c r="K190" s="65" t="s">
        <v>733</v>
      </c>
    </row>
    <row r="191" customFormat="false" ht="15" hidden="false" customHeight="false" outlineLevel="0" collapsed="false">
      <c r="A191" s="61" t="s">
        <v>633</v>
      </c>
      <c r="B191" s="61" t="s">
        <v>631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  <c r="K191" s="65" t="s">
        <v>733</v>
      </c>
    </row>
    <row r="192" customFormat="false" ht="15" hidden="false" customHeight="false" outlineLevel="0" collapsed="false">
      <c r="A192" s="61" t="s">
        <v>741</v>
      </c>
      <c r="B192" s="61" t="s">
        <v>631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  <c r="K192" s="65" t="s">
        <v>733</v>
      </c>
    </row>
    <row r="193" customFormat="false" ht="15" hidden="false" customHeight="false" outlineLevel="0" collapsed="false">
      <c r="A193" s="62" t="s">
        <v>742</v>
      </c>
      <c r="B193" s="61" t="s">
        <v>631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  <c r="K193" s="65" t="s">
        <v>733</v>
      </c>
    </row>
    <row r="194" customFormat="false" ht="15" hidden="false" customHeight="false" outlineLevel="0" collapsed="false">
      <c r="A194" s="61" t="s">
        <v>743</v>
      </c>
      <c r="B194" s="62" t="s">
        <v>414</v>
      </c>
      <c r="C194" s="69" t="n">
        <f aca="false">IF(C193&gt;0,C193*C183/((C186+C193*C190)/1000),0)</f>
        <v>785.930002884225</v>
      </c>
      <c r="D194" s="69" t="n">
        <f aca="false">IF(D193&gt;0,D193*D183/((D186+D193*D190)/1000),0)</f>
        <v>8161.5091103969</v>
      </c>
      <c r="E194" s="69" t="n">
        <f aca="false">IF(E193&gt;0,E193*E183/((E186+E193*E190)/1000),0)</f>
        <v>492.632569994785</v>
      </c>
      <c r="F194" s="69" t="n">
        <f aca="false">IF(F193&gt;0,F193*F183/((F186+F193*F190)/1000),0)</f>
        <v>744.336162908493</v>
      </c>
      <c r="G194" s="69" t="n">
        <f aca="false">IF(G193&gt;0,G193*G183/((G186+G193*G190)/1000),0)</f>
        <v>3494.49310816584</v>
      </c>
      <c r="K194" s="65" t="s">
        <v>733</v>
      </c>
    </row>
    <row r="195" customFormat="false" ht="26.85" hidden="false" customHeight="false" outlineLevel="0" collapsed="false">
      <c r="A195" s="61" t="s">
        <v>744</v>
      </c>
      <c r="B195" s="62" t="s">
        <v>132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0.808070208950188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745</v>
      </c>
      <c r="K195" s="65" t="s">
        <v>733</v>
      </c>
    </row>
    <row r="196" customFormat="false" ht="26.85" hidden="false" customHeight="false" outlineLevel="0" collapsed="false">
      <c r="A196" s="61" t="s">
        <v>746</v>
      </c>
      <c r="B196" s="62" t="s">
        <v>691</v>
      </c>
      <c r="C196" s="107" t="n">
        <f aca="false">C184*C169</f>
        <v>0.0849110535555236</v>
      </c>
      <c r="D196" s="107" t="n">
        <f aca="false">D184*D169</f>
        <v>0.843818790597254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747</v>
      </c>
      <c r="K196" s="65" t="s">
        <v>733</v>
      </c>
    </row>
    <row r="197" customFormat="false" ht="15" hidden="false" customHeight="false" outlineLevel="0" collapsed="false">
      <c r="A197" s="61" t="s">
        <v>748</v>
      </c>
      <c r="B197" s="62" t="s">
        <v>589</v>
      </c>
      <c r="C197" s="74" t="n">
        <f aca="false">MAX(C188,C189)</f>
        <v>0.2974848</v>
      </c>
      <c r="D197" s="74" t="n">
        <f aca="false">MAX(D188,D189)</f>
        <v>0.0188228571428571</v>
      </c>
      <c r="E197" s="74" t="n">
        <f aca="false">MAX(E188,E189)</f>
        <v>0.297745066666667</v>
      </c>
      <c r="F197" s="74" t="n">
        <f aca="false">MAX(F188,F189)</f>
        <v>0.2951424</v>
      </c>
      <c r="G197" s="74" t="n">
        <f aca="false">MAX(G188,G189)</f>
        <v>0.0188228571428571</v>
      </c>
      <c r="K197" s="65" t="s">
        <v>733</v>
      </c>
    </row>
    <row r="198" customFormat="false" ht="15" hidden="false" customHeight="false" outlineLevel="0" collapsed="false">
      <c r="A198" s="61" t="s">
        <v>749</v>
      </c>
      <c r="B198" s="62" t="s">
        <v>589</v>
      </c>
      <c r="C198" s="74" t="n">
        <f aca="false">IF(C193&gt;0,(1000*C193*C183/C167-C186)/C193,"—")</f>
        <v>0.270469495517356</v>
      </c>
      <c r="D198" s="74" t="n">
        <f aca="false">IF(D193&gt;0,(1000*D193*D183/D167-D186)/D193,"—")</f>
        <v>0.081946184561864</v>
      </c>
      <c r="E198" s="74" t="n">
        <f aca="false">IF(E193&gt;0,(1000*E193*E183/E167-E186)/E193,"—")</f>
        <v>-0.324260917696305</v>
      </c>
      <c r="F198" s="74" t="n">
        <f aca="false">IF(F193&gt;0,(1000*F193*F183/F167-F186)/F193,"—")</f>
        <v>0.0636413226070051</v>
      </c>
      <c r="G198" s="74" t="n">
        <f aca="false">IF(G193&gt;0,(1000*G193*G183/G167-G186)/G193,"—")</f>
        <v>0.0374322171004746</v>
      </c>
      <c r="K198" s="65" t="s">
        <v>733</v>
      </c>
    </row>
    <row r="199" customFormat="false" ht="15" hidden="false" customHeight="false" outlineLevel="0" collapsed="false">
      <c r="A199" s="62" t="s">
        <v>750</v>
      </c>
      <c r="B199" s="62" t="s">
        <v>414</v>
      </c>
      <c r="C199" s="69" t="n">
        <f aca="false">IF(C193&gt;0,C193*C183/((C186+C193*C197)/1000),0)</f>
        <v>2186.71051266767</v>
      </c>
      <c r="D199" s="69" t="n">
        <f aca="false">IF(D193&gt;0,D193*D183/((D186+D193*D197)/1000),0)</f>
        <v>27865.5747955144</v>
      </c>
      <c r="E199" s="69" t="n">
        <f aca="false">IF(E193&gt;0,E193*E183/((E186+E193*E197)/1000),0)</f>
        <v>860.180628111204</v>
      </c>
      <c r="F199" s="69" t="n">
        <f aca="false">IF(F193&gt;0,F193*F183/((F186+F193*F197)/1000),0)</f>
        <v>1693.28652875744</v>
      </c>
      <c r="G199" s="69" t="n">
        <f aca="false">IF(G193&gt;0,G193*G183/((G186+G193*G197)/1000),0)</f>
        <v>17826.7242180515</v>
      </c>
      <c r="K199" s="65" t="s">
        <v>733</v>
      </c>
    </row>
    <row r="200" customFormat="false" ht="15" hidden="false" customHeight="false" outlineLevel="0" collapsed="false">
      <c r="A200" s="61" t="s">
        <v>751</v>
      </c>
      <c r="B200" s="62" t="s">
        <v>132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  <c r="K200" s="65" t="s">
        <v>733</v>
      </c>
    </row>
    <row r="201" customFormat="false" ht="39.55" hidden="false" customHeight="false" outlineLevel="0" collapsed="false">
      <c r="A201" s="61" t="s">
        <v>752</v>
      </c>
      <c r="B201" s="62" t="s">
        <v>132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753</v>
      </c>
      <c r="K201" s="65" t="s">
        <v>733</v>
      </c>
    </row>
    <row r="202" customFormat="false" ht="15" hidden="false" customHeight="false" outlineLevel="0" collapsed="false">
      <c r="A202" s="61" t="s">
        <v>754</v>
      </c>
      <c r="B202" s="62" t="s">
        <v>127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  <c r="K202" s="65" t="s">
        <v>733</v>
      </c>
    </row>
    <row r="203" customFormat="false" ht="15" hidden="false" customHeight="false" outlineLevel="0" collapsed="false">
      <c r="A203" s="61" t="s">
        <v>755</v>
      </c>
      <c r="B203" s="62" t="s">
        <v>691</v>
      </c>
      <c r="C203" s="108" t="n">
        <f aca="false">CAL_EtaD*INDEX(Spec_Rack!$C$35:$G$35,3)</f>
        <v>0.536325502498254</v>
      </c>
      <c r="K203" s="65" t="s">
        <v>733</v>
      </c>
    </row>
    <row r="204" customFormat="false" ht="39.55" hidden="false" customHeight="false" outlineLevel="0" collapsed="false">
      <c r="A204" s="60" t="s">
        <v>756</v>
      </c>
      <c r="C204" s="61" t="str">
        <f aca="false">"Hopper：CAL_BatchEtaD 現值 "&amp;TEXT(INDEX(CAL_BatchEtaD,1,1),"0.00")&amp;"（C67 "&amp;TEXT($C$67,"0.00")&amp;"）；模型 ÷ 目標 "&amp;TEXT(C195,"0.00")&amp;"；"&amp;IF(ISNUMBER(C201),"所需總倍數 "&amp;TEXT(C201,"0.00"),C201)&amp;"（η_d 再大產出上限 "&amp;TEXT(C199,"#,##0")&amp;"＝目標的 "&amp;TEXT(C200,"0.00")&amp;"）"</f>
        <v>Hopper：CAL_BatchEtaD 現值 1.00（C67 1.20）；模型 ÷ 目標 0.34；無解（非算力項下限）（η_d 再大產出上限 2,187＝目標的 0.94）</v>
      </c>
      <c r="D204" s="61" t="str">
        <f aca="false">"GB200：CAL_BatchEtaD 現值 "&amp;TEXT(INDEX(CAL_BatchEtaD,1,2),"0.00")&amp;"（D67 "&amp;TEXT($D$67,"0.00")&amp;"）；模型 ÷ 目標 "&amp;TEXT(D195,"0.00")&amp;"；"&amp;IF(ISNUMBER(D201),"所需總倍數 "&amp;TEXT(D201,"0.00")&amp;"（η_d "&amp;TEXT(D202,"0.0%")&amp;"）",D201)</f>
        <v>GB200：CAL_BatchEtaD 現值 2.36（D67 1.00）；模型 ÷ 目標 0.81；所需總倍數 3.04（η_d 10.9%）</v>
      </c>
      <c r="J204" s="88" t="s">
        <v>757</v>
      </c>
      <c r="K204" s="65" t="s">
        <v>733</v>
      </c>
    </row>
    <row r="206" customFormat="false" ht="15" hidden="false" customHeight="false" outlineLevel="0" collapsed="false">
      <c r="A206" s="77" t="s">
        <v>758</v>
      </c>
      <c r="B206" s="71"/>
      <c r="C206" s="71"/>
      <c r="D206" s="71"/>
      <c r="E206" s="71"/>
      <c r="F206" s="71"/>
      <c r="G206" s="71"/>
      <c r="H206" s="71"/>
      <c r="I206" s="71"/>
      <c r="J206" s="71"/>
    </row>
    <row r="207" customFormat="false" ht="64.9" hidden="false" customHeight="false" outlineLevel="0" collapsed="false">
      <c r="A207" s="62" t="s">
        <v>759</v>
      </c>
      <c r="B207" s="61" t="s">
        <v>760</v>
      </c>
      <c r="C207" s="67" t="n">
        <v>0.2</v>
      </c>
      <c r="J207" s="88" t="s">
        <v>761</v>
      </c>
    </row>
    <row r="209" customFormat="false" ht="15" hidden="false" customHeight="false" outlineLevel="0" collapsed="false">
      <c r="A209" s="77" t="s">
        <v>762</v>
      </c>
      <c r="B209" s="71"/>
      <c r="C209" s="71"/>
      <c r="D209" s="71"/>
      <c r="E209" s="71"/>
      <c r="F209" s="71"/>
      <c r="G209" s="71"/>
      <c r="H209" s="71"/>
      <c r="I209" s="71"/>
      <c r="J209" s="71"/>
      <c r="K209" s="65" t="s">
        <v>763</v>
      </c>
    </row>
    <row r="210" customFormat="false" ht="57.75" hidden="false" customHeight="true" outlineLevel="0" collapsed="false">
      <c r="A210" s="60" t="s">
        <v>714</v>
      </c>
      <c r="C210" s="85" t="s">
        <v>764</v>
      </c>
      <c r="D210" s="85" t="s">
        <v>765</v>
      </c>
      <c r="E210" s="85" t="s">
        <v>766</v>
      </c>
      <c r="K210" s="65" t="s">
        <v>763</v>
      </c>
    </row>
    <row r="211" customFormat="false" ht="26.85" hidden="false" customHeight="false" outlineLevel="0" collapsed="false">
      <c r="A211" s="61" t="s">
        <v>494</v>
      </c>
      <c r="B211" s="61"/>
      <c r="C211" s="105" t="n">
        <v>2</v>
      </c>
      <c r="D211" s="105" t="n">
        <v>3</v>
      </c>
      <c r="E211" s="105" t="n">
        <v>1</v>
      </c>
      <c r="J211" s="93" t="s">
        <v>767</v>
      </c>
      <c r="K211" s="65" t="s">
        <v>763</v>
      </c>
    </row>
    <row r="212" customFormat="false" ht="37.3" hidden="false" customHeight="false" outlineLevel="0" collapsed="false">
      <c r="A212" s="61" t="s">
        <v>721</v>
      </c>
      <c r="B212" s="62" t="s">
        <v>333</v>
      </c>
      <c r="C212" s="69" t="n">
        <f aca="false">$C$110</f>
        <v>800</v>
      </c>
      <c r="D212" s="69" t="n">
        <f aca="false">$C$110</f>
        <v>800</v>
      </c>
      <c r="E212" s="69" t="n">
        <v>1000</v>
      </c>
      <c r="J212" s="88" t="s">
        <v>768</v>
      </c>
      <c r="K212" s="65" t="s">
        <v>763</v>
      </c>
    </row>
    <row r="213" customFormat="false" ht="15" hidden="false" customHeight="false" outlineLevel="0" collapsed="false">
      <c r="A213" s="61" t="s">
        <v>723</v>
      </c>
      <c r="B213" s="62" t="s">
        <v>333</v>
      </c>
      <c r="C213" s="69" t="n">
        <f aca="false">$C$111</f>
        <v>3880</v>
      </c>
      <c r="D213" s="69" t="n">
        <f aca="false">$C$111</f>
        <v>3880</v>
      </c>
      <c r="E213" s="69" t="n">
        <v>2000</v>
      </c>
      <c r="K213" s="65" t="s">
        <v>763</v>
      </c>
    </row>
    <row r="214" customFormat="false" ht="26.85" hidden="false" customHeight="false" outlineLevel="0" collapsed="false">
      <c r="A214" s="62" t="s">
        <v>724</v>
      </c>
      <c r="B214" s="62" t="s">
        <v>725</v>
      </c>
      <c r="C214" s="105" t="n">
        <v>0</v>
      </c>
      <c r="D214" s="105" t="n">
        <v>0</v>
      </c>
      <c r="E214" s="105" t="n">
        <v>8</v>
      </c>
      <c r="J214" s="88" t="s">
        <v>769</v>
      </c>
      <c r="K214" s="65" t="s">
        <v>763</v>
      </c>
    </row>
    <row r="215" customFormat="false" ht="15" hidden="false" customHeight="false" outlineLevel="0" collapsed="false">
      <c r="A215" s="61" t="s">
        <v>770</v>
      </c>
      <c r="B215" s="61" t="s">
        <v>595</v>
      </c>
      <c r="C215" s="105" t="n">
        <v>0</v>
      </c>
      <c r="D215" s="105" t="n">
        <v>0</v>
      </c>
      <c r="E215" s="105" t="n">
        <v>128</v>
      </c>
      <c r="J215" s="88" t="s">
        <v>771</v>
      </c>
      <c r="K215" s="65" t="s">
        <v>763</v>
      </c>
    </row>
    <row r="216" customFormat="false" ht="26.85" hidden="false" customHeight="false" outlineLevel="0" collapsed="false">
      <c r="A216" s="61" t="s">
        <v>680</v>
      </c>
      <c r="B216" s="61"/>
      <c r="C216" s="105" t="n">
        <v>0</v>
      </c>
      <c r="D216" s="105" t="n">
        <v>0</v>
      </c>
      <c r="E216" s="105" t="n">
        <v>0</v>
      </c>
      <c r="J216" s="88" t="s">
        <v>772</v>
      </c>
      <c r="K216" s="65" t="s">
        <v>763</v>
      </c>
    </row>
    <row r="217" customFormat="false" ht="26.85" hidden="false" customHeight="false" outlineLevel="0" collapsed="false">
      <c r="A217" s="61" t="s">
        <v>773</v>
      </c>
      <c r="B217" s="62" t="s">
        <v>683</v>
      </c>
      <c r="C217" s="72" t="n">
        <f aca="false">SRC_PERF_079</f>
        <v>6752</v>
      </c>
      <c r="D217" s="72" t="n">
        <f aca="false">SRC_PERF_080</f>
        <v>8987.2</v>
      </c>
      <c r="E217" s="72" t="n">
        <f aca="false">SRC_PERF_081</f>
        <v>1436.2</v>
      </c>
      <c r="J217" s="88" t="s">
        <v>774</v>
      </c>
      <c r="K217" s="65" t="s">
        <v>763</v>
      </c>
    </row>
    <row r="218" customFormat="false" ht="15" hidden="false" customHeight="false" outlineLevel="0" collapsed="false">
      <c r="A218" s="61" t="s">
        <v>200</v>
      </c>
      <c r="B218" s="61"/>
      <c r="C218" s="92" t="str">
        <f aca="false">INDEX(Spec_Rack!$C$4:$G$4,C211)</f>
        <v>GB200 NVL72</v>
      </c>
      <c r="D218" s="92" t="str">
        <f aca="false">INDEX(Spec_Rack!$C$4:$G$4,D211)</f>
        <v>GB300 NVL72</v>
      </c>
      <c r="E218" s="92" t="str">
        <f aca="false">INDEX(Spec_Rack!$C$4:$G$4,E211)</f>
        <v>Hopper H100</v>
      </c>
      <c r="K218" s="65" t="s">
        <v>763</v>
      </c>
    </row>
    <row r="219" customFormat="false" ht="15" hidden="false" customHeight="false" outlineLevel="0" collapsed="false">
      <c r="A219" s="61" t="s">
        <v>525</v>
      </c>
      <c r="B219" s="62" t="s">
        <v>691</v>
      </c>
      <c r="C219" s="94" t="n">
        <f aca="false">INDEX(Spec_Rack!$C$35:$G$35,C211)</f>
        <v>10</v>
      </c>
      <c r="D219" s="94" t="n">
        <f aca="false">INDEX(Spec_Rack!$C$35:$G$35,D211)</f>
        <v>15</v>
      </c>
      <c r="E219" s="94" t="n">
        <f aca="false">INDEX(Spec_Rack!$C$35:$G$35,E211)</f>
        <v>1.979</v>
      </c>
      <c r="K219" s="65" t="s">
        <v>763</v>
      </c>
    </row>
    <row r="220" customFormat="false" ht="26.85" hidden="false" customHeight="false" outlineLevel="0" collapsed="false">
      <c r="A220" s="62" t="s">
        <v>692</v>
      </c>
      <c r="B220" s="62" t="s">
        <v>529</v>
      </c>
      <c r="C220" s="63" t="n">
        <f aca="false">INDEX(Spec_Rack!$C$25:$G$25,C211)</f>
        <v>186</v>
      </c>
      <c r="D220" s="63" t="n">
        <f aca="false">INDEX(Spec_Rack!$C$25:$G$25,D211)</f>
        <v>288</v>
      </c>
      <c r="E220" s="69" t="n">
        <f aca="false">SRC_HW_067</f>
        <v>141</v>
      </c>
      <c r="J220" s="88" t="s">
        <v>775</v>
      </c>
      <c r="K220" s="65" t="s">
        <v>763</v>
      </c>
    </row>
    <row r="221" customFormat="false" ht="15" hidden="false" customHeight="false" outlineLevel="0" collapsed="false">
      <c r="A221" s="62" t="s">
        <v>531</v>
      </c>
      <c r="B221" s="62" t="s">
        <v>532</v>
      </c>
      <c r="C221" s="95" t="n">
        <f aca="false">INDEX(Spec_Rack!$C$26:$G$26,C211)</f>
        <v>8</v>
      </c>
      <c r="D221" s="95" t="n">
        <f aca="false">INDEX(Spec_Rack!$C$26:$G$26,D211)</f>
        <v>8</v>
      </c>
      <c r="E221" s="73" t="n">
        <f aca="false">SRC_HW_068</f>
        <v>4.8</v>
      </c>
      <c r="K221" s="65" t="s">
        <v>763</v>
      </c>
    </row>
    <row r="222" customFormat="false" ht="15" hidden="false" customHeight="false" outlineLevel="0" collapsed="false">
      <c r="A222" s="62" t="s">
        <v>693</v>
      </c>
      <c r="B222" s="62" t="s">
        <v>532</v>
      </c>
      <c r="C222" s="95" t="n">
        <f aca="false">INDEX(Spec_Rack!$C$27:$G$27,C211)</f>
        <v>0.9</v>
      </c>
      <c r="D222" s="95" t="n">
        <f aca="false">INDEX(Spec_Rack!$C$27:$G$27,D211)</f>
        <v>0.9</v>
      </c>
      <c r="E222" s="95" t="n">
        <f aca="false">INDEX(Spec_Rack!$C$27:$G$27,E211)</f>
        <v>0.05</v>
      </c>
      <c r="K222" s="65" t="s">
        <v>763</v>
      </c>
    </row>
    <row r="223" customFormat="false" ht="15" hidden="false" customHeight="false" outlineLevel="0" collapsed="false">
      <c r="A223" s="62" t="s">
        <v>694</v>
      </c>
      <c r="B223" s="61"/>
      <c r="C223" s="63" t="n">
        <f aca="false">INDEX(Spec_Rack!$C$29:$G$29,C211)</f>
        <v>32</v>
      </c>
      <c r="D223" s="63" t="n">
        <f aca="false">INDEX(Spec_Rack!$C$29:$G$29,D211)</f>
        <v>32</v>
      </c>
      <c r="E223" s="63" t="n">
        <f aca="false">INDEX(Spec_Rack!$C$29:$G$29,E211)</f>
        <v>64</v>
      </c>
      <c r="K223" s="65" t="s">
        <v>763</v>
      </c>
    </row>
    <row r="224" customFormat="false" ht="15" hidden="false" customHeight="false" outlineLevel="0" collapsed="false">
      <c r="A224" s="61" t="s">
        <v>695</v>
      </c>
      <c r="B224" s="61"/>
      <c r="C224" s="96" t="n">
        <f aca="false">INDEX(Spec_Rack!$C$30:$G$30,C211)</f>
        <v>0.5625</v>
      </c>
      <c r="D224" s="96" t="n">
        <f aca="false">INDEX(Spec_Rack!$C$30:$G$30,D211)</f>
        <v>0.5625</v>
      </c>
      <c r="E224" s="96" t="n">
        <f aca="false">INDEX(Spec_Rack!$C$30:$G$30,E211)</f>
        <v>1</v>
      </c>
      <c r="K224" s="65" t="s">
        <v>763</v>
      </c>
    </row>
    <row r="225" customFormat="false" ht="15" hidden="false" customHeight="false" outlineLevel="0" collapsed="false">
      <c r="A225" s="61" t="s">
        <v>696</v>
      </c>
      <c r="B225" s="61"/>
      <c r="C225" s="97" t="n">
        <f aca="false">INDEX(Spec_Rack!$C$31:$G$31,C211)</f>
        <v>1</v>
      </c>
      <c r="D225" s="97" t="n">
        <f aca="false">INDEX(Spec_Rack!$C$31:$G$31,D211)</f>
        <v>1</v>
      </c>
      <c r="E225" s="97" t="n">
        <f aca="false">INDEX(Spec_Rack!$C$31:$G$31,E211)</f>
        <v>1</v>
      </c>
      <c r="K225" s="65" t="s">
        <v>763</v>
      </c>
    </row>
    <row r="226" customFormat="false" ht="15" hidden="false" customHeight="false" outlineLevel="0" collapsed="false">
      <c r="A226" s="61" t="s">
        <v>574</v>
      </c>
      <c r="B226" s="62" t="s">
        <v>529</v>
      </c>
      <c r="C226" s="63" t="n">
        <f aca="false">C220*(1-Serving!$C$9)</f>
        <v>167.4</v>
      </c>
      <c r="D226" s="63" t="n">
        <f aca="false">D220*(1-Serving!$C$9)</f>
        <v>259.2</v>
      </c>
      <c r="E226" s="63" t="n">
        <f aca="false">E220*(1-Serving!$C$9)</f>
        <v>126.9</v>
      </c>
      <c r="K226" s="65" t="s">
        <v>763</v>
      </c>
    </row>
    <row r="227" customFormat="false" ht="15" hidden="false" customHeight="false" outlineLevel="0" collapsed="false">
      <c r="A227" s="61" t="s">
        <v>697</v>
      </c>
      <c r="B227" s="61"/>
      <c r="C227" s="90" t="n">
        <f aca="false">MAX(1,CEILING($C$113*C225/(Serving!$C$10*C226),1))</f>
        <v>1</v>
      </c>
      <c r="D227" s="90" t="n">
        <f aca="false">MAX(1,CEILING($C$113*D225/(Serving!$C$10*D226),1))</f>
        <v>1</v>
      </c>
      <c r="E227" s="90" t="n">
        <f aca="false">MAX(1,CEILING($C$113*E225/(Serving!$C$10*E226),1))</f>
        <v>1</v>
      </c>
      <c r="K227" s="65" t="s">
        <v>763</v>
      </c>
    </row>
    <row r="228" customFormat="false" ht="15" hidden="false" customHeight="false" outlineLevel="0" collapsed="false">
      <c r="A228" s="62" t="s">
        <v>578</v>
      </c>
      <c r="B228" s="61"/>
      <c r="C228" s="63" t="n">
        <f aca="false">IF(C214&gt;0,C214,MAX(C223,CEILING($C$114*C224/(Serving!$C$11*C226),1)))</f>
        <v>32</v>
      </c>
      <c r="D228" s="63" t="n">
        <f aca="false">IF(D214&gt;0,D214,MAX(D223,CEILING($C$114*D224/(Serving!$C$11*D226),1)))</f>
        <v>32</v>
      </c>
      <c r="E228" s="63" t="n">
        <f aca="false">IF(E214&gt;0,E214,MAX(E223,CEILING($C$114*E224/(Serving!$C$11*E226),1)))</f>
        <v>8</v>
      </c>
      <c r="K228" s="65" t="s">
        <v>763</v>
      </c>
    </row>
    <row r="229" customFormat="false" ht="15" hidden="false" customHeight="false" outlineLevel="0" collapsed="false">
      <c r="A229" s="61" t="s">
        <v>580</v>
      </c>
      <c r="B229" s="62" t="s">
        <v>529</v>
      </c>
      <c r="C229" s="75" t="n">
        <f aca="false">$C$113*C225/C227+$C$114*C224/C228</f>
        <v>25.5409053679435</v>
      </c>
      <c r="D229" s="75" t="n">
        <f aca="false">$C$113*D225/D227+$C$114*D224/D228</f>
        <v>25.5409053679435</v>
      </c>
      <c r="E229" s="75" t="n">
        <f aca="false">$C$113*E225/E227+$C$114*E224/E228</f>
        <v>96.1179435483871</v>
      </c>
      <c r="K229" s="65" t="s">
        <v>763</v>
      </c>
    </row>
    <row r="230" customFormat="false" ht="15" hidden="false" customHeight="false" outlineLevel="0" collapsed="false">
      <c r="A230" s="62" t="s">
        <v>561</v>
      </c>
      <c r="B230" s="62" t="s">
        <v>333</v>
      </c>
      <c r="C230" s="69" t="n">
        <f aca="false">C212+C213/2</f>
        <v>2740</v>
      </c>
      <c r="D230" s="69" t="n">
        <f aca="false">D212+D213/2</f>
        <v>2740</v>
      </c>
      <c r="E230" s="69" t="n">
        <f aca="false">E212+E213/2</f>
        <v>2000</v>
      </c>
      <c r="K230" s="65" t="s">
        <v>763</v>
      </c>
    </row>
    <row r="231" customFormat="false" ht="15" hidden="false" customHeight="false" outlineLevel="0" collapsed="false">
      <c r="A231" s="62" t="s">
        <v>565</v>
      </c>
      <c r="B231" s="62" t="s">
        <v>566</v>
      </c>
      <c r="C231" s="75" t="n">
        <f aca="false">(2*$C$101*1000000000+$C$109*C230)/1000000000</f>
        <v>87.6921088</v>
      </c>
      <c r="D231" s="75" t="n">
        <f aca="false">(2*$C$101*1000000000+$C$109*D230)/1000000000</f>
        <v>87.6921088</v>
      </c>
      <c r="E231" s="75" t="n">
        <f aca="false">(2*$C$101*1000000000+$C$109*E230)/1000000000</f>
        <v>83.99424</v>
      </c>
      <c r="K231" s="65" t="s">
        <v>763</v>
      </c>
    </row>
    <row r="232" customFormat="false" ht="15" hidden="false" customHeight="false" outlineLevel="0" collapsed="false">
      <c r="A232" s="61" t="s">
        <v>698</v>
      </c>
      <c r="B232" s="61"/>
      <c r="C232" s="90" t="n">
        <f aca="false">Serving!$C$6*C216</f>
        <v>0</v>
      </c>
      <c r="D232" s="90" t="n">
        <f aca="false">Serving!$C$6*D216</f>
        <v>0</v>
      </c>
      <c r="E232" s="90" t="n">
        <f aca="false">Serving!$C$6*E216</f>
        <v>0</v>
      </c>
      <c r="K232" s="65" t="s">
        <v>763</v>
      </c>
    </row>
    <row r="233" customFormat="false" ht="15" hidden="false" customHeight="false" outlineLevel="0" collapsed="false">
      <c r="A233" s="61" t="s">
        <v>699</v>
      </c>
      <c r="B233" s="61"/>
      <c r="C233" s="97" t="n">
        <f aca="false">IF(C216=1,Serving!$C$8,1)</f>
        <v>1</v>
      </c>
      <c r="D233" s="97" t="n">
        <f aca="false">IF(D216=1,Serving!$C$8,1)</f>
        <v>1</v>
      </c>
      <c r="E233" s="97" t="n">
        <f aca="false">IF(E216=1,Serving!$C$8,1)</f>
        <v>1</v>
      </c>
      <c r="K233" s="65" t="s">
        <v>763</v>
      </c>
    </row>
    <row r="234" customFormat="false" ht="15" hidden="false" customHeight="false" outlineLevel="0" collapsed="false">
      <c r="A234" s="61" t="s">
        <v>776</v>
      </c>
      <c r="B234" s="62" t="s">
        <v>132</v>
      </c>
      <c r="C234" s="78" t="n">
        <f aca="false">INDEX(CAL_BatchEtaD,1,C211)</f>
        <v>2.36</v>
      </c>
      <c r="D234" s="78" t="n">
        <f aca="false">INDEX(CAL_BatchEtaD,1,D211)</f>
        <v>1</v>
      </c>
      <c r="E234" s="78" t="n">
        <f aca="false">INDEX(CAL_BatchEtaD,1,E211)</f>
        <v>1</v>
      </c>
      <c r="K234" s="65" t="s">
        <v>763</v>
      </c>
    </row>
    <row r="235" customFormat="false" ht="39.55" hidden="false" customHeight="false" outlineLevel="0" collapsed="false">
      <c r="A235" s="62" t="s">
        <v>777</v>
      </c>
      <c r="B235" s="62" t="s">
        <v>127</v>
      </c>
      <c r="C235" s="102" t="n">
        <f aca="false">INDEX($C$70:$G$70,C211)*C234</f>
        <v>0.0843818790597254</v>
      </c>
      <c r="D235" s="102" t="n">
        <f aca="false">INDEX($C$70:$G$70,D211)*D234</f>
        <v>0.0357550334998836</v>
      </c>
      <c r="E235" s="102" t="n">
        <f aca="false">INDEX($C$70:$G$70,E211)*E234</f>
        <v>0.0429060401998604</v>
      </c>
      <c r="J235" s="93" t="s">
        <v>778</v>
      </c>
      <c r="K235" s="65" t="s">
        <v>763</v>
      </c>
    </row>
    <row r="236" customFormat="false" ht="15" hidden="false" customHeight="false" outlineLevel="0" collapsed="false">
      <c r="A236" s="61" t="s">
        <v>736</v>
      </c>
      <c r="B236" s="62" t="s">
        <v>602</v>
      </c>
      <c r="C236" s="69" t="n">
        <f aca="false">INDEX($C$71:$G$71,C211)</f>
        <v>161.185338133698</v>
      </c>
      <c r="D236" s="69" t="n">
        <f aca="false">INDEX($C$71:$G$71,D211)</f>
        <v>161.185338133698</v>
      </c>
      <c r="E236" s="69" t="n">
        <f aca="false">INDEX($C$71:$G$71,E211)</f>
        <v>241.778007200547</v>
      </c>
      <c r="K236" s="65" t="s">
        <v>763</v>
      </c>
    </row>
    <row r="237" customFormat="false" ht="15" hidden="false" customHeight="false" outlineLevel="0" collapsed="false">
      <c r="A237" s="61" t="s">
        <v>626</v>
      </c>
      <c r="B237" s="62" t="s">
        <v>589</v>
      </c>
      <c r="C237" s="73" t="n">
        <f aca="false">C229/C221+($C$102+C232)*C236/1000</f>
        <v>13.0249187971485</v>
      </c>
      <c r="D237" s="73" t="n">
        <f aca="false">D229/D221+($C$102+D232)*D236/1000</f>
        <v>13.0249187971485</v>
      </c>
      <c r="E237" s="73" t="n">
        <f aca="false">E229/E221+($C$102+E232)*E236/1000</f>
        <v>34.773030011814</v>
      </c>
      <c r="K237" s="65" t="s">
        <v>763</v>
      </c>
    </row>
    <row r="238" customFormat="false" ht="15" hidden="false" customHeight="false" outlineLevel="0" collapsed="false">
      <c r="A238" s="61" t="s">
        <v>737</v>
      </c>
      <c r="B238" s="62" t="s">
        <v>589</v>
      </c>
      <c r="C238" s="74" t="n">
        <f aca="false">(C232+1)*C231/(C219*C235)/1000</f>
        <v>0.103922915414021</v>
      </c>
      <c r="D238" s="74" t="n">
        <f aca="false">(D232+1)*D231/(D219*D235)/1000</f>
        <v>0.16350538691806</v>
      </c>
      <c r="E238" s="74" t="n">
        <f aca="false">(E232+1)*E231/(E219*E235)/1000</f>
        <v>0.989202659522719</v>
      </c>
      <c r="K238" s="65" t="s">
        <v>763</v>
      </c>
    </row>
    <row r="239" customFormat="false" ht="15" hidden="false" customHeight="false" outlineLevel="0" collapsed="false">
      <c r="A239" s="61" t="s">
        <v>738</v>
      </c>
      <c r="B239" s="62" t="s">
        <v>589</v>
      </c>
      <c r="C239" s="96" t="n">
        <f aca="false">$C$108*C230/(C221*Serving!$C$13)/1000000000</f>
        <v>0.0171915428571429</v>
      </c>
      <c r="D239" s="96" t="n">
        <f aca="false">$C$108*D230/(D221*Serving!$C$13)/1000000000</f>
        <v>0.0171915428571429</v>
      </c>
      <c r="E239" s="96" t="n">
        <f aca="false">$C$108*E230/(E221*Serving!$C$13)/1000000000</f>
        <v>0.0209142857142857</v>
      </c>
      <c r="K239" s="65" t="s">
        <v>763</v>
      </c>
    </row>
    <row r="240" customFormat="false" ht="15" hidden="false" customHeight="false" outlineLevel="0" collapsed="false">
      <c r="A240" s="61" t="s">
        <v>739</v>
      </c>
      <c r="B240" s="62" t="s">
        <v>589</v>
      </c>
      <c r="C240" s="96" t="n">
        <f aca="false">(C232+1)*$C$102*$C$105*$C$103*Serving!$C$12*(C228-1)/C228/(C222*Serving!$C$14)/1000000000</f>
        <v>0.0161365333333333</v>
      </c>
      <c r="D240" s="96" t="n">
        <f aca="false">(D232+1)*$C$102*$C$105*$C$103*Serving!$C$12*(D228-1)/D228/(D222*Serving!$C$14)/1000000000</f>
        <v>0.0161365333333333</v>
      </c>
      <c r="E240" s="96" t="n">
        <f aca="false">(E232+1)*$C$102*$C$105*$C$103*Serving!$C$12*(E228-1)/E228/(E222*Serving!$C$14)/1000000000</f>
        <v>0.2623488</v>
      </c>
      <c r="K240" s="65" t="s">
        <v>763</v>
      </c>
    </row>
    <row r="241" customFormat="false" ht="15" hidden="false" customHeight="false" outlineLevel="0" collapsed="false">
      <c r="A241" s="61" t="s">
        <v>740</v>
      </c>
      <c r="B241" s="62" t="s">
        <v>589</v>
      </c>
      <c r="C241" s="74" t="n">
        <f aca="false">MAX(C238,C239,C240)</f>
        <v>0.103922915414021</v>
      </c>
      <c r="D241" s="74" t="n">
        <f aca="false">MAX(D238,D239,D240)</f>
        <v>0.16350538691806</v>
      </c>
      <c r="E241" s="74" t="n">
        <f aca="false">MAX(E238,E239,E240)</f>
        <v>0.989202659522719</v>
      </c>
      <c r="K241" s="65" t="s">
        <v>763</v>
      </c>
    </row>
    <row r="242" customFormat="false" ht="15" hidden="false" customHeight="false" outlineLevel="0" collapsed="false">
      <c r="A242" s="61" t="s">
        <v>633</v>
      </c>
      <c r="B242" s="61" t="s">
        <v>631</v>
      </c>
      <c r="C242" s="75" t="n">
        <f aca="false">(C226-C229)*1000000000/($C$108*C230)</f>
        <v>1473.51412230989</v>
      </c>
      <c r="D242" s="75" t="n">
        <f aca="false">(D226-D229)*1000000000/($C$108*D230)</f>
        <v>2427.05606319777</v>
      </c>
      <c r="E242" s="75" t="n">
        <f aca="false">(E226-E229)*1000000000/($C$108*E230)</f>
        <v>438.041559249956</v>
      </c>
      <c r="K242" s="65" t="s">
        <v>763</v>
      </c>
    </row>
    <row r="243" customFormat="false" ht="15" hidden="false" customHeight="false" outlineLevel="0" collapsed="false">
      <c r="A243" s="62" t="s">
        <v>742</v>
      </c>
      <c r="B243" s="61" t="s">
        <v>631</v>
      </c>
      <c r="C243" s="75" t="n">
        <f aca="false">IF(C215&gt;0,MIN(C215,C242),MAX(0,C242))</f>
        <v>1473.51412230989</v>
      </c>
      <c r="D243" s="75" t="n">
        <f aca="false">IF(D215&gt;0,MIN(D215,D242),MAX(0,D242))</f>
        <v>2427.05606319777</v>
      </c>
      <c r="E243" s="75" t="n">
        <f aca="false">IF(E215&gt;0,MIN(E215,E242),MAX(0,E242))</f>
        <v>128</v>
      </c>
      <c r="K243" s="65" t="s">
        <v>763</v>
      </c>
    </row>
    <row r="244" customFormat="false" ht="15" hidden="false" customHeight="false" outlineLevel="0" collapsed="false">
      <c r="A244" s="61" t="s">
        <v>743</v>
      </c>
      <c r="B244" s="62" t="s">
        <v>414</v>
      </c>
      <c r="C244" s="69" t="n">
        <f aca="false">IF(C243&gt;0,C243*C233/((C237+C243*C241)/1000),0)</f>
        <v>8868.21425298231</v>
      </c>
      <c r="D244" s="69" t="n">
        <f aca="false">IF(D243&gt;0,D243*D233/((D237+D243*D241)/1000),0)</f>
        <v>5921.64699246193</v>
      </c>
      <c r="E244" s="69" t="n">
        <f aca="false">IF(E243&gt;0,E243*E233/((E237+E243*E241)/1000),0)</f>
        <v>793.105089202898</v>
      </c>
      <c r="K244" s="65" t="s">
        <v>763</v>
      </c>
    </row>
    <row r="245" customFormat="false" ht="15" hidden="false" customHeight="false" outlineLevel="0" collapsed="false">
      <c r="A245" s="62" t="s">
        <v>622</v>
      </c>
      <c r="B245" s="62" t="s">
        <v>127</v>
      </c>
      <c r="C245" s="102" t="n">
        <f aca="false">INDEX($C$72:$G$72,C211)</f>
        <v>0.3</v>
      </c>
      <c r="D245" s="102" t="n">
        <f aca="false">INDEX($C$72:$G$72,D211)</f>
        <v>0.3</v>
      </c>
      <c r="E245" s="102" t="n">
        <f aca="false">INDEX($C$72:$G$72,E211)</f>
        <v>0.149924204143507</v>
      </c>
      <c r="K245" s="65" t="s">
        <v>763</v>
      </c>
    </row>
    <row r="246" customFormat="false" ht="15" hidden="false" customHeight="false" outlineLevel="0" collapsed="false">
      <c r="A246" s="62" t="s">
        <v>572</v>
      </c>
      <c r="B246" s="62" t="s">
        <v>566</v>
      </c>
      <c r="C246" s="75" t="n">
        <f aca="false">(2*$C$101*1000000000+$C$109*C212/2)/1000000000</f>
        <v>75.998848</v>
      </c>
      <c r="D246" s="75" t="n">
        <f aca="false">(2*$C$101*1000000000+$C$109*D212/2)/1000000000</f>
        <v>75.998848</v>
      </c>
      <c r="E246" s="75" t="n">
        <f aca="false">(2*$C$101*1000000000+$C$109*E212/2)/1000000000</f>
        <v>76.49856</v>
      </c>
      <c r="K246" s="65" t="s">
        <v>763</v>
      </c>
    </row>
    <row r="247" customFormat="false" ht="15" hidden="false" customHeight="false" outlineLevel="0" collapsed="false">
      <c r="A247" s="62" t="s">
        <v>624</v>
      </c>
      <c r="B247" s="62" t="s">
        <v>414</v>
      </c>
      <c r="C247" s="69" t="n">
        <f aca="false">C245*C219*1000000000000000/(C246*1000000000)</f>
        <v>39474.2825575461</v>
      </c>
      <c r="D247" s="69" t="n">
        <f aca="false">D245*D219*1000000000000000/(D246*1000000000)</f>
        <v>59211.4238363192</v>
      </c>
      <c r="E247" s="69" t="n">
        <f aca="false">E245*E219*1000000000000000/(E246*1000000000)</f>
        <v>3878.50437969028</v>
      </c>
      <c r="K247" s="65" t="s">
        <v>763</v>
      </c>
    </row>
    <row r="248" customFormat="false" ht="15" hidden="false" customHeight="false" outlineLevel="0" collapsed="false">
      <c r="A248" s="61" t="s">
        <v>700</v>
      </c>
      <c r="B248" s="62" t="s">
        <v>414</v>
      </c>
      <c r="C248" s="69" t="n">
        <f aca="false">IF(C244&gt;0,C213/(C212/C247+C213/C244),0)</f>
        <v>8475.6133196664</v>
      </c>
      <c r="D248" s="69" t="n">
        <f aca="false">IF(D244&gt;0,D213/(D212/D247+D213/D244),0)</f>
        <v>5802.00777128097</v>
      </c>
      <c r="E248" s="69" t="n">
        <f aca="false">IF(E244&gt;0,E213/(E212/E247+E213/E244),0)</f>
        <v>719.536983133322</v>
      </c>
      <c r="K248" s="65" t="s">
        <v>763</v>
      </c>
    </row>
    <row r="249" customFormat="false" ht="26.85" hidden="false" customHeight="false" outlineLevel="0" collapsed="false">
      <c r="A249" s="61" t="s">
        <v>641</v>
      </c>
      <c r="B249" s="62" t="s">
        <v>132</v>
      </c>
      <c r="C249" s="106" t="n">
        <f aca="false">IF(ISNUMBER(C217),IF(C217&gt;0,C248/C217,"—"),"—")</f>
        <v>1.25527448454775</v>
      </c>
      <c r="D249" s="106" t="n">
        <f aca="false">IF(ISNUMBER(D217),IF(D217&gt;0,D248/D217,"—"),"—")</f>
        <v>0.645585696466193</v>
      </c>
      <c r="E249" s="106" t="n">
        <f aca="false">IF(ISNUMBER(E217),IF(E217&gt;0,E248/E217,"—"),"—")</f>
        <v>0.501000545281522</v>
      </c>
      <c r="J249" s="93" t="s">
        <v>779</v>
      </c>
      <c r="K249" s="65" t="s">
        <v>763</v>
      </c>
    </row>
    <row r="250" customFormat="false" ht="15" hidden="false" customHeight="false" outlineLevel="0" collapsed="false">
      <c r="A250" s="61" t="s">
        <v>746</v>
      </c>
      <c r="B250" s="62" t="s">
        <v>691</v>
      </c>
      <c r="C250" s="107" t="n">
        <f aca="false">C235*C219</f>
        <v>0.843818790597254</v>
      </c>
      <c r="D250" s="107" t="n">
        <f aca="false">D235*D219</f>
        <v>0.536325502498254</v>
      </c>
      <c r="E250" s="107" t="n">
        <f aca="false">E235*E219</f>
        <v>0.0849110535555236</v>
      </c>
      <c r="K250" s="65" t="s">
        <v>763</v>
      </c>
    </row>
    <row r="251" customFormat="false" ht="15" hidden="false" customHeight="false" outlineLevel="0" collapsed="false">
      <c r="A251" s="61" t="s">
        <v>748</v>
      </c>
      <c r="B251" s="62" t="s">
        <v>589</v>
      </c>
      <c r="C251" s="74" t="n">
        <f aca="false">MAX(C239,C240)</f>
        <v>0.0171915428571429</v>
      </c>
      <c r="D251" s="74" t="n">
        <f aca="false">MAX(D239,D240)</f>
        <v>0.0171915428571429</v>
      </c>
      <c r="E251" s="74" t="n">
        <f aca="false">MAX(E239,E240)</f>
        <v>0.2623488</v>
      </c>
      <c r="K251" s="65" t="s">
        <v>763</v>
      </c>
    </row>
    <row r="252" customFormat="false" ht="15" hidden="false" customHeight="false" outlineLevel="0" collapsed="false">
      <c r="A252" s="61" t="s">
        <v>780</v>
      </c>
      <c r="B252" s="62" t="s">
        <v>414</v>
      </c>
      <c r="C252" s="69" t="n">
        <f aca="false">IF(C213/C217&gt;C212/C247,C213/(C213/C217-C212/C247),"無解（prefill 已超過目標時間）")</f>
        <v>6998.83232766747</v>
      </c>
      <c r="D252" s="69" t="n">
        <f aca="false">IF(D213/D217&gt;D212/D247,D213/(D213/D217-D212/D247),"無解（prefill 已超過目標時間）")</f>
        <v>9277.54215761955</v>
      </c>
      <c r="E252" s="69" t="n">
        <f aca="false">IF(E213/E217&gt;E212/E247,E213/(E213/E217-E212/E247),"無解（prefill 已超過目標時間）")</f>
        <v>1762.5301451636</v>
      </c>
      <c r="K252" s="65" t="s">
        <v>763</v>
      </c>
    </row>
    <row r="253" customFormat="false" ht="15" hidden="false" customHeight="false" outlineLevel="0" collapsed="false">
      <c r="A253" s="61" t="s">
        <v>749</v>
      </c>
      <c r="B253" s="62" t="s">
        <v>589</v>
      </c>
      <c r="C253" s="74" t="n">
        <f aca="false">IF(AND(ISNUMBER(C252),C243&gt;0),(1000*C243*C233/C252-C237)/C243,"—")</f>
        <v>0.134041618913085</v>
      </c>
      <c r="D253" s="74" t="n">
        <f aca="false">IF(AND(ISNUMBER(D252),D243&gt;0),(1000*D243*D233/D252-D237)/D243,"—")</f>
        <v>0.102420618075091</v>
      </c>
      <c r="E253" s="74" t="n">
        <f aca="false">IF(AND(ISNUMBER(E252),E243&gt;0),(1000*E243*E233/E252-E237)/E243,"—")</f>
        <v>0.295701885531205</v>
      </c>
      <c r="K253" s="65" t="s">
        <v>763</v>
      </c>
    </row>
    <row r="254" customFormat="false" ht="39.55" hidden="false" customHeight="false" outlineLevel="0" collapsed="false">
      <c r="A254" s="61" t="s">
        <v>781</v>
      </c>
      <c r="B254" s="62" t="s">
        <v>132</v>
      </c>
      <c r="C254" s="104" t="n">
        <f aca="false">IF(ISNUMBER(C253),IF(C253&lt;=C251,"無解（非算力項下限）",((C232+1)*C231/C219/1000/C253)/INDEX($C$70:$G$70,C211)),"—")</f>
        <v>1.8297158924656</v>
      </c>
      <c r="D254" s="104" t="n">
        <f aca="false">IF(ISNUMBER(D253),IF(D253&lt;=D251,"無解（非算力項下限）",((D232+1)*D231/D219/1000/D253)/INDEX($C$70:$G$70,D211)),"—")</f>
        <v>1.59641085936607</v>
      </c>
      <c r="E254" s="104" t="n">
        <f aca="false">IF(ISNUMBER(E253),IF(E253&lt;=E251,"無解（非算力項下限）",((E232+1)*E231/E219/1000/E253)/INDEX($C$70:$G$70,E211)),"—")</f>
        <v>3.34527004366474</v>
      </c>
      <c r="J254" s="93" t="s">
        <v>782</v>
      </c>
      <c r="K254" s="65" t="s">
        <v>763</v>
      </c>
    </row>
    <row r="256" customFormat="false" ht="15" hidden="false" customHeight="false" outlineLevel="0" collapsed="false">
      <c r="A256" s="77" t="s">
        <v>783</v>
      </c>
      <c r="B256" s="71"/>
      <c r="C256" s="71"/>
      <c r="D256" s="71"/>
      <c r="E256" s="71"/>
      <c r="F256" s="71"/>
      <c r="G256" s="71"/>
      <c r="H256" s="71"/>
      <c r="I256" s="71"/>
      <c r="J256" s="71"/>
    </row>
    <row r="257" customFormat="false" ht="64.9" hidden="false" customHeight="false" outlineLevel="0" collapsed="false">
      <c r="A257" s="61" t="s">
        <v>784</v>
      </c>
      <c r="B257" s="62" t="s">
        <v>132</v>
      </c>
      <c r="C257" s="79" t="n">
        <v>2</v>
      </c>
      <c r="J257" s="88" t="s">
        <v>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  <col collapsed="false" customWidth="true" hidden="false" outlineLevel="0" max="21" min="21" style="0" width="46"/>
  </cols>
  <sheetData>
    <row r="1" customFormat="false" ht="20.1" hidden="false" customHeight="false" outlineLevel="0" collapsed="false">
      <c r="A1" s="58" t="s">
        <v>786</v>
      </c>
    </row>
    <row r="2" customFormat="false" ht="15" hidden="false" customHeight="false" outlineLevel="0" collapsed="false">
      <c r="A2" s="65" t="s">
        <v>787</v>
      </c>
    </row>
    <row r="3" customFormat="false" ht="15" hidden="false" customHeight="false" outlineLevel="0" collapsed="false">
      <c r="U3" s="60" t="s">
        <v>2</v>
      </c>
    </row>
    <row r="4" customFormat="false" ht="30" hidden="false" customHeight="true" outlineLevel="0" collapsed="false">
      <c r="A4" s="85" t="s">
        <v>788</v>
      </c>
      <c r="B4" s="84" t="s">
        <v>789</v>
      </c>
      <c r="C4" s="84" t="s">
        <v>790</v>
      </c>
      <c r="D4" s="84" t="s">
        <v>791</v>
      </c>
      <c r="E4" s="84" t="s">
        <v>792</v>
      </c>
      <c r="F4" s="84" t="s">
        <v>793</v>
      </c>
      <c r="G4" s="84" t="s">
        <v>794</v>
      </c>
      <c r="H4" s="84" t="s">
        <v>795</v>
      </c>
      <c r="I4" s="84" t="s">
        <v>796</v>
      </c>
      <c r="J4" s="84" t="s">
        <v>797</v>
      </c>
      <c r="K4" s="84" t="s">
        <v>798</v>
      </c>
      <c r="L4" s="85" t="s">
        <v>799</v>
      </c>
      <c r="M4" s="84" t="s">
        <v>800</v>
      </c>
      <c r="N4" s="84" t="s">
        <v>801</v>
      </c>
      <c r="O4" s="84" t="s">
        <v>802</v>
      </c>
      <c r="P4" s="84" t="s">
        <v>803</v>
      </c>
      <c r="Q4" s="84" t="s">
        <v>804</v>
      </c>
      <c r="R4" s="84" t="s">
        <v>114</v>
      </c>
      <c r="S4" s="84" t="s">
        <v>805</v>
      </c>
      <c r="T4" s="84" t="s">
        <v>806</v>
      </c>
    </row>
    <row r="5" customFormat="false" ht="42" hidden="false" customHeight="true" outlineLevel="0" collapsed="false">
      <c r="A5" s="62" t="s">
        <v>807</v>
      </c>
      <c r="B5" s="6" t="s">
        <v>808</v>
      </c>
      <c r="C5" s="62" t="s">
        <v>809</v>
      </c>
      <c r="D5" s="62" t="s">
        <v>810</v>
      </c>
      <c r="E5" s="80" t="n">
        <v>1</v>
      </c>
      <c r="F5" s="80" t="n">
        <v>1</v>
      </c>
      <c r="G5" s="80" t="n">
        <v>1</v>
      </c>
      <c r="H5" s="68" t="n">
        <v>2</v>
      </c>
      <c r="I5" s="109" t="s">
        <v>811</v>
      </c>
      <c r="J5" s="68" t="n">
        <v>3</v>
      </c>
      <c r="K5" s="61" t="str">
        <f aca="false">IF(J5&gt;=CST_MainMin,"主流","非主流")</f>
        <v>主流</v>
      </c>
      <c r="L5" s="109"/>
      <c r="M5" s="109" t="s">
        <v>812</v>
      </c>
      <c r="N5" s="67" t="n">
        <v>1</v>
      </c>
      <c r="O5" s="68" t="n">
        <v>1</v>
      </c>
      <c r="P5" s="104" t="n">
        <f aca="false">IF(M5="是",1,1+O5*N5*(CHOOSE(H5,E5,F5,G5)-1))</f>
        <v>1</v>
      </c>
      <c r="Q5" s="59" t="s">
        <v>164</v>
      </c>
      <c r="R5" s="88" t="s">
        <v>813</v>
      </c>
      <c r="S5" s="88" t="s">
        <v>809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814</v>
      </c>
      <c r="B6" s="5" t="s">
        <v>815</v>
      </c>
      <c r="C6" s="62" t="s">
        <v>809</v>
      </c>
      <c r="D6" s="62" t="s">
        <v>816</v>
      </c>
      <c r="E6" s="80" t="n">
        <v>1</v>
      </c>
      <c r="F6" s="80" t="n">
        <v>1</v>
      </c>
      <c r="G6" s="80" t="n">
        <v>1</v>
      </c>
      <c r="H6" s="68" t="n">
        <v>2</v>
      </c>
      <c r="I6" s="109" t="s">
        <v>811</v>
      </c>
      <c r="J6" s="68" t="n">
        <v>3</v>
      </c>
      <c r="K6" s="61" t="str">
        <f aca="false">IF(J6&gt;=CST_MainMin,"主流","非主流")</f>
        <v>主流</v>
      </c>
      <c r="L6" s="109"/>
      <c r="M6" s="109" t="s">
        <v>812</v>
      </c>
      <c r="N6" s="67" t="n">
        <v>1</v>
      </c>
      <c r="O6" s="68" t="n">
        <v>1</v>
      </c>
      <c r="P6" s="104" t="n">
        <f aca="false">IF(M6="是",1,1+O6*N6*(CHOOSE(H6,E6,F6,G6)-1))</f>
        <v>1</v>
      </c>
      <c r="Q6" s="59" t="s">
        <v>164</v>
      </c>
      <c r="R6" s="88" t="s">
        <v>817</v>
      </c>
      <c r="S6" s="88" t="s">
        <v>809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818</v>
      </c>
      <c r="B7" s="6" t="s">
        <v>819</v>
      </c>
      <c r="C7" s="62" t="s">
        <v>809</v>
      </c>
      <c r="D7" s="62" t="s">
        <v>820</v>
      </c>
      <c r="E7" s="80" t="n">
        <v>1</v>
      </c>
      <c r="F7" s="80" t="n">
        <v>1</v>
      </c>
      <c r="G7" s="80" t="n">
        <v>1</v>
      </c>
      <c r="H7" s="68" t="n">
        <v>2</v>
      </c>
      <c r="I7" s="109" t="s">
        <v>811</v>
      </c>
      <c r="J7" s="68" t="n">
        <v>2</v>
      </c>
      <c r="K7" s="61" t="str">
        <f aca="false">IF(J7&gt;=CST_MainMin,"主流","非主流")</f>
        <v>主流</v>
      </c>
      <c r="L7" s="109"/>
      <c r="M7" s="109" t="s">
        <v>812</v>
      </c>
      <c r="N7" s="67" t="n">
        <v>1</v>
      </c>
      <c r="O7" s="68" t="n">
        <v>1</v>
      </c>
      <c r="P7" s="104" t="n">
        <f aca="false">IF(M7="是",1,1+O7*N7*(CHOOSE(H7,E7,F7,G7)-1))</f>
        <v>1</v>
      </c>
      <c r="Q7" s="59" t="s">
        <v>164</v>
      </c>
      <c r="R7" s="88" t="s">
        <v>821</v>
      </c>
      <c r="S7" s="88" t="s">
        <v>809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822</v>
      </c>
      <c r="B8" s="6" t="s">
        <v>823</v>
      </c>
      <c r="C8" s="62" t="s">
        <v>809</v>
      </c>
      <c r="D8" s="62" t="s">
        <v>820</v>
      </c>
      <c r="E8" s="80" t="n">
        <v>1</v>
      </c>
      <c r="F8" s="80" t="n">
        <v>1</v>
      </c>
      <c r="G8" s="80" t="n">
        <v>1</v>
      </c>
      <c r="H8" s="68" t="n">
        <v>2</v>
      </c>
      <c r="I8" s="109" t="s">
        <v>811</v>
      </c>
      <c r="J8" s="68" t="n">
        <v>2</v>
      </c>
      <c r="K8" s="61" t="str">
        <f aca="false">IF(J8&gt;=CST_MainMin,"主流","非主流")</f>
        <v>主流</v>
      </c>
      <c r="L8" s="109"/>
      <c r="M8" s="109" t="s">
        <v>812</v>
      </c>
      <c r="N8" s="67" t="n">
        <v>1</v>
      </c>
      <c r="O8" s="68" t="n">
        <v>1</v>
      </c>
      <c r="P8" s="104" t="n">
        <f aca="false">IF(M8="是",1,1+O8*N8*(CHOOSE(H8,E8,F8,G8)-1))</f>
        <v>1</v>
      </c>
      <c r="Q8" s="59" t="s">
        <v>241</v>
      </c>
      <c r="R8" s="88" t="s">
        <v>824</v>
      </c>
      <c r="S8" s="88" t="s">
        <v>809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825</v>
      </c>
      <c r="B9" s="6" t="s">
        <v>826</v>
      </c>
      <c r="C9" s="62" t="s">
        <v>809</v>
      </c>
      <c r="D9" s="62" t="s">
        <v>827</v>
      </c>
      <c r="E9" s="80" t="n">
        <v>1</v>
      </c>
      <c r="F9" s="80" t="n">
        <v>1</v>
      </c>
      <c r="G9" s="80" t="n">
        <v>1</v>
      </c>
      <c r="H9" s="68" t="n">
        <v>2</v>
      </c>
      <c r="I9" s="109" t="s">
        <v>811</v>
      </c>
      <c r="J9" s="68" t="n">
        <v>2</v>
      </c>
      <c r="K9" s="61" t="str">
        <f aca="false">IF(J9&gt;=CST_MainMin,"主流","非主流")</f>
        <v>主流</v>
      </c>
      <c r="L9" s="109"/>
      <c r="M9" s="109" t="s">
        <v>812</v>
      </c>
      <c r="N9" s="67" t="n">
        <v>1</v>
      </c>
      <c r="O9" s="68" t="n">
        <v>1</v>
      </c>
      <c r="P9" s="104" t="n">
        <f aca="false">IF(M9="是",1,1+O9*N9*(CHOOSE(H9,E9,F9,G9)-1))</f>
        <v>1</v>
      </c>
      <c r="Q9" s="59" t="s">
        <v>241</v>
      </c>
      <c r="R9" s="88" t="s">
        <v>828</v>
      </c>
      <c r="S9" s="88" t="s">
        <v>809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829</v>
      </c>
      <c r="B10" s="6" t="s">
        <v>830</v>
      </c>
      <c r="C10" s="62" t="s">
        <v>831</v>
      </c>
      <c r="D10" s="61" t="s">
        <v>832</v>
      </c>
      <c r="E10" s="80" t="n">
        <v>0.7</v>
      </c>
      <c r="F10" s="80" t="n">
        <v>0.85</v>
      </c>
      <c r="G10" s="80" t="n">
        <v>1</v>
      </c>
      <c r="H10" s="68" t="n">
        <v>2</v>
      </c>
      <c r="I10" s="109" t="s">
        <v>833</v>
      </c>
      <c r="J10" s="68" t="n">
        <v>2</v>
      </c>
      <c r="K10" s="61" t="str">
        <f aca="false">IF(J10&gt;=CST_MainMin,"主流","非主流")</f>
        <v>主流</v>
      </c>
      <c r="L10" s="109"/>
      <c r="M10" s="109" t="s">
        <v>812</v>
      </c>
      <c r="N10" s="67" t="n">
        <v>1</v>
      </c>
      <c r="O10" s="68" t="n">
        <v>0</v>
      </c>
      <c r="P10" s="104" t="n">
        <f aca="false">IF(M10="是",1,1+O10*N10*(CHOOSE(H10,E10,F10,G10)-1))</f>
        <v>1</v>
      </c>
      <c r="Q10" s="59" t="s">
        <v>241</v>
      </c>
      <c r="R10" s="88" t="s">
        <v>834</v>
      </c>
      <c r="S10" s="93" t="s">
        <v>835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836</v>
      </c>
      <c r="B11" s="6" t="s">
        <v>837</v>
      </c>
      <c r="C11" s="62" t="s">
        <v>838</v>
      </c>
      <c r="D11" s="61" t="s">
        <v>839</v>
      </c>
      <c r="E11" s="80" t="n">
        <v>1.5</v>
      </c>
      <c r="F11" s="80" t="n">
        <v>2</v>
      </c>
      <c r="G11" s="80" t="n">
        <v>3</v>
      </c>
      <c r="H11" s="68" t="n">
        <v>2</v>
      </c>
      <c r="I11" s="109" t="s">
        <v>833</v>
      </c>
      <c r="J11" s="68" t="n">
        <v>1</v>
      </c>
      <c r="K11" s="61" t="str">
        <f aca="false">IF(J11&gt;=CST_MainMin,"主流","非主流")</f>
        <v>非主流</v>
      </c>
      <c r="L11" s="109"/>
      <c r="M11" s="109" t="s">
        <v>840</v>
      </c>
      <c r="N11" s="67" t="n">
        <v>1</v>
      </c>
      <c r="O11" s="68" t="n">
        <v>0</v>
      </c>
      <c r="P11" s="104" t="n">
        <f aca="false">IF(M11="是",1,1+O11*N11*(CHOOSE(H11,E11,F11,G11)-1))</f>
        <v>1</v>
      </c>
      <c r="Q11" s="59" t="s">
        <v>241</v>
      </c>
      <c r="R11" s="93" t="s">
        <v>841</v>
      </c>
      <c r="S11" s="93" t="s">
        <v>842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843</v>
      </c>
      <c r="B12" s="6" t="s">
        <v>844</v>
      </c>
      <c r="C12" s="62" t="s">
        <v>845</v>
      </c>
      <c r="D12" s="61" t="s">
        <v>846</v>
      </c>
      <c r="E12" s="80" t="n">
        <v>1.5</v>
      </c>
      <c r="F12" s="80" t="n">
        <v>2</v>
      </c>
      <c r="G12" s="80" t="n">
        <v>4</v>
      </c>
      <c r="H12" s="68" t="n">
        <v>2</v>
      </c>
      <c r="I12" s="109" t="s">
        <v>847</v>
      </c>
      <c r="J12" s="68" t="n">
        <v>0</v>
      </c>
      <c r="K12" s="61" t="str">
        <f aca="false">IF(J12&gt;=CST_MainMin,"主流","非主流")</f>
        <v>非主流</v>
      </c>
      <c r="L12" s="109"/>
      <c r="M12" s="109" t="s">
        <v>840</v>
      </c>
      <c r="N12" s="67" t="n">
        <v>1</v>
      </c>
      <c r="O12" s="68" t="n">
        <v>0</v>
      </c>
      <c r="P12" s="104" t="n">
        <f aca="false">IF(M12="是",1,1+O12*N12*(CHOOSE(H12,E12,F12,G12)-1))</f>
        <v>1</v>
      </c>
      <c r="Q12" s="59" t="s">
        <v>128</v>
      </c>
      <c r="R12" s="93" t="s">
        <v>848</v>
      </c>
      <c r="S12" s="93" t="s">
        <v>849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850</v>
      </c>
      <c r="B13" s="6" t="s">
        <v>851</v>
      </c>
      <c r="C13" s="62" t="s">
        <v>852</v>
      </c>
      <c r="D13" s="61" t="s">
        <v>853</v>
      </c>
      <c r="E13" s="80" t="n">
        <v>1.5</v>
      </c>
      <c r="F13" s="80" t="n">
        <v>2</v>
      </c>
      <c r="G13" s="80" t="n">
        <v>4</v>
      </c>
      <c r="H13" s="68" t="n">
        <v>2</v>
      </c>
      <c r="I13" s="109" t="s">
        <v>847</v>
      </c>
      <c r="J13" s="68" t="n">
        <v>0</v>
      </c>
      <c r="K13" s="61" t="str">
        <f aca="false">IF(J13&gt;=CST_MainMin,"主流","非主流")</f>
        <v>非主流</v>
      </c>
      <c r="L13" s="109"/>
      <c r="M13" s="109" t="s">
        <v>840</v>
      </c>
      <c r="N13" s="67" t="n">
        <v>1</v>
      </c>
      <c r="O13" s="68" t="n">
        <v>0</v>
      </c>
      <c r="P13" s="104" t="n">
        <f aca="false">IF(M13="是",1,1+O13*N13*(CHOOSE(H13,E13,F13,G13)-1))</f>
        <v>1</v>
      </c>
      <c r="Q13" s="59" t="s">
        <v>128</v>
      </c>
      <c r="R13" s="93" t="s">
        <v>854</v>
      </c>
      <c r="S13" s="93" t="s">
        <v>855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856</v>
      </c>
      <c r="B14" s="5" t="s">
        <v>857</v>
      </c>
      <c r="C14" s="62" t="s">
        <v>858</v>
      </c>
      <c r="D14" s="62" t="s">
        <v>859</v>
      </c>
      <c r="E14" s="80" t="n">
        <v>1.2</v>
      </c>
      <c r="F14" s="80" t="n">
        <v>1.4</v>
      </c>
      <c r="G14" s="80" t="n">
        <v>1.6</v>
      </c>
      <c r="H14" s="68" t="n">
        <v>2</v>
      </c>
      <c r="I14" s="109" t="s">
        <v>811</v>
      </c>
      <c r="J14" s="90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812</v>
      </c>
      <c r="N14" s="67" t="n">
        <v>1</v>
      </c>
      <c r="O14" s="68" t="n">
        <v>0</v>
      </c>
      <c r="P14" s="104" t="n">
        <f aca="false">IF(M14="是",1,1+O14*N14*(CHOOSE(H14,E14,F14,G14)-1))</f>
        <v>1</v>
      </c>
      <c r="Q14" s="59" t="s">
        <v>241</v>
      </c>
      <c r="R14" s="93" t="s">
        <v>860</v>
      </c>
      <c r="S14" s="93" t="s">
        <v>861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862</v>
      </c>
      <c r="B15" s="6" t="s">
        <v>863</v>
      </c>
      <c r="C15" s="62" t="s">
        <v>864</v>
      </c>
      <c r="D15" s="62" t="s">
        <v>550</v>
      </c>
      <c r="E15" s="80" t="n">
        <v>0.5</v>
      </c>
      <c r="F15" s="80" t="n">
        <v>0.5</v>
      </c>
      <c r="G15" s="80" t="n">
        <v>0.75</v>
      </c>
      <c r="H15" s="68" t="n">
        <v>2</v>
      </c>
      <c r="I15" s="109" t="s">
        <v>833</v>
      </c>
      <c r="J15" s="68" t="n">
        <v>1</v>
      </c>
      <c r="K15" s="61" t="str">
        <f aca="false">IF(J15&gt;=CST_MainMin,"主流","非主流")</f>
        <v>非主流</v>
      </c>
      <c r="L15" s="109"/>
      <c r="M15" s="109" t="s">
        <v>840</v>
      </c>
      <c r="N15" s="67" t="n">
        <v>1</v>
      </c>
      <c r="O15" s="68" t="n">
        <v>0</v>
      </c>
      <c r="P15" s="104" t="n">
        <f aca="false">IF(M15="是",1,1+O15*N15*(CHOOSE(H15,E15,F15,G15)-1))</f>
        <v>1</v>
      </c>
      <c r="Q15" s="59" t="s">
        <v>128</v>
      </c>
      <c r="R15" s="88" t="s">
        <v>865</v>
      </c>
      <c r="S15" s="93" t="s">
        <v>866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867</v>
      </c>
      <c r="B16" s="6" t="s">
        <v>868</v>
      </c>
      <c r="C16" s="62" t="s">
        <v>869</v>
      </c>
      <c r="D16" s="62" t="s">
        <v>870</v>
      </c>
      <c r="E16" s="80" t="n">
        <v>1</v>
      </c>
      <c r="F16" s="80" t="n">
        <v>1</v>
      </c>
      <c r="G16" s="80" t="n">
        <v>1</v>
      </c>
      <c r="H16" s="68" t="n">
        <v>2</v>
      </c>
      <c r="I16" s="109" t="s">
        <v>871</v>
      </c>
      <c r="J16" s="68" t="n">
        <v>0</v>
      </c>
      <c r="K16" s="61" t="str">
        <f aca="false">IF(J16&gt;=CST_MainMin,"主流","非主流")</f>
        <v>非主流</v>
      </c>
      <c r="L16" s="109"/>
      <c r="M16" s="109" t="s">
        <v>840</v>
      </c>
      <c r="N16" s="67" t="n">
        <v>1</v>
      </c>
      <c r="O16" s="68" t="n">
        <v>0</v>
      </c>
      <c r="P16" s="104" t="n">
        <f aca="false">IF(M16="是",1,1+O16*N16*(CHOOSE(H16,E16,F16,G16)-1))</f>
        <v>1</v>
      </c>
      <c r="Q16" s="59" t="s">
        <v>128</v>
      </c>
      <c r="R16" s="88" t="s">
        <v>872</v>
      </c>
      <c r="S16" s="93" t="s">
        <v>873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874</v>
      </c>
      <c r="B17" s="5" t="s">
        <v>875</v>
      </c>
      <c r="J17" s="68" t="n">
        <v>2</v>
      </c>
      <c r="Q17" s="59" t="s">
        <v>118</v>
      </c>
      <c r="R17" s="88" t="s">
        <v>876</v>
      </c>
    </row>
    <row r="18" customFormat="false" ht="15" hidden="false" customHeight="false" outlineLevel="0" collapsed="false">
      <c r="A18" s="70" t="s">
        <v>877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</row>
    <row r="19" customFormat="false" ht="15" hidden="false" customHeight="false" outlineLevel="0" collapsed="false">
      <c r="A19" s="60" t="s">
        <v>878</v>
      </c>
      <c r="B19" s="60" t="s">
        <v>879</v>
      </c>
      <c r="C19" s="60"/>
      <c r="D19" s="60" t="s">
        <v>880</v>
      </c>
      <c r="E19" s="60" t="s">
        <v>881</v>
      </c>
    </row>
    <row r="20" customFormat="false" ht="15" hidden="false" customHeight="false" outlineLevel="0" collapsed="false">
      <c r="A20" s="10" t="s">
        <v>882</v>
      </c>
      <c r="B20" s="62" t="s">
        <v>883</v>
      </c>
      <c r="D20" s="88" t="s">
        <v>884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852</v>
      </c>
      <c r="B21" s="61" t="s">
        <v>610</v>
      </c>
      <c r="D21" s="88" t="s">
        <v>885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845</v>
      </c>
      <c r="B22" s="61" t="s">
        <v>886</v>
      </c>
      <c r="D22" s="88" t="s">
        <v>887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864</v>
      </c>
      <c r="B23" s="62" t="s">
        <v>888</v>
      </c>
      <c r="D23" s="88" t="s">
        <v>889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890</v>
      </c>
      <c r="B24" s="61" t="s">
        <v>891</v>
      </c>
      <c r="D24" s="88" t="s">
        <v>892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838</v>
      </c>
      <c r="B25" s="61" t="s">
        <v>893</v>
      </c>
      <c r="D25" s="88" t="s">
        <v>894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895</v>
      </c>
      <c r="B26" s="61" t="s">
        <v>896</v>
      </c>
      <c r="D26" s="88" t="s">
        <v>897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831</v>
      </c>
      <c r="B27" s="61" t="s">
        <v>898</v>
      </c>
      <c r="D27" s="88" t="s">
        <v>899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858</v>
      </c>
      <c r="B28" s="62" t="s">
        <v>900</v>
      </c>
      <c r="D28" s="88" t="s">
        <v>901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902</v>
      </c>
      <c r="B29" s="61" t="s">
        <v>903</v>
      </c>
      <c r="D29" s="88" t="s">
        <v>904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869</v>
      </c>
      <c r="B30" s="62" t="s">
        <v>905</v>
      </c>
      <c r="D30" s="88" t="s">
        <v>906</v>
      </c>
      <c r="E30" s="106" t="n">
        <f aca="false">EXP(SUMPRODUCT(($C$5:$C$16="H_HAR")*LN($P$5:$P$16)))</f>
        <v>1</v>
      </c>
      <c r="U30" s="65" t="s">
        <v>907</v>
      </c>
    </row>
    <row r="32" customFormat="false" ht="30" hidden="false" customHeight="true" outlineLevel="0" collapsed="false">
      <c r="A32" s="60" t="s">
        <v>908</v>
      </c>
      <c r="B32" s="110" t="s">
        <v>909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910</v>
      </c>
    </row>
    <row r="2" customFormat="false" ht="15" hidden="false" customHeight="false" outlineLevel="0" collapsed="false">
      <c r="A2" s="59" t="s">
        <v>911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913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915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916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917</v>
      </c>
      <c r="B10" s="62" t="s">
        <v>132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918</v>
      </c>
      <c r="B11" s="62" t="s">
        <v>132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919</v>
      </c>
      <c r="B12" s="62" t="s">
        <v>132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7" t="s">
        <v>920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525</v>
      </c>
      <c r="B14" s="62" t="s">
        <v>526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528</v>
      </c>
      <c r="B15" s="62" t="s">
        <v>921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531</v>
      </c>
      <c r="B16" s="62" t="s">
        <v>402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922</v>
      </c>
      <c r="B17" s="62" t="s">
        <v>402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262</v>
      </c>
      <c r="B18" s="62" t="s">
        <v>725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923</v>
      </c>
      <c r="B19" s="62" t="s">
        <v>311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924</v>
      </c>
      <c r="B20" s="62" t="s">
        <v>311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925</v>
      </c>
      <c r="B21" s="62" t="s">
        <v>725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213</v>
      </c>
      <c r="B22" s="61" t="s">
        <v>926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927</v>
      </c>
      <c r="B23" s="62" t="s">
        <v>928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929</v>
      </c>
      <c r="B24" s="62" t="s">
        <v>930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931</v>
      </c>
      <c r="B25" s="61" t="s">
        <v>932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933</v>
      </c>
      <c r="B26" s="62" t="s">
        <v>934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7" t="s">
        <v>935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313</v>
      </c>
      <c r="B28" s="62" t="s">
        <v>311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315</v>
      </c>
      <c r="B29" s="61" t="s">
        <v>316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318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936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547</v>
      </c>
      <c r="B32" s="62" t="s">
        <v>311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353</v>
      </c>
      <c r="B33" s="62" t="s">
        <v>311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937</v>
      </c>
      <c r="B34" s="62" t="s">
        <v>311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552</v>
      </c>
      <c r="B35" s="62" t="s">
        <v>355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330</v>
      </c>
      <c r="B36" s="62" t="s">
        <v>127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</row>
    <row r="37" customFormat="false" ht="15" hidden="false" customHeight="false" outlineLevel="0" collapsed="false">
      <c r="A37" s="61" t="s">
        <v>938</v>
      </c>
      <c r="B37" s="62" t="s">
        <v>333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335</v>
      </c>
      <c r="B38" s="62" t="s">
        <v>132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337</v>
      </c>
      <c r="B39" s="62" t="s">
        <v>333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7" t="s">
        <v>939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413</v>
      </c>
      <c r="B41" s="62" t="s">
        <v>414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940</v>
      </c>
      <c r="B42" s="62" t="s">
        <v>417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941</v>
      </c>
      <c r="B43" s="62" t="s">
        <v>333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420</v>
      </c>
      <c r="B44" s="62" t="s">
        <v>333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561</v>
      </c>
      <c r="B45" s="62" t="s">
        <v>333</v>
      </c>
      <c r="C45" s="69" t="n">
        <f aca="false">C43+C44/2</f>
        <v>8704</v>
      </c>
      <c r="D45" s="69" t="n">
        <f aca="false">D43+D44/2</f>
        <v>17408</v>
      </c>
      <c r="E45" s="69" t="n">
        <f aca="false">E43+E44/2</f>
        <v>34816</v>
      </c>
      <c r="F45" s="69" t="n">
        <f aca="false">F43+F44/2</f>
        <v>8704</v>
      </c>
      <c r="G45" s="69" t="n">
        <f aca="false">G43+G44/2</f>
        <v>17408</v>
      </c>
      <c r="H45" s="69" t="n">
        <f aca="false">H43+H44/2</f>
        <v>34816</v>
      </c>
      <c r="I45" s="69" t="n">
        <f aca="false">I43+I44/2</f>
        <v>8704</v>
      </c>
      <c r="J45" s="69" t="n">
        <f aca="false">J43+J44/2</f>
        <v>17408</v>
      </c>
      <c r="K45" s="69" t="n">
        <f aca="false">K43+K44/2</f>
        <v>34816</v>
      </c>
      <c r="L45" s="69" t="n">
        <f aca="false">L43+L44/2</f>
        <v>8704</v>
      </c>
      <c r="M45" s="69" t="n">
        <f aca="false">M43+M44/2</f>
        <v>17408</v>
      </c>
      <c r="N45" s="69" t="n">
        <f aca="false">N43+N44/2</f>
        <v>34816</v>
      </c>
      <c r="O45" s="69" t="n">
        <f aca="false">O43+O44/2</f>
        <v>8704</v>
      </c>
      <c r="P45" s="69" t="n">
        <f aca="false">P43+P44/2</f>
        <v>17408</v>
      </c>
      <c r="Q45" s="69" t="n">
        <f aca="false">Q43+Q44/2</f>
        <v>34816</v>
      </c>
    </row>
    <row r="46" customFormat="false" ht="15" hidden="false" customHeight="false" outlineLevel="0" collapsed="false">
      <c r="A46" s="62" t="s">
        <v>568</v>
      </c>
      <c r="B46" s="62" t="s">
        <v>333</v>
      </c>
      <c r="C46" s="69" t="n">
        <f aca="false">C43/2</f>
        <v>4096</v>
      </c>
      <c r="D46" s="69" t="n">
        <f aca="false">D43/2</f>
        <v>8192</v>
      </c>
      <c r="E46" s="69" t="n">
        <f aca="false">E43/2</f>
        <v>16384</v>
      </c>
      <c r="F46" s="69" t="n">
        <f aca="false">F43/2</f>
        <v>4096</v>
      </c>
      <c r="G46" s="69" t="n">
        <f aca="false">G43/2</f>
        <v>8192</v>
      </c>
      <c r="H46" s="69" t="n">
        <f aca="false">H43/2</f>
        <v>16384</v>
      </c>
      <c r="I46" s="69" t="n">
        <f aca="false">I43/2</f>
        <v>4096</v>
      </c>
      <c r="J46" s="69" t="n">
        <f aca="false">J43/2</f>
        <v>8192</v>
      </c>
      <c r="K46" s="69" t="n">
        <f aca="false">K43/2</f>
        <v>16384</v>
      </c>
      <c r="L46" s="69" t="n">
        <f aca="false">L43/2</f>
        <v>4096</v>
      </c>
      <c r="M46" s="69" t="n">
        <f aca="false">M43/2</f>
        <v>8192</v>
      </c>
      <c r="N46" s="69" t="n">
        <f aca="false">N43/2</f>
        <v>16384</v>
      </c>
      <c r="O46" s="69" t="n">
        <f aca="false">O43/2</f>
        <v>4096</v>
      </c>
      <c r="P46" s="69" t="n">
        <f aca="false">P43/2</f>
        <v>8192</v>
      </c>
      <c r="Q46" s="69" t="n">
        <f aca="false">Q43/2</f>
        <v>16384</v>
      </c>
    </row>
    <row r="47" customFormat="false" ht="15" hidden="false" customHeight="false" outlineLevel="0" collapsed="false">
      <c r="A47" s="62" t="s">
        <v>942</v>
      </c>
      <c r="B47" s="62" t="s">
        <v>333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</row>
    <row r="48" customFormat="false" ht="15" hidden="false" customHeight="false" outlineLevel="0" collapsed="false">
      <c r="A48" s="61" t="s">
        <v>943</v>
      </c>
      <c r="B48" s="62" t="s">
        <v>127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</row>
    <row r="49" customFormat="false" ht="15" hidden="false" customHeight="false" outlineLevel="0" collapsed="false">
      <c r="A49" s="61" t="s">
        <v>944</v>
      </c>
      <c r="B49" s="62" t="s">
        <v>333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</row>
    <row r="50" customFormat="false" ht="15" hidden="false" customHeight="false" outlineLevel="0" collapsed="false">
      <c r="A50" s="61" t="s">
        <v>408</v>
      </c>
      <c r="B50" s="62" t="s">
        <v>132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945</v>
      </c>
      <c r="B51" s="62" t="s">
        <v>127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946</v>
      </c>
      <c r="B52" s="62" t="s">
        <v>132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947</v>
      </c>
      <c r="B53" s="62" t="s">
        <v>127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948</v>
      </c>
      <c r="B54" s="62" t="s">
        <v>132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949</v>
      </c>
      <c r="B55" s="62" t="s">
        <v>602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950</v>
      </c>
      <c r="B56" s="62" t="s">
        <v>127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</row>
    <row r="57" customFormat="false" ht="15" hidden="false" customHeight="false" outlineLevel="0" collapsed="false">
      <c r="A57" s="61" t="s">
        <v>951</v>
      </c>
      <c r="B57" s="62" t="s">
        <v>127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</row>
    <row r="58" customFormat="false" ht="15" hidden="false" customHeight="false" outlineLevel="0" collapsed="false">
      <c r="A58" s="61" t="s">
        <v>952</v>
      </c>
      <c r="B58" s="62" t="s">
        <v>127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</row>
    <row r="59" customFormat="false" ht="15" hidden="false" customHeight="false" outlineLevel="0" collapsed="false">
      <c r="A59" s="62" t="s">
        <v>953</v>
      </c>
      <c r="B59" s="62" t="s">
        <v>311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954</v>
      </c>
      <c r="B60" s="62" t="s">
        <v>127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</row>
    <row r="61" customFormat="false" ht="15" hidden="false" customHeight="false" outlineLevel="0" collapsed="false">
      <c r="A61" s="62" t="s">
        <v>955</v>
      </c>
      <c r="B61" s="62" t="s">
        <v>127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</row>
    <row r="62" customFormat="false" ht="15" hidden="false" customHeight="false" outlineLevel="0" collapsed="false">
      <c r="A62" s="61" t="s">
        <v>956</v>
      </c>
      <c r="B62" s="62" t="s">
        <v>532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7" t="s">
        <v>957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958</v>
      </c>
      <c r="B64" s="62" t="s">
        <v>333</v>
      </c>
      <c r="C64" s="69" t="n">
        <f aca="false">C36*IF(C37=0,C45,MIN(C45,C37))+(1-C36)*(C45/C38+C39)</f>
        <v>2258.336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34816</v>
      </c>
      <c r="F64" s="69" t="n">
        <f aca="false">F36*IF(F37=0,F45,MIN(F45,F37))+(1-F36)*(F45/F38+F39)</f>
        <v>2258.336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34816</v>
      </c>
      <c r="I64" s="69" t="n">
        <f aca="false">I36*IF(I37=0,I45,MIN(I45,I37))+(1-I36)*(I45/I38+I39)</f>
        <v>2258.336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34816</v>
      </c>
      <c r="L64" s="69" t="n">
        <f aca="false">L36*IF(L37=0,L45,MIN(L45,L37))+(1-L36)*(L45/L38+L39)</f>
        <v>2258.336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34816</v>
      </c>
      <c r="O64" s="69" t="n">
        <f aca="false">O36*IF(O37=0,O45,MIN(O45,O37))+(1-O36)*(O45/O38+O39)</f>
        <v>2258.336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565</v>
      </c>
      <c r="B65" s="62" t="s">
        <v>566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959</v>
      </c>
      <c r="B66" s="62" t="s">
        <v>333</v>
      </c>
      <c r="C66" s="69" t="n">
        <f aca="false">C36*IF(C37=0,C46,MIN(C46,C37))+(1-C36)*(C46/C38+C39)</f>
        <v>2175.232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16384</v>
      </c>
      <c r="F66" s="69" t="n">
        <f aca="false">F36*IF(F37=0,F46,MIN(F46,F37))+(1-F36)*(F46/F38+F39)</f>
        <v>2175.232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16384</v>
      </c>
      <c r="I66" s="69" t="n">
        <f aca="false">I36*IF(I37=0,I46,MIN(I46,I37))+(1-I36)*(I46/I38+I39)</f>
        <v>2175.232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16384</v>
      </c>
      <c r="L66" s="69" t="n">
        <f aca="false">L36*IF(L37=0,L46,MIN(L46,L37))+(1-L36)*(L46/L38+L39)</f>
        <v>2175.232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16384</v>
      </c>
      <c r="O66" s="69" t="n">
        <f aca="false">O36*IF(O37=0,O46,MIN(O46,O37))+(1-O36)*(O46/O38+O39)</f>
        <v>2175.232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572</v>
      </c>
      <c r="B67" s="62" t="s">
        <v>566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7" t="s">
        <v>960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574</v>
      </c>
      <c r="B69" s="62" t="s">
        <v>529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</row>
    <row r="70" customFormat="false" ht="15" hidden="false" customHeight="false" outlineLevel="0" collapsed="false">
      <c r="A70" s="61" t="s">
        <v>961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962</v>
      </c>
      <c r="B71" s="62" t="s">
        <v>725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</row>
    <row r="72" customFormat="false" ht="15" hidden="false" customHeight="false" outlineLevel="0" collapsed="false">
      <c r="A72" s="61" t="s">
        <v>580</v>
      </c>
      <c r="B72" s="62" t="s">
        <v>529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963</v>
      </c>
      <c r="B73" s="62" t="s">
        <v>127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65" t="s">
        <v>964</v>
      </c>
    </row>
    <row r="74" customFormat="false" ht="15" hidden="false" customHeight="false" outlineLevel="0" collapsed="false">
      <c r="A74" s="77" t="s">
        <v>965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966</v>
      </c>
      <c r="B75" s="62" t="s">
        <v>414</v>
      </c>
      <c r="C75" s="69" t="n">
        <f aca="false">C51*C14*1000000000000000/(C67*1000000000)</f>
        <v>7754.87255604074</v>
      </c>
      <c r="D75" s="69" t="n">
        <f aca="false">D51*D14*1000000000000000/(D67*1000000000)</f>
        <v>2234.32382909281</v>
      </c>
      <c r="E75" s="69" t="n">
        <f aca="false">E51*E14*1000000000000000/(E67*1000000000)</f>
        <v>673.50593855451</v>
      </c>
      <c r="F75" s="69" t="n">
        <f aca="false">F51*F14*1000000000000000/(F67*1000000000)</f>
        <v>78411.2493027375</v>
      </c>
      <c r="G75" s="69" t="n">
        <f aca="false">G51*G14*1000000000000000/(G67*1000000000)</f>
        <v>22591.7475135774</v>
      </c>
      <c r="H75" s="69" t="n">
        <f aca="false">H51*H14*1000000000000000/(H67*1000000000)</f>
        <v>6809.96904504055</v>
      </c>
      <c r="I75" s="69" t="n">
        <f aca="false">I51*I14*1000000000000000/(I67*1000000000)</f>
        <v>117616.873954106</v>
      </c>
      <c r="J75" s="69" t="n">
        <f aca="false">J51*J14*1000000000000000/(J67*1000000000)</f>
        <v>33887.6212703662</v>
      </c>
      <c r="K75" s="69" t="n">
        <f aca="false">K51*K14*1000000000000000/(K67*1000000000)</f>
        <v>10214.9535675608</v>
      </c>
      <c r="L75" s="69" t="n">
        <f aca="false">L51*L14*1000000000000000/(L67*1000000000)</f>
        <v>274439.372559581</v>
      </c>
      <c r="M75" s="69" t="n">
        <f aca="false">M51*M14*1000000000000000/(M67*1000000000)</f>
        <v>79071.116297521</v>
      </c>
      <c r="N75" s="69" t="n">
        <f aca="false">N51*N14*1000000000000000/(N67*1000000000)</f>
        <v>23834.8916576419</v>
      </c>
      <c r="O75" s="69" t="n">
        <f aca="false">O51*O14*1000000000000000/(O67*1000000000)</f>
        <v>548878.745119163</v>
      </c>
      <c r="P75" s="69" t="n">
        <f aca="false">P51*P14*1000000000000000/(P67*1000000000)</f>
        <v>158142.232595042</v>
      </c>
      <c r="Q75" s="69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967</v>
      </c>
      <c r="B76" s="62" t="s">
        <v>417</v>
      </c>
      <c r="C76" s="78" t="n">
        <f aca="false">(C43*(1-B4_CacheHit))*C67*1000000000/(C51*C14*1000000000000000*C21)</f>
        <v>0.0594207057137329</v>
      </c>
      <c r="D76" s="78" t="n">
        <f aca="false">(D43*(1-B4_CacheHit))*D67*1000000000/(D51*D14*1000000000000000*D21)</f>
        <v>0.412473782000612</v>
      </c>
      <c r="E76" s="78" t="n">
        <f aca="false">(E43*(1-B4_CacheHit))*E67*1000000000/(E51*E14*1000000000000000*E21)</f>
        <v>2.73672419868473</v>
      </c>
      <c r="F76" s="78" t="n">
        <f aca="false">(F43*(1-B4_CacheHit))*F67*1000000000/(F51*F14*1000000000000000*F21)</f>
        <v>0.0117534155901764</v>
      </c>
      <c r="G76" s="78" t="n">
        <f aca="false">(G43*(1-B4_CacheHit))*G67*1000000000/(G51*G14*1000000000000000*G21)</f>
        <v>0.0815873140797211</v>
      </c>
      <c r="H76" s="78" t="n">
        <f aca="false">(H43*(1-B4_CacheHit))*H67*1000000000/(H51*H14*1000000000000000*H21)</f>
        <v>0.54132404649984</v>
      </c>
      <c r="I76" s="78" t="n">
        <f aca="false">(I43*(1-B4_CacheHit))*I67*1000000000/(I51*I14*1000000000000000*I21)</f>
        <v>0.00783561039345091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0.36088269766656</v>
      </c>
      <c r="L76" s="78" t="n">
        <f aca="false">(L43*(1-B4_CacheHit))*L67*1000000000/(L51*L14*1000000000000000*L21)</f>
        <v>0.00335811874005039</v>
      </c>
      <c r="M76" s="78" t="n">
        <f aca="false">(M43*(1-B4_CacheHit))*M67*1000000000/(M51*M14*1000000000000000*M21)</f>
        <v>0.0233106611656346</v>
      </c>
      <c r="N76" s="78" t="n">
        <f aca="false">(N43*(1-B4_CacheHit))*N67*1000000000/(N51*N14*1000000000000000*N21)</f>
        <v>0.154664013285669</v>
      </c>
      <c r="O76" s="78" t="n">
        <f aca="false">(O43*(1-B4_CacheHit))*O67*1000000000/(O51*O14*1000000000000000*O21)</f>
        <v>0.000839529685012597</v>
      </c>
      <c r="P76" s="78" t="n">
        <f aca="false">(P43*(1-B4_CacheHit))*P67*1000000000/(P51*P14*1000000000000000*P21)</f>
        <v>0.00582766529140865</v>
      </c>
      <c r="Q76" s="78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968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7" t="s">
        <v>969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970</v>
      </c>
      <c r="B79" s="62" t="s">
        <v>589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</row>
    <row r="80" customFormat="false" ht="15" hidden="false" customHeight="false" outlineLevel="0" collapsed="false">
      <c r="A80" s="61" t="s">
        <v>971</v>
      </c>
      <c r="B80" s="62" t="s">
        <v>589</v>
      </c>
      <c r="C80" s="74" t="n">
        <f aca="false">(C47+1)*C65/(C14*C53)/1000</f>
        <v>1.82441257643477</v>
      </c>
      <c r="D80" s="74" t="n">
        <f aca="false">(D47+1)*D65/(D14*D53)/1000</f>
        <v>6.28312690392727</v>
      </c>
      <c r="E80" s="74" t="n">
        <f aca="false">(E47+1)*E65/(E14*E53)/1000</f>
        <v>25.0204222399711</v>
      </c>
      <c r="F80" s="74" t="n">
        <f aca="false">(F47+1)*F65/(F14*F53)/1000</f>
        <v>0.43326149865173</v>
      </c>
      <c r="G80" s="74" t="n">
        <f aca="false">(G47+1)*G65/(G14*G53)/1000</f>
        <v>1.49211697714465</v>
      </c>
      <c r="H80" s="74" t="n">
        <f aca="false">(H47+1)*H65/(H14*H53)/1000</f>
        <v>5.94184987354833</v>
      </c>
      <c r="I80" s="74" t="n">
        <f aca="false">(I47+1)*I65/(I14*I53)/1000</f>
        <v>0.288840999101154</v>
      </c>
      <c r="J80" s="74" t="n">
        <f aca="false">(J47+1)*J65/(J14*J53)/1000</f>
        <v>0.994744651429766</v>
      </c>
      <c r="K80" s="74" t="n">
        <f aca="false">(K47+1)*K65/(K14*K53)/1000</f>
        <v>3.96123324903222</v>
      </c>
      <c r="L80" s="74" t="n">
        <f aca="false">(L47+1)*L65/(L14*L53)/1000</f>
        <v>0.12378899961478</v>
      </c>
      <c r="M80" s="74" t="n">
        <f aca="false">(M47+1)*M65/(M14*M53)/1000</f>
        <v>0.426319136327043</v>
      </c>
      <c r="N80" s="74" t="n">
        <f aca="false">(N47+1)*N65/(N14*N53)/1000</f>
        <v>1.69767139244238</v>
      </c>
      <c r="O80" s="74" t="n">
        <f aca="false">(O47+1)*O65/(O14*O53)/1000</f>
        <v>0.06189449980739</v>
      </c>
      <c r="P80" s="74" t="n">
        <f aca="false">(P47+1)*P65/(P14*P53)/1000</f>
        <v>0.213159568163521</v>
      </c>
      <c r="Q80" s="74" t="n">
        <f aca="false">(Q47+1)*Q65/(Q14*Q53)/1000</f>
        <v>0.848835696221191</v>
      </c>
    </row>
    <row r="81" customFormat="false" ht="15" hidden="false" customHeight="false" outlineLevel="0" collapsed="false">
      <c r="A81" s="61" t="s">
        <v>972</v>
      </c>
      <c r="B81" s="62" t="s">
        <v>589</v>
      </c>
      <c r="C81" s="74" t="n">
        <f aca="false">C34*C45/(C16*C60)/1000000000</f>
        <v>0.0103742771855011</v>
      </c>
      <c r="D81" s="74" t="n">
        <f aca="false">D34*D45/(D16*D60)/1000000000</f>
        <v>0.0294339957356077</v>
      </c>
      <c r="E81" s="74" t="n">
        <f aca="false">E34*E45/(E16*E60)/1000000000</f>
        <v>0.855181918976546</v>
      </c>
      <c r="F81" s="74" t="n">
        <f aca="false">F34*F45/(F16*F60)/1000000000</f>
        <v>0.00434422857142857</v>
      </c>
      <c r="G81" s="74" t="n">
        <f aca="false">G34*G45/(G16*G60)/1000000000</f>
        <v>0.0123254857142857</v>
      </c>
      <c r="H81" s="74" t="n">
        <f aca="false">H34*H45/(H16*H60)/1000000000</f>
        <v>0.358107428571429</v>
      </c>
      <c r="I81" s="74" t="n">
        <f aca="false">I34*I45/(I16*I60)/1000000000</f>
        <v>0.00434422857142857</v>
      </c>
      <c r="J81" s="74" t="n">
        <f aca="false">J34*J45/(J16*J60)/1000000000</f>
        <v>0.0123254857142857</v>
      </c>
      <c r="K81" s="74" t="n">
        <f aca="false">K34*K45/(K16*K60)/1000000000</f>
        <v>0.358107428571429</v>
      </c>
      <c r="L81" s="74" t="n">
        <f aca="false">L34*L45/(L16*L60)/1000000000</f>
        <v>0.00157971948051948</v>
      </c>
      <c r="M81" s="74" t="n">
        <f aca="false">M34*M45/(M16*M60)/1000000000</f>
        <v>0.00448199480519481</v>
      </c>
      <c r="N81" s="74" t="n">
        <f aca="false">N34*N45/(N16*N60)/1000000000</f>
        <v>0.130220883116883</v>
      </c>
      <c r="O81" s="74" t="n">
        <f aca="false">O34*O45/(O16*O60)/1000000000</f>
        <v>0.00108605714285714</v>
      </c>
      <c r="P81" s="74" t="n">
        <f aca="false">P34*P45/(P16*P60)/1000000000</f>
        <v>0.00308137142857143</v>
      </c>
      <c r="Q81" s="74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973</v>
      </c>
      <c r="B82" s="62" t="s">
        <v>589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974</v>
      </c>
      <c r="B83" s="62" t="s">
        <v>589</v>
      </c>
      <c r="C83" s="74" t="n">
        <f aca="false">MAX(C80,C81,C82)</f>
        <v>1.82441257643477</v>
      </c>
      <c r="D83" s="74" t="n">
        <f aca="false">MAX(D80,D81,D82)</f>
        <v>6.28312690392727</v>
      </c>
      <c r="E83" s="74" t="n">
        <f aca="false">MAX(E80,E81,E82)</f>
        <v>25.0204222399711</v>
      </c>
      <c r="F83" s="74" t="n">
        <f aca="false">MAX(F80,F81,F82)</f>
        <v>0.43326149865173</v>
      </c>
      <c r="G83" s="74" t="n">
        <f aca="false">MAX(G80,G81,G82)</f>
        <v>1.49211697714465</v>
      </c>
      <c r="H83" s="74" t="n">
        <f aca="false">MAX(H80,H81,H82)</f>
        <v>5.94184987354833</v>
      </c>
      <c r="I83" s="74" t="n">
        <f aca="false">MAX(I80,I81,I82)</f>
        <v>0.288840999101154</v>
      </c>
      <c r="J83" s="74" t="n">
        <f aca="false">MAX(J80,J81,J82)</f>
        <v>0.994744651429766</v>
      </c>
      <c r="K83" s="74" t="n">
        <f aca="false">MAX(K80,K81,K82)</f>
        <v>3.96123324903222</v>
      </c>
      <c r="L83" s="74" t="n">
        <f aca="false">MAX(L80,L81,L82)</f>
        <v>0.12378899961478</v>
      </c>
      <c r="M83" s="74" t="n">
        <f aca="false">MAX(M80,M81,M82)</f>
        <v>0.426319136327043</v>
      </c>
      <c r="N83" s="74" t="n">
        <f aca="false">MAX(N80,N81,N82)</f>
        <v>1.69767139244238</v>
      </c>
      <c r="O83" s="74" t="n">
        <f aca="false">MAX(O80,O81,O82)</f>
        <v>0.06189449980739</v>
      </c>
      <c r="P83" s="74" t="n">
        <f aca="false">MAX(P80,P81,P82)</f>
        <v>0.213159568163521</v>
      </c>
      <c r="Q83" s="74" t="n">
        <f aca="false">MAX(Q80,Q81,Q82)</f>
        <v>0.848835696221191</v>
      </c>
    </row>
    <row r="84" customFormat="false" ht="15" hidden="false" customHeight="false" outlineLevel="0" collapsed="false">
      <c r="A84" s="61" t="s">
        <v>975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976</v>
      </c>
      <c r="B85" s="61" t="s">
        <v>595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977</v>
      </c>
      <c r="B86" s="61" t="s">
        <v>595</v>
      </c>
      <c r="C86" s="69" t="n">
        <f aca="false">(C69-C72)*1000000000/(C34*C45)</f>
        <v>2558.19965159029</v>
      </c>
      <c r="D86" s="69" t="n">
        <f aca="false">(D69-D72)*1000000000/(D34*D45)</f>
        <v>538.633530942984</v>
      </c>
      <c r="E86" s="69" t="n">
        <f aca="false">(E69-E72)*1000000000/(E34*E45)</f>
        <v>15.5090860617669</v>
      </c>
      <c r="F86" s="69" t="n">
        <f aca="false">(F69-F72)*1000000000/(F34*F45)</f>
        <v>6457.29248791911</v>
      </c>
      <c r="G86" s="69" t="n">
        <f aca="false">(G69-G72)*1000000000/(G34*G45)</f>
        <v>1729.19391665125</v>
      </c>
      <c r="H86" s="69" t="n">
        <f aca="false">(H69-H72)*1000000000/(H34*H45)</f>
        <v>38.6451779217801</v>
      </c>
      <c r="I86" s="69" t="n">
        <f aca="false">(I69-I72)*1000000000/(I34*I45)</f>
        <v>10230.7719154683</v>
      </c>
      <c r="J86" s="69" t="n">
        <f aca="false">(J69-J72)*1000000000/(J34*J45)</f>
        <v>3059.19076406613</v>
      </c>
      <c r="K86" s="69" t="n">
        <f aca="false">(K69-K72)*1000000000/(K34*K45)</f>
        <v>70.1493024197706</v>
      </c>
      <c r="L86" s="69" t="n">
        <f aca="false">(L69-L72)*1000000000/(L34*L45)</f>
        <v>10230.7719154683</v>
      </c>
      <c r="M86" s="69" t="n">
        <f aca="false">(M69-M72)*1000000000/(M34*M45)</f>
        <v>3059.19076406613</v>
      </c>
      <c r="N86" s="69" t="n">
        <f aca="false">(N69-N72)*1000000000/(N34*N45)</f>
        <v>70.1493024197706</v>
      </c>
      <c r="O86" s="69" t="n">
        <f aca="false">(O69-O72)*1000000000/(O34*O45)</f>
        <v>37559.6634227452</v>
      </c>
      <c r="P86" s="69" t="n">
        <f aca="false">(P69-P72)*1000000000/(P34*P45)</f>
        <v>12857.1859364347</v>
      </c>
      <c r="Q86" s="69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978</v>
      </c>
      <c r="B87" s="61" t="s">
        <v>595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979</v>
      </c>
      <c r="B88" s="62" t="s">
        <v>414</v>
      </c>
      <c r="C88" s="72" t="n">
        <f aca="false">IF(C87&gt;0,C87*C49/((C79+C87*C83)/1000),0)</f>
        <v>739.802932940398</v>
      </c>
      <c r="D88" s="72" t="n">
        <f aca="false">IF(D87&gt;0,D87*D49/((D79+D87*D83)/1000),0)</f>
        <v>224.823591539841</v>
      </c>
      <c r="E88" s="72" t="n">
        <f aca="false">IF(E87&gt;0,E87*E49/((E79+E87*E83)/1000),0)</f>
        <v>40.6742374235114</v>
      </c>
      <c r="F88" s="72" t="n">
        <f aca="false">IF(F87&gt;0,F87*F49/((F79+F87*F83)/1000),0)</f>
        <v>4152.97302302101</v>
      </c>
      <c r="G88" s="72" t="n">
        <f aca="false">IF(G87&gt;0,G87*G49/((G79+G87*G83)/1000),0)</f>
        <v>1223.81965598695</v>
      </c>
      <c r="H88" s="72" t="n">
        <f aca="false">IF(H87&gt;0,H87*H49/((H79+H87*H83)/1000),0)</f>
        <v>234.988617384446</v>
      </c>
      <c r="I88" s="72" t="n">
        <f aca="false">IF(I87&gt;0,I87*I49/((I79+I87*I83)/1000),0)</f>
        <v>6229.45953453152</v>
      </c>
      <c r="J88" s="72" t="n">
        <f aca="false">IF(J87&gt;0,J87*J49/((J79+J87*J83)/1000),0)</f>
        <v>1835.72948398042</v>
      </c>
      <c r="K88" s="72" t="n">
        <f aca="false">IF(K87&gt;0,K87*K49/((K79+K87*K83)/1000),0)</f>
        <v>315.604954334554</v>
      </c>
      <c r="L88" s="72" t="n">
        <f aca="false">IF(L87&gt;0,L87*L49/((L79+L87*L83)/1000),0)</f>
        <v>15093.8501066124</v>
      </c>
      <c r="M88" s="72" t="n">
        <f aca="false">IF(M87&gt;0,M87*M49/((M79+M87*M83)/1000),0)</f>
        <v>4671.64933537911</v>
      </c>
      <c r="N88" s="72" t="n">
        <f aca="false">IF(N87&gt;0,N87*N49/((N79+N87*N83)/1000),0)</f>
        <v>963.166264709904</v>
      </c>
      <c r="O88" s="72" t="n">
        <f aca="false">IF(O87&gt;0,O87*O49/((O79+O87*O83)/1000),0)</f>
        <v>30491.3598235283</v>
      </c>
      <c r="P88" s="72" t="n">
        <f aca="false">IF(P87&gt;0,P87*P49/((P79+P87*P83)/1000),0)</f>
        <v>9570.13064324968</v>
      </c>
      <c r="Q88" s="72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980</v>
      </c>
      <c r="B89" s="62" t="s">
        <v>414</v>
      </c>
      <c r="C89" s="69" t="n">
        <f aca="false">IF(C87&gt;0,C49/((C79+C87*C83)/1000),0)</f>
        <v>84.3000593119601</v>
      </c>
      <c r="D89" s="69" t="n">
        <f aca="false">IF(D87&gt;0,D49/((D79+D87*D83)/1000),0)</f>
        <v>43.31166124729</v>
      </c>
      <c r="E89" s="69" t="n">
        <f aca="false">IF(E87&gt;0,E49/((E79+E87*E83)/1000),0)</f>
        <v>40.8313604965595</v>
      </c>
      <c r="F89" s="69" t="n">
        <f aca="false">IF(F87&gt;0,F49/((F79+F87*F83)/1000),0)</f>
        <v>84.3000593119601</v>
      </c>
      <c r="G89" s="69" t="n">
        <f aca="false">IF(G87&gt;0,G49/((G79+G87*G83)/1000),0)</f>
        <v>43.31166124729</v>
      </c>
      <c r="H89" s="69" t="n">
        <f aca="false">IF(H87&gt;0,H49/((H79+H87*H83)/1000),0)</f>
        <v>40.8313604965595</v>
      </c>
      <c r="I89" s="69" t="n">
        <f aca="false">IF(I87&gt;0,I49/((I79+I87*I83)/1000),0)</f>
        <v>84.3000593119601</v>
      </c>
      <c r="J89" s="69" t="n">
        <f aca="false">IF(J87&gt;0,J49/((J79+J87*J83)/1000),0)</f>
        <v>43.31166124729</v>
      </c>
      <c r="K89" s="69" t="n">
        <f aca="false">IF(K87&gt;0,K49/((K79+K87*K83)/1000),0)</f>
        <v>40.8313604965595</v>
      </c>
      <c r="L89" s="69" t="n">
        <f aca="false">IF(L87&gt;0,L49/((L79+L87*L83)/1000),0)</f>
        <v>84.3000593119601</v>
      </c>
      <c r="M89" s="69" t="n">
        <f aca="false">IF(M87&gt;0,M49/((M79+M87*M83)/1000),0)</f>
        <v>43.31166124729</v>
      </c>
      <c r="N89" s="69" t="n">
        <f aca="false">IF(N87&gt;0,N49/((N79+N87*N83)/1000),0)</f>
        <v>40.8313604965595</v>
      </c>
      <c r="O89" s="69" t="n">
        <f aca="false">IF(O87&gt;0,O49/((O79+O87*O83)/1000),0)</f>
        <v>84.3000593119601</v>
      </c>
      <c r="P89" s="69" t="n">
        <f aca="false">IF(P87&gt;0,P49/((P79+P87*P83)/1000),0)</f>
        <v>43.31166124729</v>
      </c>
      <c r="Q89" s="69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981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982</v>
      </c>
      <c r="B91" s="62" t="s">
        <v>127</v>
      </c>
      <c r="C91" s="86" t="n">
        <f aca="false">C87*C34*C45/1000000000/C69</f>
        <v>0.00296521621734461</v>
      </c>
      <c r="D91" s="86" t="n">
        <f aca="false">D87*D34*D45/1000000000/D69</f>
        <v>0.0049761860898181</v>
      </c>
      <c r="E91" s="86" t="n">
        <f aca="false">E87*E34*E45/1000000000/E69</f>
        <v>0.0277456196984922</v>
      </c>
      <c r="F91" s="86" t="n">
        <f aca="false">F87*F34*F45/1000000000/F69</f>
        <v>0.00715939741778908</v>
      </c>
      <c r="G91" s="86" t="n">
        <f aca="false">G87*G34*G45/1000000000/G69</f>
        <v>0.0116506243216966</v>
      </c>
      <c r="H91" s="86" t="n">
        <f aca="false">H87*H34*H45/1000000000/H69</f>
        <v>0.0689443812983337</v>
      </c>
      <c r="I91" s="86" t="n">
        <f aca="false">I87*I34*I45/1000000000/I69</f>
        <v>0.00693566624848318</v>
      </c>
      <c r="J91" s="86" t="n">
        <f aca="false">J87*J34*J45/1000000000/J69</f>
        <v>0.0112865423116436</v>
      </c>
      <c r="K91" s="86" t="n">
        <f aca="false">K87*K34*K45/1000000000/K69</f>
        <v>0.0598020843482559</v>
      </c>
      <c r="L91" s="86" t="n">
        <f aca="false">L87*L34*L45/1000000000/L69</f>
        <v>0.0168049741978087</v>
      </c>
      <c r="M91" s="86" t="n">
        <f aca="false">M87*M34*M45/1000000000/M69</f>
        <v>0.0287225151358305</v>
      </c>
      <c r="N91" s="86" t="n">
        <f aca="false">N87*N34*N45/1000000000/N69</f>
        <v>0.182504581796009</v>
      </c>
      <c r="O91" s="86" t="n">
        <f aca="false">O87*O34*O45/1000000000/O69</f>
        <v>0.00954788416151471</v>
      </c>
      <c r="P91" s="86" t="n">
        <f aca="false">P87*P34*P45/1000000000/P69</f>
        <v>0.016548652190795</v>
      </c>
      <c r="Q91" s="86" t="n">
        <f aca="false">Q87*Q34*Q45/1000000000/Q69</f>
        <v>0.109756453454618</v>
      </c>
      <c r="R91" s="65" t="s">
        <v>983</v>
      </c>
    </row>
    <row r="92" customFormat="false" ht="15" hidden="false" customHeight="false" outlineLevel="0" collapsed="false">
      <c r="A92" s="77" t="s">
        <v>984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985</v>
      </c>
      <c r="B93" s="62" t="s">
        <v>986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987</v>
      </c>
      <c r="B94" s="62" t="s">
        <v>127</v>
      </c>
      <c r="C94" s="86" t="n">
        <f aca="false">IF(ISNUMBER(C93),IF(C93&gt;0,((C43*(1-B4_CacheHit))/C75)/C93,0),C93)</f>
        <v>0.255639168755806</v>
      </c>
      <c r="D94" s="86" t="n">
        <f aca="false">IF(ISNUMBER(D93),IF(D93&gt;0,((D43*(1-B4_CacheHit))/D75)/D93,0),D93)</f>
        <v>0.2659157994545</v>
      </c>
      <c r="E94" s="86" t="n">
        <f aca="false">IF(ISNUMBER(E93),IF(E93&gt;0,((E43*(1-B4_CacheHit))/E75)/E93,0),E93)</f>
        <v>0.178584372391409</v>
      </c>
      <c r="F94" s="86" t="n">
        <f aca="false">IF(ISNUMBER(F93),IF(F93&gt;0,((F43*(1-B4_CacheHit))/F75)/F93,0),F93)</f>
        <v>0.160136999418694</v>
      </c>
      <c r="G94" s="86" t="n">
        <f aca="false">IF(ISNUMBER(G93),IF(G93&gt;0,((G43*(1-B4_CacheHit))/G75)/G93,0),G93)</f>
        <v>0.163191074841609</v>
      </c>
      <c r="H94" s="86" t="n">
        <f aca="false">IF(ISNUMBER(H93),IF(H93&gt;0,((H43*(1-B4_CacheHit))/H75)/H93,0),H93)</f>
        <v>0.110497253254168</v>
      </c>
      <c r="I94" s="86" t="n">
        <f aca="false">IF(ISNUMBER(I93),IF(I93&gt;0,((I43*(1-B4_CacheHit))/I75)/I93,0),I93)</f>
        <v>0.160136999418694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0.100093796402319</v>
      </c>
      <c r="L94" s="86" t="n">
        <f aca="false">IF(ISNUMBER(L93),IF(L93&gt;0,((L43*(1-B4_CacheHit))/L75)/L93,0),L93)</f>
        <v>0.165272576502161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0.127000281888798</v>
      </c>
      <c r="O94" s="86" t="n">
        <f aca="false">IF(ISNUMBER(O93),IF(O93&gt;0,((O43*(1-B4_CacheHit))/O75)/O93,0),O93)</f>
        <v>0.166657995288743</v>
      </c>
      <c r="P94" s="86" t="n">
        <f aca="false">IF(ISNUMBER(P93),IF(P93&gt;0,((P43*(1-B4_CacheHit))/P75)/P93,0),P93)</f>
        <v>0.178885866511427</v>
      </c>
      <c r="Q94" s="86" t="n">
        <f aca="false">IF(ISNUMBER(Q93),IF(Q93&gt;0,((Q43*(1-B4_CacheHit))/Q75)/Q93,0),Q93)</f>
        <v>0.134598975162831</v>
      </c>
      <c r="R94" s="65" t="s">
        <v>988</v>
      </c>
    </row>
    <row r="95" customFormat="false" ht="15" hidden="false" customHeight="false" outlineLevel="0" collapsed="false">
      <c r="A95" s="61" t="s">
        <v>989</v>
      </c>
      <c r="B95" s="62" t="s">
        <v>414</v>
      </c>
      <c r="C95" s="72" t="n">
        <f aca="false">IF(ISNUMBER(C93),IF(C93&gt;0,C22*(C43+C44)/C93,0),C93)</f>
        <v>158595.933922677</v>
      </c>
      <c r="D95" s="72" t="n">
        <f aca="false">IF(ISNUMBER(D93),IF(D93&gt;0,D22*(D43+D44)/D93,0),D93)</f>
        <v>47531.3605802762</v>
      </c>
      <c r="E95" s="72" t="n">
        <f aca="false">IF(ISNUMBER(E93),IF(E93&gt;0,E22*(E43+E44)/E93,0),E93)</f>
        <v>9622.21082709152</v>
      </c>
      <c r="F95" s="72" t="n">
        <f aca="false">IF(ISNUMBER(F93),IF(F93&gt;0,F22*(F43+F44)/F93,0),F93)</f>
        <v>2260177.59312208</v>
      </c>
      <c r="G95" s="72" t="n">
        <f aca="false">IF(ISNUMBER(G93),IF(G93&gt;0,G22*(G43+G44)/G93,0),G93)</f>
        <v>663618.88067237</v>
      </c>
      <c r="H95" s="72" t="n">
        <f aca="false">IF(ISNUMBER(H93),IF(H93&gt;0,H22*(H43+H44)/H93,0),H93)</f>
        <v>135446.917360121</v>
      </c>
      <c r="I95" s="72" t="n">
        <f aca="false">IF(ISNUMBER(I93),IF(I93&gt;0,I22*(I43+I44)/I93,0),I93)</f>
        <v>3390266.38968311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184041.626877104</v>
      </c>
      <c r="L95" s="72" t="n">
        <f aca="false">IF(ISNUMBER(L93),IF(L93&gt;0,L22*(L43+L44)/L93,0),L93)</f>
        <v>8164314.39538053</v>
      </c>
      <c r="M95" s="72" t="n">
        <f aca="false">IF(ISNUMBER(M93),IF(M93&gt;0,M22*(M43+M44)/M93,0),M93)</f>
        <v>2496284.49057369</v>
      </c>
      <c r="N95" s="72" t="n">
        <f aca="false">IF(ISNUMBER(N93),IF(N93&gt;0,N22*(N43+N44)/N93,0),N93)</f>
        <v>544866.832675706</v>
      </c>
      <c r="O95" s="72" t="n">
        <f aca="false">IF(ISNUMBER(O93),IF(O93&gt;0,O22*(O43+O44)/O93,0),O93)</f>
        <v>16465505.637269</v>
      </c>
      <c r="P95" s="72" t="n">
        <f aca="false">IF(ISNUMBER(P93),IF(P93&gt;0,P22*(P43+P44)/P93,0),P93)</f>
        <v>5092093.85576685</v>
      </c>
      <c r="Q95" s="72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990</v>
      </c>
      <c r="B96" s="62" t="s">
        <v>414</v>
      </c>
      <c r="C96" s="69" t="n">
        <f aca="false">IF(ISNUMBER(C95),C95*C44/(C43+C44),C95)</f>
        <v>17621.770435853</v>
      </c>
      <c r="D96" s="69" t="n">
        <f aca="false">IF(ISNUMBER(D95),D95*D44/(D43+D44),D95)</f>
        <v>5281.26228669736</v>
      </c>
      <c r="E96" s="69" t="n">
        <f aca="false">IF(ISNUMBER(E95),E95*E44/(E43+E44),E95)</f>
        <v>1069.1345363435</v>
      </c>
      <c r="F96" s="69" t="n">
        <f aca="false">IF(ISNUMBER(F95),F95*F44/(F43+F44),F95)</f>
        <v>251130.843680231</v>
      </c>
      <c r="G96" s="69" t="n">
        <f aca="false">IF(ISNUMBER(G95),G95*G44/(G43+G44),G95)</f>
        <v>73735.4311858188</v>
      </c>
      <c r="H96" s="69" t="n">
        <f aca="false">IF(ISNUMBER(H95),H95*H44/(H43+H44),H95)</f>
        <v>15049.6574844579</v>
      </c>
      <c r="I96" s="69" t="n">
        <f aca="false">IF(ISNUMBER(I95),I95*I44/(I43+I44),I95)</f>
        <v>376696.265520346</v>
      </c>
      <c r="J96" s="69" t="n">
        <f aca="false">IF(ISNUMBER(J95),J95*J44/(J43+J44),J95)</f>
        <v>110603.146778728</v>
      </c>
      <c r="K96" s="69" t="n">
        <f aca="false">IF(ISNUMBER(K95),K95*K44/(K43+K44),K95)</f>
        <v>20449.0696530116</v>
      </c>
      <c r="L96" s="69" t="n">
        <f aca="false">IF(ISNUMBER(L95),L95*L44/(L43+L44),L95)</f>
        <v>907146.04393117</v>
      </c>
      <c r="M96" s="69" t="n">
        <f aca="false">IF(ISNUMBER(M95),M95*M44/(M43+M44),M95)</f>
        <v>277364.943397077</v>
      </c>
      <c r="N96" s="69" t="n">
        <f aca="false">IF(ISNUMBER(N95),N95*N44/(N43+N44),N95)</f>
        <v>60540.7591861895</v>
      </c>
      <c r="O96" s="69" t="n">
        <f aca="false">IF(ISNUMBER(O95),O95*O44/(O43+O44),O95)</f>
        <v>1829500.62636322</v>
      </c>
      <c r="P96" s="69" t="n">
        <f aca="false">IF(ISNUMBER(P95),P95*P44/(P43+P44),P95)</f>
        <v>565788.206196316</v>
      </c>
      <c r="Q96" s="69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991</v>
      </c>
      <c r="B97" s="62" t="s">
        <v>414</v>
      </c>
      <c r="C97" s="69" t="n">
        <f aca="false">IF(ISNUMBER(C95),C95-C96,C95)</f>
        <v>140974.163486824</v>
      </c>
      <c r="D97" s="69" t="n">
        <f aca="false">IF(ISNUMBER(D95),D95-D96,D95)</f>
        <v>42250.0982935789</v>
      </c>
      <c r="E97" s="69" t="n">
        <f aca="false">IF(ISNUMBER(E95),E95-E96,E95)</f>
        <v>8553.07629074802</v>
      </c>
      <c r="F97" s="69" t="n">
        <f aca="false">IF(ISNUMBER(F95),F95-F96,F95)</f>
        <v>2009046.74944184</v>
      </c>
      <c r="G97" s="69" t="n">
        <f aca="false">IF(ISNUMBER(G95),G95-G96,G95)</f>
        <v>589883.449486551</v>
      </c>
      <c r="H97" s="69" t="n">
        <f aca="false">IF(ISNUMBER(H95),H95-H96,H95)</f>
        <v>120397.259875663</v>
      </c>
      <c r="I97" s="69" t="n">
        <f aca="false">IF(ISNUMBER(I95),I95-I96,I95)</f>
        <v>3013570.12416277</v>
      </c>
      <c r="J97" s="69" t="n">
        <f aca="false">IF(ISNUMBER(J95),J95-J96,J95)</f>
        <v>884825.174229826</v>
      </c>
      <c r="K97" s="69" t="n">
        <f aca="false">IF(ISNUMBER(K95),K95-K96,K95)</f>
        <v>163592.557224093</v>
      </c>
      <c r="L97" s="69" t="n">
        <f aca="false">IF(ISNUMBER(L95),L95-L96,L95)</f>
        <v>7257168.35144936</v>
      </c>
      <c r="M97" s="69" t="n">
        <f aca="false">IF(ISNUMBER(M95),M95-M96,M95)</f>
        <v>2218919.54717661</v>
      </c>
      <c r="N97" s="69" t="n">
        <f aca="false">IF(ISNUMBER(N95),N95-N96,N95)</f>
        <v>484326.073489516</v>
      </c>
      <c r="O97" s="69" t="n">
        <f aca="false">IF(ISNUMBER(O95),O95-O96,O95)</f>
        <v>14636005.0109057</v>
      </c>
      <c r="P97" s="69" t="n">
        <f aca="false">IF(ISNUMBER(P95),P95-P96,P95)</f>
        <v>4526305.64957053</v>
      </c>
      <c r="Q97" s="69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992</v>
      </c>
      <c r="B98" s="62" t="s">
        <v>993</v>
      </c>
      <c r="C98" s="72" t="n">
        <f aca="false">IF(ISNUMBER(C95),C95*C25*8760*3600/1000000,C95)</f>
        <v>112228240510.472</v>
      </c>
      <c r="D98" s="72" t="n">
        <f aca="false">IF(ISNUMBER(D95),D95*D25*8760*3600/1000000,D95)</f>
        <v>33634916325.118</v>
      </c>
      <c r="E98" s="72" t="n">
        <f aca="false">IF(ISNUMBER(E95),E95*E25*8760*3600/1000000,E95)</f>
        <v>6809025705.99183</v>
      </c>
      <c r="F98" s="72" t="n">
        <f aca="false">IF(ISNUMBER(F95),F95*F25*8760*3600/1000000,F95)</f>
        <v>496729138259.007</v>
      </c>
      <c r="G98" s="72" t="n">
        <f aca="false">IF(ISNUMBER(G95),G95*G25*8760*3600/1000000,G95)</f>
        <v>145846430710.54</v>
      </c>
      <c r="H98" s="72" t="n">
        <f aca="false">IF(ISNUMBER(H95),H95*H25*8760*3600/1000000,H95)</f>
        <v>29767762827.5194</v>
      </c>
      <c r="I98" s="72" t="n">
        <f aca="false">IF(ISNUMBER(I95),I95*I25*8760*3600/1000000,I95)</f>
        <v>723176042011.176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39257828144.5082</v>
      </c>
      <c r="L98" s="72" t="n">
        <f aca="false">IF(ISNUMBER(L95),L95*L25*8760*3600/1000000,L95)</f>
        <v>1043267705667.06</v>
      </c>
      <c r="M98" s="72" t="n">
        <f aca="false">IF(ISNUMBER(M95),M95*M25*8760*3600/1000000,M95)</f>
        <v>318984897819.054</v>
      </c>
      <c r="N98" s="72" t="n">
        <f aca="false">IF(ISNUMBER(N95),N95*N25*8760*3600/1000000,N95)</f>
        <v>69625193603.6778</v>
      </c>
      <c r="O98" s="72" t="n">
        <f aca="false">IF(ISNUMBER(O95),O95*O25*8760*3600/1000000,O95)</f>
        <v>1404587982526.55</v>
      </c>
      <c r="P98" s="72" t="n">
        <f aca="false">IF(ISNUMBER(P95),P95*P25*8760*3600/1000000,P95)</f>
        <v>434380455314.928</v>
      </c>
      <c r="Q98" s="72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994</v>
      </c>
      <c r="B99" s="62" t="s">
        <v>993</v>
      </c>
      <c r="C99" s="69" t="n">
        <f aca="false">IF(ISNUMBER(C96),C96*C25*8760*3600/1000000,C96)</f>
        <v>12469804501.1635</v>
      </c>
      <c r="D99" s="69" t="n">
        <f aca="false">IF(ISNUMBER(D96),D96*D25*8760*3600/1000000,D96)</f>
        <v>3737212925.01311</v>
      </c>
      <c r="E99" s="69" t="n">
        <f aca="false">IF(ISNUMBER(E96),E96*E25*8760*3600/1000000,E96)</f>
        <v>756558411.77687</v>
      </c>
      <c r="F99" s="69" t="n">
        <f aca="false">IF(ISNUMBER(F96),F96*F25*8760*3600/1000000,F96)</f>
        <v>55192126473.223</v>
      </c>
      <c r="G99" s="69" t="n">
        <f aca="false">IF(ISNUMBER(G96),G96*G25*8760*3600/1000000,G96)</f>
        <v>16205158967.8377</v>
      </c>
      <c r="H99" s="69" t="n">
        <f aca="false">IF(ISNUMBER(H96),H96*H25*8760*3600/1000000,H96)</f>
        <v>3307529203.05772</v>
      </c>
      <c r="I99" s="69" t="n">
        <f aca="false">IF(ISNUMBER(I96),I96*I25*8760*3600/1000000,I96)</f>
        <v>80352893556.7973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4361980904.94536</v>
      </c>
      <c r="L99" s="69" t="n">
        <f aca="false">IF(ISNUMBER(L96),L96*L25*8760*3600/1000000,L96)</f>
        <v>115918633963.007</v>
      </c>
      <c r="M99" s="69" t="n">
        <f aca="false">IF(ISNUMBER(M96),M96*M25*8760*3600/1000000,M96)</f>
        <v>35442766424.3393</v>
      </c>
      <c r="N99" s="69" t="n">
        <f aca="false">IF(ISNUMBER(N96),N96*N25*8760*3600/1000000,N96)</f>
        <v>7736132622.63087</v>
      </c>
      <c r="O99" s="69" t="n">
        <f aca="false">IF(ISNUMBER(O96),O96*O25*8760*3600/1000000,O96)</f>
        <v>156065331391.839</v>
      </c>
      <c r="P99" s="69" t="n">
        <f aca="false">IF(ISNUMBER(P96),P96*P25*8760*3600/1000000,P96)</f>
        <v>48264495034.992</v>
      </c>
      <c r="Q99" s="69" t="n">
        <f aca="false">IF(ISNUMBER(Q96),Q96*Q25*8760*3600/1000000,Q96)</f>
        <v>10946840821.9528</v>
      </c>
      <c r="R99" s="65" t="s">
        <v>995</v>
      </c>
    </row>
    <row r="100" customFormat="false" ht="15" hidden="false" customHeight="false" outlineLevel="0" collapsed="false">
      <c r="A100" s="77" t="s">
        <v>996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997</v>
      </c>
      <c r="B101" s="62" t="s">
        <v>998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999</v>
      </c>
      <c r="B102" s="62" t="s">
        <v>998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1000</v>
      </c>
      <c r="B103" s="62" t="s">
        <v>998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65" t="s">
        <v>1001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7" t="s">
        <v>1002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1003</v>
      </c>
      <c r="B107" s="62" t="s">
        <v>1004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1005</v>
      </c>
      <c r="B108" s="62" t="s">
        <v>930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</row>
    <row r="109" customFormat="false" ht="15" hidden="false" customHeight="false" outlineLevel="0" collapsed="false">
      <c r="A109" s="62" t="s">
        <v>1006</v>
      </c>
      <c r="B109" s="62" t="s">
        <v>566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1007</v>
      </c>
      <c r="B110" s="62" t="s">
        <v>529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1008</v>
      </c>
      <c r="B111" s="62" t="s">
        <v>529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1009</v>
      </c>
      <c r="B112" s="62" t="s">
        <v>1010</v>
      </c>
      <c r="C112" s="74" t="n">
        <f aca="false">(C109*C107+C110*C24+C111*C108)/1000</f>
        <v>0.0270952451270145</v>
      </c>
      <c r="D112" s="74" t="n">
        <f aca="false">(D109*D107+D110*D24+D111*D108)/1000</f>
        <v>0.12814208362536</v>
      </c>
      <c r="E112" s="74" t="n">
        <f aca="false">(E109*E107+E110*E24+E111*E108)/1000</f>
        <v>0.708734057265674</v>
      </c>
      <c r="F112" s="74" t="n">
        <f aca="false">(F109*F107+F110*F24+F111*F108)/1000</f>
        <v>0.00675887963004748</v>
      </c>
      <c r="G112" s="74" t="n">
        <f aca="false">(G109*G107+G110*G24+G111*G108)/1000</f>
        <v>0.0327526840799709</v>
      </c>
      <c r="H112" s="74" t="n">
        <f aca="false">(H109*H107+H110*H24+H111*H108)/1000</f>
        <v>0.23528862439504</v>
      </c>
      <c r="I112" s="74" t="n">
        <f aca="false">(I109*I107+I110*I24+I111*I108)/1000</f>
        <v>0.00509190622732743</v>
      </c>
      <c r="J112" s="74" t="n">
        <f aca="false">(J109*J107+J110*J24+J111*J108)/1000</f>
        <v>0.0237886103842591</v>
      </c>
      <c r="K112" s="74" t="n">
        <f aca="false">(K109*K107+K110*K24+K111*K108)/1000</f>
        <v>0.219033860475203</v>
      </c>
      <c r="L112" s="74" t="n">
        <f aca="false">(L109*L107+L110*L24+L111*L108)/1000</f>
        <v>0.00258391858083996</v>
      </c>
      <c r="M112" s="74" t="n">
        <f aca="false">(M109*M107+M110*M24+M111*M108)/1000</f>
        <v>0.0106856249248582</v>
      </c>
      <c r="N112" s="74" t="n">
        <f aca="false">(N109*N107+N110*N24+N111*N108)/1000</f>
        <v>0.0823188925001462</v>
      </c>
      <c r="O112" s="74" t="n">
        <f aca="false">(O109*O107+O110*O24+O111*O108)/1000</f>
        <v>0.00226453035247604</v>
      </c>
      <c r="P112" s="74" t="n">
        <f aca="false">(P109*P107+P110*P24+P111*P108)/1000</f>
        <v>0.00821265871576503</v>
      </c>
      <c r="Q112" s="74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1011</v>
      </c>
      <c r="B113" s="62" t="s">
        <v>1010</v>
      </c>
      <c r="C113" s="74" t="n">
        <f aca="false">C67*C107/1000</f>
        <v>0.0081198195438071</v>
      </c>
      <c r="D113" s="74" t="n">
        <f aca="false">D67*D107/1000</f>
        <v>0.0281822021142922</v>
      </c>
      <c r="E113" s="74" t="n">
        <f aca="false">E67*E107/1000</f>
        <v>0.0934931113976756</v>
      </c>
      <c r="F113" s="74" t="n">
        <f aca="false">F67*F107/1000</f>
        <v>0.00275470677894758</v>
      </c>
      <c r="G113" s="74" t="n">
        <f aca="false">G67*G107/1000</f>
        <v>0.00956101336871731</v>
      </c>
      <c r="H113" s="74" t="n">
        <f aca="false">H67*H107/1000</f>
        <v>0.0317182058496</v>
      </c>
      <c r="I113" s="74" t="n">
        <f aca="false">I67*I107/1000</f>
        <v>0.00214254971695923</v>
      </c>
      <c r="J113" s="74" t="n">
        <f aca="false">J67*J107/1000</f>
        <v>0.00743634373122458</v>
      </c>
      <c r="K113" s="74" t="n">
        <f aca="false">K67*K107/1000</f>
        <v>0.0246697156608</v>
      </c>
      <c r="L113" s="74" t="n">
        <f aca="false">L67*L107/1000</f>
        <v>0.00118058861954897</v>
      </c>
      <c r="M113" s="74" t="n">
        <f aca="false">M67*M107/1000</f>
        <v>0.00409757715802171</v>
      </c>
      <c r="N113" s="74" t="n">
        <f aca="false">N67*N107/1000</f>
        <v>0.0135935167926857</v>
      </c>
      <c r="O113" s="74" t="n">
        <f aca="false">O67*O107/1000</f>
        <v>0.00118058861954897</v>
      </c>
      <c r="P113" s="74" t="n">
        <f aca="false">P67*P107/1000</f>
        <v>0.00409757715802171</v>
      </c>
      <c r="Q113" s="74" t="n">
        <f aca="false">Q67*Q107/1000</f>
        <v>0.0135935167926857</v>
      </c>
    </row>
    <row r="114" customFormat="false" ht="15" hidden="false" customHeight="false" outlineLevel="0" collapsed="false">
      <c r="A114" s="61" t="s">
        <v>1012</v>
      </c>
      <c r="B114" s="62" t="s">
        <v>934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1013</v>
      </c>
      <c r="B115" s="62" t="s">
        <v>934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1014</v>
      </c>
      <c r="B116" s="62" t="s">
        <v>127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1015</v>
      </c>
      <c r="B117" s="62" t="s">
        <v>1016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1017</v>
      </c>
      <c r="B118" s="62" t="s">
        <v>1010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  <c r="R118" s="65" t="s">
        <v>1018</v>
      </c>
    </row>
    <row r="119" customFormat="false" ht="15" hidden="false" customHeight="false" outlineLevel="0" collapsed="false">
      <c r="A119" s="77" t="s">
        <v>1019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</row>
    <row r="120" customFormat="false" ht="15" hidden="false" customHeight="false" outlineLevel="0" collapsed="false">
      <c r="A120" s="62" t="s">
        <v>1020</v>
      </c>
      <c r="B120" s="62" t="s">
        <v>132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1021</v>
      </c>
    </row>
    <row r="2" customFormat="false" ht="15" hidden="false" customHeight="false" outlineLevel="0" collapsed="false">
      <c r="A2" s="65" t="s">
        <v>1022</v>
      </c>
    </row>
    <row r="3" customFormat="false" ht="43.5" hidden="false" customHeight="true" outlineLevel="0" collapsed="false">
      <c r="A3" s="60" t="s">
        <v>1023</v>
      </c>
      <c r="C3" s="119" t="s">
        <v>111</v>
      </c>
      <c r="D3" s="119"/>
      <c r="E3" s="120" t="s">
        <v>1024</v>
      </c>
      <c r="F3" s="120"/>
      <c r="G3" s="120" t="s">
        <v>1025</v>
      </c>
      <c r="H3" s="120"/>
      <c r="I3" s="120" t="s">
        <v>1026</v>
      </c>
      <c r="J3" s="120"/>
      <c r="K3" s="120" t="s">
        <v>1027</v>
      </c>
      <c r="L3" s="120"/>
      <c r="M3" s="120" t="s">
        <v>1028</v>
      </c>
      <c r="N3" s="120"/>
      <c r="O3" s="120" t="s">
        <v>1029</v>
      </c>
      <c r="P3" s="120"/>
      <c r="Q3" s="120" t="s">
        <v>1030</v>
      </c>
      <c r="R3" s="120"/>
      <c r="S3" s="120" t="s">
        <v>1031</v>
      </c>
      <c r="T3" s="120"/>
      <c r="U3" s="120" t="s">
        <v>1032</v>
      </c>
      <c r="V3" s="120"/>
      <c r="W3" s="120" t="s">
        <v>1033</v>
      </c>
      <c r="X3" s="120"/>
      <c r="Y3" s="120" t="s">
        <v>1034</v>
      </c>
      <c r="Z3" s="120"/>
      <c r="AA3" s="119" t="s">
        <v>1035</v>
      </c>
      <c r="AB3" s="119"/>
      <c r="AC3" s="120" t="s">
        <v>1036</v>
      </c>
      <c r="AD3" s="120"/>
      <c r="AE3" s="120" t="s">
        <v>1037</v>
      </c>
      <c r="AF3" s="120"/>
      <c r="AG3" s="120" t="s">
        <v>1038</v>
      </c>
      <c r="AH3" s="120"/>
    </row>
    <row r="4" customFormat="false" ht="15" hidden="false" customHeight="false" outlineLevel="0" collapsed="false">
      <c r="A4" s="60" t="s">
        <v>200</v>
      </c>
      <c r="C4" s="83" t="str">
        <f aca="false">INDEX(Spec_Rack!$C$4:$G$4,C6)</f>
        <v>VR200 NVL72</v>
      </c>
      <c r="D4" s="83" t="str">
        <f aca="false">INDEX(Spec_Rack!$C$4:$G$4,D6)</f>
        <v>GB300 NVL72</v>
      </c>
      <c r="E4" s="83" t="str">
        <f aca="false">INDEX(Spec_Rack!$C$4:$G$4,E6)</f>
        <v>VR200 NVL72</v>
      </c>
      <c r="F4" s="83" t="str">
        <f aca="false">INDEX(Spec_Rack!$C$4:$G$4,F6)</f>
        <v>GB300 NVL72</v>
      </c>
      <c r="G4" s="83" t="str">
        <f aca="false">INDEX(Spec_Rack!$C$4:$G$4,G6)</f>
        <v>VR200 NVL72</v>
      </c>
      <c r="H4" s="83" t="str">
        <f aca="false">INDEX(Spec_Rack!$C$4:$G$4,H6)</f>
        <v>GB300 NVL72</v>
      </c>
      <c r="I4" s="83" t="str">
        <f aca="false">INDEX(Spec_Rack!$C$4:$G$4,I6)</f>
        <v>VR200 NVL72</v>
      </c>
      <c r="J4" s="83" t="str">
        <f aca="false">INDEX(Spec_Rack!$C$4:$G$4,J6)</f>
        <v>GB300 NVL72</v>
      </c>
      <c r="K4" s="83" t="str">
        <f aca="false">INDEX(Spec_Rack!$C$4:$G$4,K6)</f>
        <v>VR200 NVL72</v>
      </c>
      <c r="L4" s="83" t="str">
        <f aca="false">INDEX(Spec_Rack!$C$4:$G$4,L6)</f>
        <v>GB300 NVL72</v>
      </c>
      <c r="M4" s="83" t="str">
        <f aca="false">INDEX(Spec_Rack!$C$4:$G$4,M6)</f>
        <v>VR200 NVL72</v>
      </c>
      <c r="N4" s="83" t="str">
        <f aca="false">INDEX(Spec_Rack!$C$4:$G$4,N6)</f>
        <v>GB300 NVL72</v>
      </c>
      <c r="O4" s="83" t="str">
        <f aca="false">INDEX(Spec_Rack!$C$4:$G$4,O6)</f>
        <v>VR200 NVL72</v>
      </c>
      <c r="P4" s="83" t="str">
        <f aca="false">INDEX(Spec_Rack!$C$4:$G$4,P6)</f>
        <v>GB300 NVL72</v>
      </c>
      <c r="Q4" s="83" t="str">
        <f aca="false">INDEX(Spec_Rack!$C$4:$G$4,Q6)</f>
        <v>VR200 NVL72</v>
      </c>
      <c r="R4" s="83" t="str">
        <f aca="false">INDEX(Spec_Rack!$C$4:$G$4,R6)</f>
        <v>GB300 NVL72</v>
      </c>
      <c r="S4" s="83" t="str">
        <f aca="false">INDEX(Spec_Rack!$C$4:$G$4,S6)</f>
        <v>VR200 NVL72</v>
      </c>
      <c r="T4" s="83" t="str">
        <f aca="false">INDEX(Spec_Rack!$C$4:$G$4,T6)</f>
        <v>GB300 NVL72</v>
      </c>
      <c r="U4" s="83" t="str">
        <f aca="false">INDEX(Spec_Rack!$C$4:$G$4,U6)</f>
        <v>VR200 NVL72</v>
      </c>
      <c r="V4" s="83" t="str">
        <f aca="false">INDEX(Spec_Rack!$C$4:$G$4,V6)</f>
        <v>GB300 NVL72</v>
      </c>
      <c r="W4" s="83" t="str">
        <f aca="false">INDEX(Spec_Rack!$C$4:$G$4,W6)</f>
        <v>VR200 NVL72</v>
      </c>
      <c r="X4" s="83" t="str">
        <f aca="false">INDEX(Spec_Rack!$C$4:$G$4,X6)</f>
        <v>GB300 NVL72</v>
      </c>
      <c r="Y4" s="83" t="str">
        <f aca="false">INDEX(Spec_Rack!$C$4:$G$4,Y6)</f>
        <v>VR200 NVL72</v>
      </c>
      <c r="Z4" s="83" t="str">
        <f aca="false">INDEX(Spec_Rack!$C$4:$G$4,Z6)</f>
        <v>GB300 NVL72</v>
      </c>
      <c r="AA4" s="83" t="str">
        <f aca="false">INDEX(Spec_Rack!$C$4:$G$4,AA6)</f>
        <v>VR200 NVL72</v>
      </c>
      <c r="AB4" s="83" t="str">
        <f aca="false">INDEX(Spec_Rack!$C$4:$G$4,AB6)</f>
        <v>GB300 NVL72</v>
      </c>
      <c r="AC4" s="83" t="str">
        <f aca="false">INDEX(Spec_Rack!$C$4:$G$4,AC6)</f>
        <v>VR200 NVL72</v>
      </c>
      <c r="AD4" s="83" t="str">
        <f aca="false">INDEX(Spec_Rack!$C$4:$G$4,AD6)</f>
        <v>GB300 NVL72</v>
      </c>
      <c r="AE4" s="83" t="str">
        <f aca="false">INDEX(Spec_Rack!$C$4:$G$4,AE6)</f>
        <v>VR200 NVL72</v>
      </c>
      <c r="AF4" s="83" t="str">
        <f aca="false">INDEX(Spec_Rack!$C$4:$G$4,AF6)</f>
        <v>GB300 NVL72</v>
      </c>
      <c r="AG4" s="83" t="str">
        <f aca="false">INDEX(Spec_Rack!$C$4:$G$4,AG6)</f>
        <v>VR200 NVL72</v>
      </c>
      <c r="AH4" s="83" t="str">
        <f aca="false">INDEX(Spec_Rack!$C$4:$G$4,AH6)</f>
        <v>GB300 NVL72</v>
      </c>
    </row>
    <row r="5" customFormat="false" ht="15" hidden="false" customHeight="false" outlineLevel="0" collapsed="false">
      <c r="A5" s="60" t="s">
        <v>913</v>
      </c>
      <c r="C5" s="83" t="str">
        <f aca="false">INDEX(Arch!$C$4:$E$4,C7)</f>
        <v>Sol（中層）</v>
      </c>
      <c r="D5" s="83" t="str">
        <f aca="false">INDEX(Arch!$C$4:$E$4,D7)</f>
        <v>Sol（中層）</v>
      </c>
      <c r="E5" s="83" t="str">
        <f aca="false">INDEX(Arch!$C$4:$E$4,E7)</f>
        <v>Sol（中層）</v>
      </c>
      <c r="F5" s="83" t="str">
        <f aca="false">INDEX(Arch!$C$4:$E$4,F7)</f>
        <v>Sol（中層）</v>
      </c>
      <c r="G5" s="83" t="str">
        <f aca="false">INDEX(Arch!$C$4:$E$4,G7)</f>
        <v>Sol（中層）</v>
      </c>
      <c r="H5" s="83" t="str">
        <f aca="false">INDEX(Arch!$C$4:$E$4,H7)</f>
        <v>Sol（中層）</v>
      </c>
      <c r="I5" s="83" t="str">
        <f aca="false">INDEX(Arch!$C$4:$E$4,I7)</f>
        <v>Sol（中層）</v>
      </c>
      <c r="J5" s="83" t="str">
        <f aca="false">INDEX(Arch!$C$4:$E$4,J7)</f>
        <v>Sol（中層）</v>
      </c>
      <c r="K5" s="83" t="str">
        <f aca="false">INDEX(Arch!$C$4:$E$4,K7)</f>
        <v>Sol（中層）</v>
      </c>
      <c r="L5" s="83" t="str">
        <f aca="false">INDEX(Arch!$C$4:$E$4,L7)</f>
        <v>Sol（中層）</v>
      </c>
      <c r="M5" s="83" t="str">
        <f aca="false">INDEX(Arch!$C$4:$E$4,M7)</f>
        <v>Sol（中層）</v>
      </c>
      <c r="N5" s="83" t="str">
        <f aca="false">INDEX(Arch!$C$4:$E$4,N7)</f>
        <v>Sol（中層）</v>
      </c>
      <c r="O5" s="83" t="str">
        <f aca="false">INDEX(Arch!$C$4:$E$4,O7)</f>
        <v>Sol（中層）</v>
      </c>
      <c r="P5" s="83" t="str">
        <f aca="false">INDEX(Arch!$C$4:$E$4,P7)</f>
        <v>Sol（中層）</v>
      </c>
      <c r="Q5" s="83" t="str">
        <f aca="false">INDEX(Arch!$C$4:$E$4,Q7)</f>
        <v>Sol（中層）</v>
      </c>
      <c r="R5" s="83" t="str">
        <f aca="false">INDEX(Arch!$C$4:$E$4,R7)</f>
        <v>Sol（中層）</v>
      </c>
      <c r="S5" s="83" t="str">
        <f aca="false">INDEX(Arch!$C$4:$E$4,S7)</f>
        <v>Sol（中層）</v>
      </c>
      <c r="T5" s="83" t="str">
        <f aca="false">INDEX(Arch!$C$4:$E$4,T7)</f>
        <v>Sol（中層）</v>
      </c>
      <c r="U5" s="83" t="str">
        <f aca="false">INDEX(Arch!$C$4:$E$4,U7)</f>
        <v>Sol（中層）</v>
      </c>
      <c r="V5" s="83" t="str">
        <f aca="false">INDEX(Arch!$C$4:$E$4,V7)</f>
        <v>Sol（中層）</v>
      </c>
      <c r="W5" s="83" t="str">
        <f aca="false">INDEX(Arch!$C$4:$E$4,W7)</f>
        <v>Sol（中層）</v>
      </c>
      <c r="X5" s="83" t="str">
        <f aca="false">INDEX(Arch!$C$4:$E$4,X7)</f>
        <v>Sol（中層）</v>
      </c>
      <c r="Y5" s="83" t="str">
        <f aca="false">INDEX(Arch!$C$4:$E$4,Y7)</f>
        <v>Sol（中層）</v>
      </c>
      <c r="Z5" s="83" t="str">
        <f aca="false">INDEX(Arch!$C$4:$E$4,Z7)</f>
        <v>Sol（中層）</v>
      </c>
      <c r="AA5" s="83" t="str">
        <f aca="false">INDEX(Arch!$C$4:$E$4,AA7)</f>
        <v>Sol（中層）</v>
      </c>
      <c r="AB5" s="83" t="str">
        <f aca="false">INDEX(Arch!$C$4:$E$4,AB7)</f>
        <v>Sol（中層）</v>
      </c>
      <c r="AC5" s="83" t="str">
        <f aca="false">INDEX(Arch!$C$4:$E$4,AC7)</f>
        <v>Astra（頂層）</v>
      </c>
      <c r="AD5" s="83" t="str">
        <f aca="false">INDEX(Arch!$C$4:$E$4,AD7)</f>
        <v>Astra（頂層）</v>
      </c>
      <c r="AE5" s="83" t="str">
        <f aca="false">INDEX(Arch!$C$4:$E$4,AE7)</f>
        <v>Astra（頂層）</v>
      </c>
      <c r="AF5" s="83" t="str">
        <f aca="false">INDEX(Arch!$C$4:$E$4,AF7)</f>
        <v>Astra（頂層）</v>
      </c>
      <c r="AG5" s="83" t="str">
        <f aca="false">INDEX(Arch!$C$4:$E$4,AG7)</f>
        <v>Astra（頂層）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494</v>
      </c>
      <c r="C6" s="68" t="n">
        <v>4</v>
      </c>
      <c r="D6" s="68" t="n">
        <v>3</v>
      </c>
      <c r="E6" s="68" t="n">
        <v>4</v>
      </c>
      <c r="F6" s="68" t="n">
        <v>3</v>
      </c>
      <c r="G6" s="68" t="n">
        <v>4</v>
      </c>
      <c r="H6" s="68" t="n">
        <v>3</v>
      </c>
      <c r="I6" s="68" t="n">
        <v>4</v>
      </c>
      <c r="J6" s="68" t="n">
        <v>3</v>
      </c>
      <c r="K6" s="68" t="n">
        <v>4</v>
      </c>
      <c r="L6" s="68" t="n">
        <v>3</v>
      </c>
      <c r="M6" s="68" t="n">
        <v>4</v>
      </c>
      <c r="N6" s="68" t="n">
        <v>3</v>
      </c>
      <c r="O6" s="68" t="n">
        <v>4</v>
      </c>
      <c r="P6" s="68" t="n">
        <v>3</v>
      </c>
      <c r="Q6" s="68" t="n">
        <v>4</v>
      </c>
      <c r="R6" s="68" t="n">
        <v>3</v>
      </c>
      <c r="S6" s="68" t="n">
        <v>4</v>
      </c>
      <c r="T6" s="68" t="n">
        <v>3</v>
      </c>
      <c r="U6" s="68" t="n">
        <v>4</v>
      </c>
      <c r="V6" s="68" t="n">
        <v>3</v>
      </c>
      <c r="W6" s="68" t="n">
        <v>4</v>
      </c>
      <c r="X6" s="68" t="n">
        <v>3</v>
      </c>
      <c r="Y6" s="68" t="n">
        <v>4</v>
      </c>
      <c r="Z6" s="68" t="n">
        <v>3</v>
      </c>
      <c r="AA6" s="68" t="n">
        <v>4</v>
      </c>
      <c r="AB6" s="68" t="n">
        <v>3</v>
      </c>
      <c r="AC6" s="68" t="n">
        <v>4</v>
      </c>
      <c r="AD6" s="68" t="n">
        <v>3</v>
      </c>
      <c r="AE6" s="68" t="n">
        <v>4</v>
      </c>
      <c r="AF6" s="68" t="n">
        <v>3</v>
      </c>
      <c r="AG6" s="68" t="n">
        <v>4</v>
      </c>
      <c r="AH6" s="68" t="n">
        <v>3</v>
      </c>
    </row>
    <row r="7" customFormat="false" ht="15" hidden="false" customHeight="false" outlineLevel="0" collapsed="false">
      <c r="A7" s="60" t="s">
        <v>915</v>
      </c>
      <c r="C7" s="68" t="n">
        <v>2</v>
      </c>
      <c r="D7" s="68" t="n">
        <v>2</v>
      </c>
      <c r="E7" s="68" t="n">
        <v>2</v>
      </c>
      <c r="F7" s="68" t="n">
        <v>2</v>
      </c>
      <c r="G7" s="68" t="n">
        <v>2</v>
      </c>
      <c r="H7" s="68" t="n">
        <v>2</v>
      </c>
      <c r="I7" s="68" t="n">
        <v>2</v>
      </c>
      <c r="J7" s="68" t="n">
        <v>2</v>
      </c>
      <c r="K7" s="68" t="n">
        <v>2</v>
      </c>
      <c r="L7" s="68" t="n">
        <v>2</v>
      </c>
      <c r="M7" s="68" t="n">
        <v>2</v>
      </c>
      <c r="N7" s="68" t="n">
        <v>2</v>
      </c>
      <c r="O7" s="68" t="n">
        <v>2</v>
      </c>
      <c r="P7" s="68" t="n">
        <v>2</v>
      </c>
      <c r="Q7" s="68" t="n">
        <v>2</v>
      </c>
      <c r="R7" s="68" t="n">
        <v>2</v>
      </c>
      <c r="S7" s="68" t="n">
        <v>2</v>
      </c>
      <c r="T7" s="68" t="n">
        <v>2</v>
      </c>
      <c r="U7" s="68" t="n">
        <v>2</v>
      </c>
      <c r="V7" s="68" t="n">
        <v>2</v>
      </c>
      <c r="W7" s="68" t="n">
        <v>2</v>
      </c>
      <c r="X7" s="68" t="n">
        <v>2</v>
      </c>
      <c r="Y7" s="68" t="n">
        <v>2</v>
      </c>
      <c r="Z7" s="68" t="n">
        <v>2</v>
      </c>
      <c r="AA7" s="68" t="n">
        <v>2</v>
      </c>
      <c r="AB7" s="68" t="n">
        <v>2</v>
      </c>
      <c r="AC7" s="68" t="n">
        <v>3</v>
      </c>
      <c r="AD7" s="68" t="n">
        <v>3</v>
      </c>
      <c r="AE7" s="68" t="n">
        <v>3</v>
      </c>
      <c r="AF7" s="68" t="n">
        <v>3</v>
      </c>
      <c r="AG7" s="68" t="n">
        <v>3</v>
      </c>
      <c r="AH7" s="68" t="n">
        <v>3</v>
      </c>
    </row>
    <row r="9" customFormat="false" ht="15" hidden="false" customHeight="false" outlineLevel="0" collapsed="false">
      <c r="A9" s="77" t="s">
        <v>916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917</v>
      </c>
      <c r="B10" s="62" t="s">
        <v>132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918</v>
      </c>
      <c r="B11" s="62" t="s">
        <v>132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919</v>
      </c>
      <c r="B12" s="62" t="s">
        <v>132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7" t="s">
        <v>920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 customFormat="false" ht="15" hidden="false" customHeight="false" outlineLevel="0" collapsed="false">
      <c r="A14" s="61" t="s">
        <v>525</v>
      </c>
      <c r="B14" s="62" t="s">
        <v>526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528</v>
      </c>
      <c r="B15" s="62" t="s">
        <v>921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531</v>
      </c>
      <c r="B16" s="62" t="s">
        <v>402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922</v>
      </c>
      <c r="B17" s="62" t="s">
        <v>402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262</v>
      </c>
      <c r="B18" s="62" t="s">
        <v>725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923</v>
      </c>
      <c r="B19" s="62" t="s">
        <v>311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924</v>
      </c>
      <c r="B20" s="62" t="s">
        <v>311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925</v>
      </c>
      <c r="B21" s="62" t="s">
        <v>725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213</v>
      </c>
      <c r="B22" s="61" t="s">
        <v>926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927</v>
      </c>
      <c r="B23" s="62" t="s">
        <v>928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929</v>
      </c>
      <c r="B24" s="62" t="s">
        <v>930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931</v>
      </c>
      <c r="B25" s="61" t="s">
        <v>932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933</v>
      </c>
      <c r="B26" s="62" t="s">
        <v>934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7" t="s">
        <v>935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</row>
    <row r="28" customFormat="false" ht="15" hidden="false" customHeight="false" outlineLevel="0" collapsed="false">
      <c r="A28" s="61" t="s">
        <v>313</v>
      </c>
      <c r="B28" s="62" t="s">
        <v>311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315</v>
      </c>
      <c r="B29" s="61" t="s">
        <v>316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318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936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547</v>
      </c>
      <c r="B32" s="62" t="s">
        <v>311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353</v>
      </c>
      <c r="B33" s="62" t="s">
        <v>311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937</v>
      </c>
      <c r="B34" s="62" t="s">
        <v>311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552</v>
      </c>
      <c r="B35" s="62" t="s">
        <v>355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330</v>
      </c>
      <c r="B36" s="62" t="s">
        <v>127</v>
      </c>
      <c r="C36" s="66" t="n">
        <f aca="false">INDEX(Arch!$C$16:$E$16,C$7)</f>
        <v>0.492</v>
      </c>
      <c r="D36" s="66" t="n">
        <f aca="false">INDEX(Arch!$C$16:$E$16,D$7)</f>
        <v>0.492</v>
      </c>
      <c r="E36" s="66" t="n">
        <f aca="false">INDEX(Arch!$C$16:$E$16,E$7)</f>
        <v>0.492</v>
      </c>
      <c r="F36" s="66" t="n">
        <f aca="false">INDEX(Arch!$C$16:$E$16,F$7)</f>
        <v>0.492</v>
      </c>
      <c r="G36" s="66" t="n">
        <f aca="false">INDEX(Arch!$C$16:$E$16,G$7)</f>
        <v>0.492</v>
      </c>
      <c r="H36" s="66" t="n">
        <f aca="false">INDEX(Arch!$C$16:$E$16,H$7)</f>
        <v>0.492</v>
      </c>
      <c r="I36" s="66" t="n">
        <f aca="false">INDEX(Arch!$C$16:$E$16,I$7)</f>
        <v>0.492</v>
      </c>
      <c r="J36" s="66" t="n">
        <f aca="false">INDEX(Arch!$C$16:$E$16,J$7)</f>
        <v>0.492</v>
      </c>
      <c r="K36" s="66" t="n">
        <f aca="false">INDEX(Arch!$C$16:$E$16,K$7)</f>
        <v>0.492</v>
      </c>
      <c r="L36" s="66" t="n">
        <f aca="false">INDEX(Arch!$C$16:$E$16,L$7)</f>
        <v>0.492</v>
      </c>
      <c r="M36" s="66" t="n">
        <f aca="false">INDEX(Arch!$C$16:$E$16,M$7)</f>
        <v>0.492</v>
      </c>
      <c r="N36" s="66" t="n">
        <f aca="false">INDEX(Arch!$C$16:$E$16,N$7)</f>
        <v>0.492</v>
      </c>
      <c r="O36" s="66" t="n">
        <f aca="false">INDEX(Arch!$C$16:$E$16,O$7)</f>
        <v>0.492</v>
      </c>
      <c r="P36" s="66" t="n">
        <f aca="false">INDEX(Arch!$C$16:$E$16,P$7)</f>
        <v>0.492</v>
      </c>
      <c r="Q36" s="66" t="n">
        <f aca="false">INDEX(Arch!$C$16:$E$16,Q$7)</f>
        <v>0.492</v>
      </c>
      <c r="R36" s="66" t="n">
        <f aca="false">INDEX(Arch!$C$16:$E$16,R$7)</f>
        <v>0.492</v>
      </c>
      <c r="S36" s="66" t="n">
        <f aca="false">INDEX(Arch!$C$16:$E$16,S$7)</f>
        <v>0.492</v>
      </c>
      <c r="T36" s="66" t="n">
        <f aca="false">INDEX(Arch!$C$16:$E$16,T$7)</f>
        <v>0.492</v>
      </c>
      <c r="U36" s="66" t="n">
        <f aca="false">INDEX(Arch!$C$16:$E$16,U$7)</f>
        <v>0.492</v>
      </c>
      <c r="V36" s="66" t="n">
        <f aca="false">INDEX(Arch!$C$16:$E$16,V$7)</f>
        <v>0.492</v>
      </c>
      <c r="W36" s="66" t="n">
        <f aca="false">INDEX(Arch!$C$16:$E$16,W$7)</f>
        <v>0.492</v>
      </c>
      <c r="X36" s="66" t="n">
        <f aca="false">INDEX(Arch!$C$16:$E$16,X$7)</f>
        <v>0.492</v>
      </c>
      <c r="Y36" s="66" t="n">
        <f aca="false">INDEX(Arch!$C$16:$E$16,Y$7)</f>
        <v>0.492</v>
      </c>
      <c r="Z36" s="66" t="n">
        <f aca="false">INDEX(Arch!$C$16:$E$16,Z$7)</f>
        <v>0.492</v>
      </c>
      <c r="AA36" s="66" t="n">
        <f aca="false">INDEX(Arch!$C$16:$E$16,AA$7)</f>
        <v>0.492</v>
      </c>
      <c r="AB36" s="66" t="n">
        <f aca="false">INDEX(Arch!$C$16:$E$16,AB$7)</f>
        <v>0.492</v>
      </c>
      <c r="AC36" s="66" t="n">
        <f aca="false">INDEX(Arch!$C$16:$E$16,AC$7)</f>
        <v>1</v>
      </c>
      <c r="AD36" s="66" t="n">
        <f aca="false">INDEX(Arch!$C$16:$E$16,AD$7)</f>
        <v>1</v>
      </c>
      <c r="AE36" s="66" t="n">
        <f aca="false">INDEX(Arch!$C$16:$E$16,AE$7)</f>
        <v>1</v>
      </c>
      <c r="AF36" s="66" t="n">
        <f aca="false">INDEX(Arch!$C$16:$E$16,AF$7)</f>
        <v>1</v>
      </c>
      <c r="AG36" s="66" t="n">
        <f aca="false">INDEX(Arch!$C$16:$E$16,AG$7)</f>
        <v>1</v>
      </c>
      <c r="AH36" s="66" t="n">
        <f aca="false">INDEX(Arch!$C$16:$E$16,AH$7)</f>
        <v>1</v>
      </c>
    </row>
    <row r="37" customFormat="false" ht="15" hidden="false" customHeight="false" outlineLevel="0" collapsed="false">
      <c r="A37" s="61" t="s">
        <v>938</v>
      </c>
      <c r="B37" s="62" t="s">
        <v>333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335</v>
      </c>
      <c r="B38" s="62" t="s">
        <v>132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337</v>
      </c>
      <c r="B39" s="62" t="s">
        <v>333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7" t="s">
        <v>939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</row>
    <row r="41" customFormat="false" ht="15" hidden="false" customHeight="false" outlineLevel="0" collapsed="false">
      <c r="A41" s="62" t="s">
        <v>413</v>
      </c>
      <c r="B41" s="62" t="s">
        <v>414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940</v>
      </c>
      <c r="B42" s="62" t="s">
        <v>417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941</v>
      </c>
      <c r="B43" s="62" t="s">
        <v>333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420</v>
      </c>
      <c r="B44" s="62" t="s">
        <v>333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561</v>
      </c>
      <c r="B45" s="62" t="s">
        <v>333</v>
      </c>
      <c r="C45" s="69" t="n">
        <f aca="false">C43+C44/2</f>
        <v>17408</v>
      </c>
      <c r="D45" s="69" t="n">
        <f aca="false">D43+D44/2</f>
        <v>17408</v>
      </c>
      <c r="E45" s="69" t="n">
        <f aca="false">E43+E44/2</f>
        <v>17408</v>
      </c>
      <c r="F45" s="69" t="n">
        <f aca="false">F43+F44/2</f>
        <v>17408</v>
      </c>
      <c r="G45" s="69" t="n">
        <f aca="false">G43+G44/2</f>
        <v>17408</v>
      </c>
      <c r="H45" s="69" t="n">
        <f aca="false">H43+H44/2</f>
        <v>17408</v>
      </c>
      <c r="I45" s="69" t="n">
        <f aca="false">I43+I44/2</f>
        <v>17408</v>
      </c>
      <c r="J45" s="69" t="n">
        <f aca="false">J43+J44/2</f>
        <v>17408</v>
      </c>
      <c r="K45" s="69" t="n">
        <f aca="false">K43+K44/2</f>
        <v>17408</v>
      </c>
      <c r="L45" s="69" t="n">
        <f aca="false">L43+L44/2</f>
        <v>17408</v>
      </c>
      <c r="M45" s="69" t="n">
        <f aca="false">M43+M44/2</f>
        <v>17408</v>
      </c>
      <c r="N45" s="69" t="n">
        <f aca="false">N43+N44/2</f>
        <v>17408</v>
      </c>
      <c r="O45" s="69" t="n">
        <f aca="false">O43+O44/2</f>
        <v>17408</v>
      </c>
      <c r="P45" s="69" t="n">
        <f aca="false">P43+P44/2</f>
        <v>17408</v>
      </c>
      <c r="Q45" s="69" t="n">
        <f aca="false">Q43+Q44/2</f>
        <v>17408</v>
      </c>
      <c r="R45" s="69" t="n">
        <f aca="false">R43+R44/2</f>
        <v>17408</v>
      </c>
      <c r="S45" s="69" t="n">
        <f aca="false">S43+S44/2</f>
        <v>17408</v>
      </c>
      <c r="T45" s="69" t="n">
        <f aca="false">T43+T44/2</f>
        <v>17408</v>
      </c>
      <c r="U45" s="69" t="n">
        <f aca="false">U43+U44/2</f>
        <v>17408</v>
      </c>
      <c r="V45" s="69" t="n">
        <f aca="false">V43+V44/2</f>
        <v>17408</v>
      </c>
      <c r="W45" s="69" t="n">
        <f aca="false">W43+W44/2</f>
        <v>5120</v>
      </c>
      <c r="X45" s="69" t="n">
        <f aca="false">X43+X44/2</f>
        <v>5120</v>
      </c>
      <c r="Y45" s="69" t="n">
        <f aca="false">Y43+Y44/2</f>
        <v>66560</v>
      </c>
      <c r="Z45" s="69" t="n">
        <f aca="false">Z43+Z44/2</f>
        <v>66560</v>
      </c>
      <c r="AA45" s="69" t="n">
        <f aca="false">AA43+AA44/2</f>
        <v>17408</v>
      </c>
      <c r="AB45" s="69" t="n">
        <f aca="false">AB43+AB44/2</f>
        <v>17408</v>
      </c>
      <c r="AC45" s="69" t="n">
        <f aca="false">AC43+AC44/2</f>
        <v>34816</v>
      </c>
      <c r="AD45" s="69" t="n">
        <f aca="false">AD43+AD44/2</f>
        <v>34816</v>
      </c>
      <c r="AE45" s="69" t="n">
        <f aca="false">AE43+AE44/2</f>
        <v>34816</v>
      </c>
      <c r="AF45" s="69" t="n">
        <f aca="false">AF43+AF44/2</f>
        <v>34816</v>
      </c>
      <c r="AG45" s="69" t="n">
        <f aca="false">AG43+AG44/2</f>
        <v>34816</v>
      </c>
      <c r="AH45" s="69" t="n">
        <f aca="false">AH43+AH44/2</f>
        <v>34816</v>
      </c>
    </row>
    <row r="46" customFormat="false" ht="15" hidden="false" customHeight="false" outlineLevel="0" collapsed="false">
      <c r="A46" s="62" t="s">
        <v>568</v>
      </c>
      <c r="B46" s="62" t="s">
        <v>333</v>
      </c>
      <c r="C46" s="69" t="n">
        <f aca="false">C43/2</f>
        <v>8192</v>
      </c>
      <c r="D46" s="69" t="n">
        <f aca="false">D43/2</f>
        <v>8192</v>
      </c>
      <c r="E46" s="69" t="n">
        <f aca="false">E43/2</f>
        <v>8192</v>
      </c>
      <c r="F46" s="69" t="n">
        <f aca="false">F43/2</f>
        <v>8192</v>
      </c>
      <c r="G46" s="69" t="n">
        <f aca="false">G43/2</f>
        <v>8192</v>
      </c>
      <c r="H46" s="69" t="n">
        <f aca="false">H43/2</f>
        <v>8192</v>
      </c>
      <c r="I46" s="69" t="n">
        <f aca="false">I43/2</f>
        <v>8192</v>
      </c>
      <c r="J46" s="69" t="n">
        <f aca="false">J43/2</f>
        <v>8192</v>
      </c>
      <c r="K46" s="69" t="n">
        <f aca="false">K43/2</f>
        <v>8192</v>
      </c>
      <c r="L46" s="69" t="n">
        <f aca="false">L43/2</f>
        <v>8192</v>
      </c>
      <c r="M46" s="69" t="n">
        <f aca="false">M43/2</f>
        <v>8192</v>
      </c>
      <c r="N46" s="69" t="n">
        <f aca="false">N43/2</f>
        <v>8192</v>
      </c>
      <c r="O46" s="69" t="n">
        <f aca="false">O43/2</f>
        <v>8192</v>
      </c>
      <c r="P46" s="69" t="n">
        <f aca="false">P43/2</f>
        <v>8192</v>
      </c>
      <c r="Q46" s="69" t="n">
        <f aca="false">Q43/2</f>
        <v>8192</v>
      </c>
      <c r="R46" s="69" t="n">
        <f aca="false">R43/2</f>
        <v>8192</v>
      </c>
      <c r="S46" s="69" t="n">
        <f aca="false">S43/2</f>
        <v>8192</v>
      </c>
      <c r="T46" s="69" t="n">
        <f aca="false">T43/2</f>
        <v>8192</v>
      </c>
      <c r="U46" s="69" t="n">
        <f aca="false">U43/2</f>
        <v>8192</v>
      </c>
      <c r="V46" s="69" t="n">
        <f aca="false">V43/2</f>
        <v>8192</v>
      </c>
      <c r="W46" s="69" t="n">
        <f aca="false">W43/2</f>
        <v>2048</v>
      </c>
      <c r="X46" s="69" t="n">
        <f aca="false">X43/2</f>
        <v>2048</v>
      </c>
      <c r="Y46" s="69" t="n">
        <f aca="false">Y43/2</f>
        <v>32768</v>
      </c>
      <c r="Z46" s="69" t="n">
        <f aca="false">Z43/2</f>
        <v>32768</v>
      </c>
      <c r="AA46" s="69" t="n">
        <f aca="false">AA43/2</f>
        <v>8192</v>
      </c>
      <c r="AB46" s="69" t="n">
        <f aca="false">AB43/2</f>
        <v>8192</v>
      </c>
      <c r="AC46" s="69" t="n">
        <f aca="false">AC43/2</f>
        <v>16384</v>
      </c>
      <c r="AD46" s="69" t="n">
        <f aca="false">AD43/2</f>
        <v>16384</v>
      </c>
      <c r="AE46" s="69" t="n">
        <f aca="false">AE43/2</f>
        <v>16384</v>
      </c>
      <c r="AF46" s="69" t="n">
        <f aca="false">AF43/2</f>
        <v>16384</v>
      </c>
      <c r="AG46" s="69" t="n">
        <f aca="false">AG43/2</f>
        <v>16384</v>
      </c>
      <c r="AH46" s="69" t="n">
        <f aca="false">AH43/2</f>
        <v>16384</v>
      </c>
    </row>
    <row r="47" customFormat="false" ht="15" hidden="false" customHeight="false" outlineLevel="0" collapsed="false">
      <c r="A47" s="62" t="s">
        <v>942</v>
      </c>
      <c r="B47" s="62" t="s">
        <v>333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  <c r="T47" s="90" t="n">
        <f aca="false">Serving!$C$6</f>
        <v>3</v>
      </c>
      <c r="U47" s="90" t="n">
        <f aca="false">Serving!$C$6</f>
        <v>3</v>
      </c>
      <c r="V47" s="90" t="n">
        <f aca="false">Serving!$C$6</f>
        <v>3</v>
      </c>
      <c r="W47" s="90" t="n">
        <f aca="false">Serving!$C$6</f>
        <v>3</v>
      </c>
      <c r="X47" s="90" t="n">
        <f aca="false">Serving!$C$6</f>
        <v>3</v>
      </c>
      <c r="Y47" s="90" t="n">
        <f aca="false">Serving!$C$6</f>
        <v>3</v>
      </c>
      <c r="Z47" s="90" t="n">
        <f aca="false">Serving!$C$6</f>
        <v>3</v>
      </c>
      <c r="AA47" s="90" t="n">
        <f aca="false">Serving!$C$6</f>
        <v>3</v>
      </c>
      <c r="AB47" s="90" t="n">
        <f aca="false">Serving!$C$6</f>
        <v>3</v>
      </c>
      <c r="AC47" s="90" t="n">
        <f aca="false">Serving!$C$6</f>
        <v>3</v>
      </c>
      <c r="AD47" s="90" t="n">
        <f aca="false">Serving!$C$6</f>
        <v>3</v>
      </c>
      <c r="AE47" s="90" t="n">
        <f aca="false">Serving!$C$6</f>
        <v>3</v>
      </c>
      <c r="AF47" s="90" t="n">
        <f aca="false">Serving!$C$6</f>
        <v>3</v>
      </c>
      <c r="AG47" s="90" t="n">
        <f aca="false">Serving!$C$6</f>
        <v>3</v>
      </c>
      <c r="AH47" s="90" t="n">
        <f aca="false">Serving!$C$6</f>
        <v>3</v>
      </c>
    </row>
    <row r="48" customFormat="false" ht="15" hidden="false" customHeight="false" outlineLevel="0" collapsed="false">
      <c r="A48" s="61" t="s">
        <v>943</v>
      </c>
      <c r="B48" s="62" t="s">
        <v>127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81" t="n">
        <v>0.6</v>
      </c>
      <c r="T48" s="81" t="n">
        <v>0.6</v>
      </c>
      <c r="U48" s="81" t="n">
        <v>0.8</v>
      </c>
      <c r="V48" s="81" t="n">
        <v>0.8</v>
      </c>
      <c r="W48" s="66" t="n">
        <f aca="false">Serving!$C$7</f>
        <v>0.7</v>
      </c>
      <c r="X48" s="66" t="n">
        <f aca="false">Serving!$C$7</f>
        <v>0.7</v>
      </c>
      <c r="Y48" s="66" t="n">
        <f aca="false">Serving!$C$7</f>
        <v>0.7</v>
      </c>
      <c r="Z48" s="66" t="n">
        <f aca="false">Serving!$C$7</f>
        <v>0.7</v>
      </c>
      <c r="AA48" s="66" t="n">
        <f aca="false">Serving!$C$7</f>
        <v>0.7</v>
      </c>
      <c r="AB48" s="66" t="n">
        <f aca="false">Serving!$C$7</f>
        <v>0.7</v>
      </c>
      <c r="AC48" s="66" t="n">
        <f aca="false">Serving!$C$7</f>
        <v>0.7</v>
      </c>
      <c r="AD48" s="66" t="n">
        <f aca="false">Serving!$C$7</f>
        <v>0.7</v>
      </c>
      <c r="AE48" s="66" t="n">
        <f aca="false">Serving!$C$7</f>
        <v>0.7</v>
      </c>
      <c r="AF48" s="66" t="n">
        <f aca="false">Serving!$C$7</f>
        <v>0.7</v>
      </c>
      <c r="AG48" s="66" t="n">
        <f aca="false">Serving!$C$7</f>
        <v>0.7</v>
      </c>
      <c r="AH48" s="66" t="n">
        <f aca="false">Serving!$C$7</f>
        <v>0.7</v>
      </c>
    </row>
    <row r="49" customFormat="false" ht="15" hidden="false" customHeight="false" outlineLevel="0" collapsed="false">
      <c r="A49" s="61" t="s">
        <v>944</v>
      </c>
      <c r="B49" s="62" t="s">
        <v>333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2.176</v>
      </c>
      <c r="T49" s="78" t="n">
        <f aca="false">(1-T48^(T47+1))/(1-T48)</f>
        <v>2.176</v>
      </c>
      <c r="U49" s="78" t="n">
        <f aca="false">(1-U48^(U47+1))/(1-U48)</f>
        <v>2.952</v>
      </c>
      <c r="V49" s="78" t="n">
        <f aca="false">(1-V48^(V47+1))/(1-V48)</f>
        <v>2.952</v>
      </c>
      <c r="W49" s="78" t="n">
        <f aca="false">(1-W48^(W47+1))/(1-W48)</f>
        <v>2.533</v>
      </c>
      <c r="X49" s="78" t="n">
        <f aca="false">(1-X48^(X47+1))/(1-X48)</f>
        <v>2.533</v>
      </c>
      <c r="Y49" s="78" t="n">
        <f aca="false">(1-Y48^(Y47+1))/(1-Y48)</f>
        <v>2.533</v>
      </c>
      <c r="Z49" s="78" t="n">
        <f aca="false">(1-Z48^(Z47+1))/(1-Z48)</f>
        <v>2.533</v>
      </c>
      <c r="AA49" s="78" t="n">
        <f aca="false">(1-AA48^(AA47+1))/(1-AA48)</f>
        <v>2.533</v>
      </c>
      <c r="AB49" s="78" t="n">
        <f aca="false">(1-AB48^(AB47+1))/(1-AB48)</f>
        <v>2.533</v>
      </c>
      <c r="AC49" s="78" t="n">
        <f aca="false">(1-AC48^(AC47+1))/(1-AC48)</f>
        <v>2.533</v>
      </c>
      <c r="AD49" s="78" t="n">
        <f aca="false">(1-AD48^(AD47+1))/(1-AD48)</f>
        <v>2.533</v>
      </c>
      <c r="AE49" s="78" t="n">
        <f aca="false">(1-AE48^(AE47+1))/(1-AE48)</f>
        <v>2.533</v>
      </c>
      <c r="AF49" s="78" t="n">
        <f aca="false">(1-AF48^(AF47+1))/(1-AF48)</f>
        <v>2.533</v>
      </c>
      <c r="AG49" s="78" t="n">
        <f aca="false">(1-AG48^(AG47+1))/(1-AG48)</f>
        <v>2.533</v>
      </c>
      <c r="AH49" s="78" t="n">
        <f aca="false">(1-AH48^(AH47+1))/(1-AH48)</f>
        <v>2.533</v>
      </c>
    </row>
    <row r="50" customFormat="false" ht="15" hidden="false" customHeight="false" outlineLevel="0" collapsed="false">
      <c r="A50" s="61" t="s">
        <v>408</v>
      </c>
      <c r="B50" s="62" t="s">
        <v>132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2" t="n">
        <v>0.7</v>
      </c>
      <c r="AB50" s="82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945</v>
      </c>
      <c r="B51" s="62" t="s">
        <v>127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946</v>
      </c>
      <c r="B52" s="62" t="s">
        <v>132</v>
      </c>
      <c r="C52" s="97" t="n">
        <f aca="false">Tech_Registry!$E$20</f>
        <v>1</v>
      </c>
      <c r="D52" s="97" t="n">
        <f aca="false">Tech_Registry!$E$20</f>
        <v>1</v>
      </c>
      <c r="E52" s="82" t="n">
        <v>0.5</v>
      </c>
      <c r="F52" s="97" t="n">
        <f aca="false">Tech_Registry!$E$20</f>
        <v>1</v>
      </c>
      <c r="G52" s="82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947</v>
      </c>
      <c r="B53" s="62" t="s">
        <v>127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948</v>
      </c>
      <c r="B54" s="62" t="s">
        <v>132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2" t="n">
        <v>0.7</v>
      </c>
      <c r="J54" s="97" t="n">
        <f aca="false">Tech_Registry!$E$21</f>
        <v>1</v>
      </c>
      <c r="K54" s="82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949</v>
      </c>
      <c r="B55" s="62" t="s">
        <v>602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950</v>
      </c>
      <c r="B56" s="62" t="s">
        <v>127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  <c r="T56" s="66" t="n">
        <f aca="false">Serving!$C$9</f>
        <v>0.1</v>
      </c>
      <c r="U56" s="66" t="n">
        <f aca="false">Serving!$C$9</f>
        <v>0.1</v>
      </c>
      <c r="V56" s="66" t="n">
        <f aca="false">Serving!$C$9</f>
        <v>0.1</v>
      </c>
      <c r="W56" s="66" t="n">
        <f aca="false">Serving!$C$9</f>
        <v>0.1</v>
      </c>
      <c r="X56" s="66" t="n">
        <f aca="false">Serving!$C$9</f>
        <v>0.1</v>
      </c>
      <c r="Y56" s="66" t="n">
        <f aca="false">Serving!$C$9</f>
        <v>0.1</v>
      </c>
      <c r="Z56" s="66" t="n">
        <f aca="false">Serving!$C$9</f>
        <v>0.1</v>
      </c>
      <c r="AA56" s="66" t="n">
        <f aca="false">Serving!$C$9</f>
        <v>0.1</v>
      </c>
      <c r="AB56" s="66" t="n">
        <f aca="false">Serving!$C$9</f>
        <v>0.1</v>
      </c>
      <c r="AC56" s="66" t="n">
        <f aca="false">Serving!$C$9</f>
        <v>0.1</v>
      </c>
      <c r="AD56" s="66" t="n">
        <f aca="false">Serving!$C$9</f>
        <v>0.1</v>
      </c>
      <c r="AE56" s="66" t="n">
        <f aca="false">Serving!$C$9</f>
        <v>0.1</v>
      </c>
      <c r="AF56" s="66" t="n">
        <f aca="false">Serving!$C$9</f>
        <v>0.1</v>
      </c>
      <c r="AG56" s="66" t="n">
        <f aca="false">Serving!$C$9</f>
        <v>0.1</v>
      </c>
      <c r="AH56" s="66" t="n">
        <f aca="false">Serving!$C$9</f>
        <v>0.1</v>
      </c>
    </row>
    <row r="57" customFormat="false" ht="15" hidden="false" customHeight="false" outlineLevel="0" collapsed="false">
      <c r="A57" s="61" t="s">
        <v>951</v>
      </c>
      <c r="B57" s="62" t="s">
        <v>127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  <c r="T57" s="66" t="n">
        <f aca="false">Serving!$C$10</f>
        <v>0.2</v>
      </c>
      <c r="U57" s="66" t="n">
        <f aca="false">Serving!$C$10</f>
        <v>0.2</v>
      </c>
      <c r="V57" s="66" t="n">
        <f aca="false">Serving!$C$10</f>
        <v>0.2</v>
      </c>
      <c r="W57" s="66" t="n">
        <f aca="false">Serving!$C$10</f>
        <v>0.2</v>
      </c>
      <c r="X57" s="66" t="n">
        <f aca="false">Serving!$C$10</f>
        <v>0.2</v>
      </c>
      <c r="Y57" s="66" t="n">
        <f aca="false">Serving!$C$10</f>
        <v>0.2</v>
      </c>
      <c r="Z57" s="66" t="n">
        <f aca="false">Serving!$C$10</f>
        <v>0.2</v>
      </c>
      <c r="AA57" s="66" t="n">
        <f aca="false">Serving!$C$10</f>
        <v>0.2</v>
      </c>
      <c r="AB57" s="66" t="n">
        <f aca="false">Serving!$C$10</f>
        <v>0.2</v>
      </c>
      <c r="AC57" s="66" t="n">
        <f aca="false">Serving!$C$10</f>
        <v>0.2</v>
      </c>
      <c r="AD57" s="66" t="n">
        <f aca="false">Serving!$C$10</f>
        <v>0.2</v>
      </c>
      <c r="AE57" s="66" t="n">
        <f aca="false">Serving!$C$10</f>
        <v>0.2</v>
      </c>
      <c r="AF57" s="66" t="n">
        <f aca="false">Serving!$C$10</f>
        <v>0.2</v>
      </c>
      <c r="AG57" s="66" t="n">
        <f aca="false">Serving!$C$10</f>
        <v>0.2</v>
      </c>
      <c r="AH57" s="66" t="n">
        <f aca="false">Serving!$C$10</f>
        <v>0.2</v>
      </c>
    </row>
    <row r="58" customFormat="false" ht="15" hidden="false" customHeight="false" outlineLevel="0" collapsed="false">
      <c r="A58" s="61" t="s">
        <v>952</v>
      </c>
      <c r="B58" s="62" t="s">
        <v>127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  <c r="T58" s="66" t="n">
        <f aca="false">Serving!$C$11</f>
        <v>0.4</v>
      </c>
      <c r="U58" s="66" t="n">
        <f aca="false">Serving!$C$11</f>
        <v>0.4</v>
      </c>
      <c r="V58" s="66" t="n">
        <f aca="false">Serving!$C$11</f>
        <v>0.4</v>
      </c>
      <c r="W58" s="66" t="n">
        <f aca="false">Serving!$C$11</f>
        <v>0.4</v>
      </c>
      <c r="X58" s="66" t="n">
        <f aca="false">Serving!$C$11</f>
        <v>0.4</v>
      </c>
      <c r="Y58" s="66" t="n">
        <f aca="false">Serving!$C$11</f>
        <v>0.4</v>
      </c>
      <c r="Z58" s="66" t="n">
        <f aca="false">Serving!$C$11</f>
        <v>0.4</v>
      </c>
      <c r="AA58" s="66" t="n">
        <f aca="false">Serving!$C$11</f>
        <v>0.4</v>
      </c>
      <c r="AB58" s="66" t="n">
        <f aca="false">Serving!$C$11</f>
        <v>0.4</v>
      </c>
      <c r="AC58" s="66" t="n">
        <f aca="false">Serving!$C$11</f>
        <v>0.4</v>
      </c>
      <c r="AD58" s="66" t="n">
        <f aca="false">Serving!$C$11</f>
        <v>0.4</v>
      </c>
      <c r="AE58" s="66" t="n">
        <f aca="false">Serving!$C$11</f>
        <v>0.4</v>
      </c>
      <c r="AF58" s="66" t="n">
        <f aca="false">Serving!$C$11</f>
        <v>0.4</v>
      </c>
      <c r="AG58" s="66" t="n">
        <f aca="false">Serving!$C$11</f>
        <v>0.4</v>
      </c>
      <c r="AH58" s="66" t="n">
        <f aca="false">Serving!$C$11</f>
        <v>0.4</v>
      </c>
    </row>
    <row r="59" customFormat="false" ht="15" hidden="false" customHeight="false" outlineLevel="0" collapsed="false">
      <c r="A59" s="62" t="s">
        <v>953</v>
      </c>
      <c r="B59" s="62" t="s">
        <v>311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954</v>
      </c>
      <c r="B60" s="62" t="s">
        <v>127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  <c r="T60" s="66" t="n">
        <f aca="false">Serving!$C$13</f>
        <v>0.7</v>
      </c>
      <c r="U60" s="66" t="n">
        <f aca="false">Serving!$C$13</f>
        <v>0.7</v>
      </c>
      <c r="V60" s="66" t="n">
        <f aca="false">Serving!$C$13</f>
        <v>0.7</v>
      </c>
      <c r="W60" s="66" t="n">
        <f aca="false">Serving!$C$13</f>
        <v>0.7</v>
      </c>
      <c r="X60" s="66" t="n">
        <f aca="false">Serving!$C$13</f>
        <v>0.7</v>
      </c>
      <c r="Y60" s="66" t="n">
        <f aca="false">Serving!$C$13</f>
        <v>0.7</v>
      </c>
      <c r="Z60" s="66" t="n">
        <f aca="false">Serving!$C$13</f>
        <v>0.7</v>
      </c>
      <c r="AA60" s="66" t="n">
        <f aca="false">Serving!$C$13</f>
        <v>0.7</v>
      </c>
      <c r="AB60" s="66" t="n">
        <f aca="false">Serving!$C$13</f>
        <v>0.7</v>
      </c>
      <c r="AC60" s="66" t="n">
        <f aca="false">Serving!$C$13</f>
        <v>0.7</v>
      </c>
      <c r="AD60" s="66" t="n">
        <f aca="false">Serving!$C$13</f>
        <v>0.7</v>
      </c>
      <c r="AE60" s="66" t="n">
        <f aca="false">Serving!$C$13</f>
        <v>0.7</v>
      </c>
      <c r="AF60" s="66" t="n">
        <f aca="false">Serving!$C$13</f>
        <v>0.7</v>
      </c>
      <c r="AG60" s="66" t="n">
        <f aca="false">Serving!$C$13</f>
        <v>0.7</v>
      </c>
      <c r="AH60" s="66" t="n">
        <f aca="false">Serving!$C$13</f>
        <v>0.7</v>
      </c>
    </row>
    <row r="61" customFormat="false" ht="15" hidden="false" customHeight="false" outlineLevel="0" collapsed="false">
      <c r="A61" s="62" t="s">
        <v>955</v>
      </c>
      <c r="B61" s="62" t="s">
        <v>127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  <c r="T61" s="66" t="n">
        <f aca="false">Serving!$C$14</f>
        <v>0.7</v>
      </c>
      <c r="U61" s="66" t="n">
        <f aca="false">Serving!$C$14</f>
        <v>0.7</v>
      </c>
      <c r="V61" s="66" t="n">
        <f aca="false">Serving!$C$14</f>
        <v>0.7</v>
      </c>
      <c r="W61" s="66" t="n">
        <f aca="false">Serving!$C$14</f>
        <v>0.7</v>
      </c>
      <c r="X61" s="66" t="n">
        <f aca="false">Serving!$C$14</f>
        <v>0.7</v>
      </c>
      <c r="Y61" s="66" t="n">
        <f aca="false">Serving!$C$14</f>
        <v>0.7</v>
      </c>
      <c r="Z61" s="66" t="n">
        <f aca="false">Serving!$C$14</f>
        <v>0.7</v>
      </c>
      <c r="AA61" s="66" t="n">
        <f aca="false">Serving!$C$14</f>
        <v>0.7</v>
      </c>
      <c r="AB61" s="66" t="n">
        <f aca="false">Serving!$C$14</f>
        <v>0.7</v>
      </c>
      <c r="AC61" s="66" t="n">
        <f aca="false">Serving!$C$14</f>
        <v>0.7</v>
      </c>
      <c r="AD61" s="66" t="n">
        <f aca="false">Serving!$C$14</f>
        <v>0.7</v>
      </c>
      <c r="AE61" s="66" t="n">
        <f aca="false">Serving!$C$14</f>
        <v>0.7</v>
      </c>
      <c r="AF61" s="66" t="n">
        <f aca="false">Serving!$C$14</f>
        <v>0.7</v>
      </c>
      <c r="AG61" s="66" t="n">
        <f aca="false">Serving!$C$14</f>
        <v>0.7</v>
      </c>
      <c r="AH61" s="66" t="n">
        <f aca="false">Serving!$C$14</f>
        <v>0.7</v>
      </c>
    </row>
    <row r="62" customFormat="false" ht="15" hidden="false" customHeight="false" outlineLevel="0" collapsed="false">
      <c r="A62" s="61" t="s">
        <v>956</v>
      </c>
      <c r="B62" s="62" t="s">
        <v>532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7" t="s">
        <v>957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</row>
    <row r="64" customFormat="false" ht="15" hidden="false" customHeight="false" outlineLevel="0" collapsed="false">
      <c r="A64" s="62" t="s">
        <v>958</v>
      </c>
      <c r="B64" s="62" t="s">
        <v>333</v>
      </c>
      <c r="C64" s="69" t="n">
        <f aca="false">C36*IF(C37=0,C45,MIN(C45,C37))+(1-C36)*(C45/C38+C39)</f>
        <v>2212.32</v>
      </c>
      <c r="D64" s="69" t="n">
        <f aca="false">D36*IF(D37=0,D45,MIN(D45,D37))+(1-D36)*(D45/D38+D39)</f>
        <v>2212.32</v>
      </c>
      <c r="E64" s="69" t="n">
        <f aca="false">E36*IF(E37=0,E45,MIN(E45,E37))+(1-E36)*(E45/E38+E39)</f>
        <v>2212.32</v>
      </c>
      <c r="F64" s="69" t="n">
        <f aca="false">F36*IF(F37=0,F45,MIN(F45,F37))+(1-F36)*(F45/F38+F39)</f>
        <v>2212.32</v>
      </c>
      <c r="G64" s="69" t="n">
        <f aca="false">G36*IF(G37=0,G45,MIN(G45,G37))+(1-G36)*(G45/G38+G39)</f>
        <v>2212.32</v>
      </c>
      <c r="H64" s="69" t="n">
        <f aca="false">H36*IF(H37=0,H45,MIN(H45,H37))+(1-H36)*(H45/H38+H39)</f>
        <v>2212.32</v>
      </c>
      <c r="I64" s="69" t="n">
        <f aca="false">I36*IF(I37=0,I45,MIN(I45,I37))+(1-I36)*(I45/I38+I39)</f>
        <v>2212.32</v>
      </c>
      <c r="J64" s="69" t="n">
        <f aca="false">J36*IF(J37=0,J45,MIN(J45,J37))+(1-J36)*(J45/J38+J39)</f>
        <v>2212.32</v>
      </c>
      <c r="K64" s="69" t="n">
        <f aca="false">K36*IF(K37=0,K45,MIN(K45,K37))+(1-K36)*(K45/K38+K39)</f>
        <v>2212.32</v>
      </c>
      <c r="L64" s="69" t="n">
        <f aca="false">L36*IF(L37=0,L45,MIN(L45,L37))+(1-L36)*(L45/L38+L39)</f>
        <v>2212.32</v>
      </c>
      <c r="M64" s="69" t="n">
        <f aca="false">M36*IF(M37=0,M45,MIN(M45,M37))+(1-M36)*(M45/M38+M39)</f>
        <v>2212.32</v>
      </c>
      <c r="N64" s="69" t="n">
        <f aca="false">N36*IF(N37=0,N45,MIN(N45,N37))+(1-N36)*(N45/N38+N39)</f>
        <v>2212.32</v>
      </c>
      <c r="O64" s="69" t="n">
        <f aca="false">O36*IF(O37=0,O45,MIN(O45,O37))+(1-O36)*(O45/O38+O39)</f>
        <v>2212.32</v>
      </c>
      <c r="P64" s="69" t="n">
        <f aca="false">P36*IF(P37=0,P45,MIN(P45,P37))+(1-P36)*(P45/P38+P39)</f>
        <v>2212.32</v>
      </c>
      <c r="Q64" s="69" t="n">
        <f aca="false">Q36*IF(Q37=0,Q45,MIN(Q45,Q37))+(1-Q36)*(Q45/Q38+Q39)</f>
        <v>2212.32</v>
      </c>
      <c r="R64" s="69" t="n">
        <f aca="false">R36*IF(R37=0,R45,MIN(R45,R37))+(1-R36)*(R45/R38+R39)</f>
        <v>2212.32</v>
      </c>
      <c r="S64" s="69" t="n">
        <f aca="false">S36*IF(S37=0,S45,MIN(S45,S37))+(1-S36)*(S45/S38+S39)</f>
        <v>2212.32</v>
      </c>
      <c r="T64" s="69" t="n">
        <f aca="false">T36*IF(T37=0,T45,MIN(T45,T37))+(1-T36)*(T45/T38+T39)</f>
        <v>2212.32</v>
      </c>
      <c r="U64" s="69" t="n">
        <f aca="false">U36*IF(U37=0,U45,MIN(U45,U37))+(1-U36)*(U45/U38+U39)</f>
        <v>2212.32</v>
      </c>
      <c r="V64" s="69" t="n">
        <f aca="false">V36*IF(V37=0,V45,MIN(V45,V37))+(1-V36)*(V45/V38+V39)</f>
        <v>2212.32</v>
      </c>
      <c r="W64" s="69" t="n">
        <f aca="false">W36*IF(W37=0,W45,MIN(W45,W37))+(1-W36)*(W45/W38+W39)</f>
        <v>2163.552</v>
      </c>
      <c r="X64" s="69" t="n">
        <f aca="false">X36*IF(X37=0,X45,MIN(X45,X37))+(1-X36)*(X45/X38+X39)</f>
        <v>2163.552</v>
      </c>
      <c r="Y64" s="69" t="n">
        <f aca="false">Y36*IF(Y37=0,Y45,MIN(Y45,Y37))+(1-Y36)*(Y45/Y38+Y39)</f>
        <v>2407.392</v>
      </c>
      <c r="Z64" s="69" t="n">
        <f aca="false">Z36*IF(Z37=0,Z45,MIN(Z45,Z37))+(1-Z36)*(Z45/Z38+Z39)</f>
        <v>2407.392</v>
      </c>
      <c r="AA64" s="69" t="n">
        <f aca="false">AA36*IF(AA37=0,AA45,MIN(AA45,AA37))+(1-AA36)*(AA45/AA38+AA39)</f>
        <v>2212.32</v>
      </c>
      <c r="AB64" s="69" t="n">
        <f aca="false">AB36*IF(AB37=0,AB45,MIN(AB45,AB37))+(1-AB36)*(AB45/AB38+AB39)</f>
        <v>2212.32</v>
      </c>
      <c r="AC64" s="69" t="n">
        <f aca="false">AC36*IF(AC37=0,AC45,MIN(AC45,AC37))+(1-AC36)*(AC45/AC38+AC39)</f>
        <v>34816</v>
      </c>
      <c r="AD64" s="69" t="n">
        <f aca="false">AD36*IF(AD37=0,AD45,MIN(AD45,AD37))+(1-AD36)*(AD45/AD38+AD39)</f>
        <v>34816</v>
      </c>
      <c r="AE64" s="69" t="n">
        <f aca="false">AE36*IF(AE37=0,AE45,MIN(AE45,AE37))+(1-AE36)*(AE45/AE38+AE39)</f>
        <v>34816</v>
      </c>
      <c r="AF64" s="69" t="n">
        <f aca="false">AF36*IF(AF37=0,AF45,MIN(AF45,AF37))+(1-AF36)*(AF45/AF38+AF39)</f>
        <v>34816</v>
      </c>
      <c r="AG64" s="69" t="n">
        <f aca="false">AG36*IF(AG37=0,AG45,MIN(AG45,AG37))+(1-AG36)*(AG45/AG38+AG39)</f>
        <v>34816</v>
      </c>
      <c r="AH64" s="69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565</v>
      </c>
      <c r="B65" s="62" t="s">
        <v>566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959</v>
      </c>
      <c r="B66" s="62" t="s">
        <v>333</v>
      </c>
      <c r="C66" s="69" t="n">
        <f aca="false">C36*IF(C37=0,C46,MIN(C46,C37))+(1-C36)*(C46/C38+C39)</f>
        <v>2175.744</v>
      </c>
      <c r="D66" s="69" t="n">
        <f aca="false">D36*IF(D37=0,D46,MIN(D46,D37))+(1-D36)*(D46/D38+D39)</f>
        <v>2175.744</v>
      </c>
      <c r="E66" s="69" t="n">
        <f aca="false">E36*IF(E37=0,E46,MIN(E46,E37))+(1-E36)*(E46/E38+E39)</f>
        <v>2175.744</v>
      </c>
      <c r="F66" s="69" t="n">
        <f aca="false">F36*IF(F37=0,F46,MIN(F46,F37))+(1-F36)*(F46/F38+F39)</f>
        <v>2175.744</v>
      </c>
      <c r="G66" s="69" t="n">
        <f aca="false">G36*IF(G37=0,G46,MIN(G46,G37))+(1-G36)*(G46/G38+G39)</f>
        <v>2175.744</v>
      </c>
      <c r="H66" s="69" t="n">
        <f aca="false">H36*IF(H37=0,H46,MIN(H46,H37))+(1-H36)*(H46/H38+H39)</f>
        <v>2175.744</v>
      </c>
      <c r="I66" s="69" t="n">
        <f aca="false">I36*IF(I37=0,I46,MIN(I46,I37))+(1-I36)*(I46/I38+I39)</f>
        <v>2175.744</v>
      </c>
      <c r="J66" s="69" t="n">
        <f aca="false">J36*IF(J37=0,J46,MIN(J46,J37))+(1-J36)*(J46/J38+J39)</f>
        <v>2175.744</v>
      </c>
      <c r="K66" s="69" t="n">
        <f aca="false">K36*IF(K37=0,K46,MIN(K46,K37))+(1-K36)*(K46/K38+K39)</f>
        <v>2175.744</v>
      </c>
      <c r="L66" s="69" t="n">
        <f aca="false">L36*IF(L37=0,L46,MIN(L46,L37))+(1-L36)*(L46/L38+L39)</f>
        <v>2175.744</v>
      </c>
      <c r="M66" s="69" t="n">
        <f aca="false">M36*IF(M37=0,M46,MIN(M46,M37))+(1-M36)*(M46/M38+M39)</f>
        <v>2175.744</v>
      </c>
      <c r="N66" s="69" t="n">
        <f aca="false">N36*IF(N37=0,N46,MIN(N46,N37))+(1-N36)*(N46/N38+N39)</f>
        <v>2175.744</v>
      </c>
      <c r="O66" s="69" t="n">
        <f aca="false">O36*IF(O37=0,O46,MIN(O46,O37))+(1-O36)*(O46/O38+O39)</f>
        <v>2175.744</v>
      </c>
      <c r="P66" s="69" t="n">
        <f aca="false">P36*IF(P37=0,P46,MIN(P46,P37))+(1-P36)*(P46/P38+P39)</f>
        <v>2175.744</v>
      </c>
      <c r="Q66" s="69" t="n">
        <f aca="false">Q36*IF(Q37=0,Q46,MIN(Q46,Q37))+(1-Q36)*(Q46/Q38+Q39)</f>
        <v>2175.744</v>
      </c>
      <c r="R66" s="69" t="n">
        <f aca="false">R36*IF(R37=0,R46,MIN(R46,R37))+(1-R36)*(R46/R38+R39)</f>
        <v>2175.744</v>
      </c>
      <c r="S66" s="69" t="n">
        <f aca="false">S36*IF(S37=0,S46,MIN(S46,S37))+(1-S36)*(S46/S38+S39)</f>
        <v>2175.744</v>
      </c>
      <c r="T66" s="69" t="n">
        <f aca="false">T36*IF(T37=0,T46,MIN(T46,T37))+(1-T36)*(T46/T38+T39)</f>
        <v>2175.744</v>
      </c>
      <c r="U66" s="69" t="n">
        <f aca="false">U36*IF(U37=0,U46,MIN(U46,U37))+(1-U36)*(U46/U38+U39)</f>
        <v>2175.744</v>
      </c>
      <c r="V66" s="69" t="n">
        <f aca="false">V36*IF(V37=0,V46,MIN(V46,V37))+(1-V36)*(V46/V38+V39)</f>
        <v>2175.744</v>
      </c>
      <c r="W66" s="69" t="n">
        <f aca="false">W36*IF(W37=0,W46,MIN(W46,W37))+(1-W36)*(W46/W38+W39)</f>
        <v>1080.768</v>
      </c>
      <c r="X66" s="69" t="n">
        <f aca="false">X36*IF(X37=0,X46,MIN(X46,X37))+(1-X36)*(X46/X38+X39)</f>
        <v>1080.768</v>
      </c>
      <c r="Y66" s="69" t="n">
        <f aca="false">Y36*IF(Y37=0,Y46,MIN(Y46,Y37))+(1-Y36)*(Y46/Y38+Y39)</f>
        <v>2273.28</v>
      </c>
      <c r="Z66" s="69" t="n">
        <f aca="false">Z36*IF(Z37=0,Z46,MIN(Z46,Z37))+(1-Z36)*(Z46/Z38+Z39)</f>
        <v>2273.28</v>
      </c>
      <c r="AA66" s="69" t="n">
        <f aca="false">AA36*IF(AA37=0,AA46,MIN(AA46,AA37))+(1-AA36)*(AA46/AA38+AA39)</f>
        <v>2175.744</v>
      </c>
      <c r="AB66" s="69" t="n">
        <f aca="false">AB36*IF(AB37=0,AB46,MIN(AB46,AB37))+(1-AB36)*(AB46/AB38+AB39)</f>
        <v>2175.744</v>
      </c>
      <c r="AC66" s="69" t="n">
        <f aca="false">AC36*IF(AC37=0,AC46,MIN(AC46,AC37))+(1-AC36)*(AC46/AC38+AC39)</f>
        <v>16384</v>
      </c>
      <c r="AD66" s="69" t="n">
        <f aca="false">AD36*IF(AD37=0,AD46,MIN(AD46,AD37))+(1-AD36)*(AD46/AD38+AD39)</f>
        <v>16384</v>
      </c>
      <c r="AE66" s="69" t="n">
        <f aca="false">AE36*IF(AE37=0,AE46,MIN(AE46,AE37))+(1-AE36)*(AE46/AE38+AE39)</f>
        <v>16384</v>
      </c>
      <c r="AF66" s="69" t="n">
        <f aca="false">AF36*IF(AF37=0,AF46,MIN(AF46,AF37))+(1-AF36)*(AF46/AF38+AF39)</f>
        <v>16384</v>
      </c>
      <c r="AG66" s="69" t="n">
        <f aca="false">AG36*IF(AG37=0,AG46,MIN(AG46,AG37))+(1-AG36)*(AG46/AG38+AG39)</f>
        <v>16384</v>
      </c>
      <c r="AH66" s="69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572</v>
      </c>
      <c r="B67" s="62" t="s">
        <v>566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7" t="s">
        <v>960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</row>
    <row r="69" customFormat="false" ht="15" hidden="false" customHeight="false" outlineLevel="0" collapsed="false">
      <c r="A69" s="61" t="s">
        <v>574</v>
      </c>
      <c r="B69" s="62" t="s">
        <v>529</v>
      </c>
      <c r="C69" s="69" t="n">
        <f aca="false">C15*(1-C56)</f>
        <v>259.2</v>
      </c>
      <c r="D69" s="69" t="n">
        <f aca="false">D15*(1-D56)</f>
        <v>259.2</v>
      </c>
      <c r="E69" s="69" t="n">
        <f aca="false">E15*(1-E56)</f>
        <v>259.2</v>
      </c>
      <c r="F69" s="69" t="n">
        <f aca="false">F15*(1-F56)</f>
        <v>259.2</v>
      </c>
      <c r="G69" s="69" t="n">
        <f aca="false">G15*(1-G56)</f>
        <v>259.2</v>
      </c>
      <c r="H69" s="69" t="n">
        <f aca="false">H15*(1-H56)</f>
        <v>259.2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259.2</v>
      </c>
      <c r="P69" s="69" t="n">
        <f aca="false">P15*(1-P56)</f>
        <v>259.2</v>
      </c>
      <c r="Q69" s="69" t="n">
        <f aca="false">Q15*(1-Q56)</f>
        <v>259.2</v>
      </c>
      <c r="R69" s="69" t="n">
        <f aca="false">R15*(1-R56)</f>
        <v>259.2</v>
      </c>
      <c r="S69" s="69" t="n">
        <f aca="false">S15*(1-S56)</f>
        <v>259.2</v>
      </c>
      <c r="T69" s="69" t="n">
        <f aca="false">T15*(1-T56)</f>
        <v>259.2</v>
      </c>
      <c r="U69" s="69" t="n">
        <f aca="false">U15*(1-U56)</f>
        <v>259.2</v>
      </c>
      <c r="V69" s="69" t="n">
        <f aca="false">V15*(1-V56)</f>
        <v>259.2</v>
      </c>
      <c r="W69" s="69" t="n">
        <f aca="false">W15*(1-W56)</f>
        <v>259.2</v>
      </c>
      <c r="X69" s="69" t="n">
        <f aca="false">X15*(1-X56)</f>
        <v>259.2</v>
      </c>
      <c r="Y69" s="69" t="n">
        <f aca="false">Y15*(1-Y56)</f>
        <v>259.2</v>
      </c>
      <c r="Z69" s="69" t="n">
        <f aca="false">Z15*(1-Z56)</f>
        <v>259.2</v>
      </c>
      <c r="AA69" s="69" t="n">
        <f aca="false">AA15*(1-AA56)</f>
        <v>259.2</v>
      </c>
      <c r="AB69" s="69" t="n">
        <f aca="false">AB15*(1-AB56)</f>
        <v>259.2</v>
      </c>
      <c r="AC69" s="69" t="n">
        <f aca="false">AC15*(1-AC56)</f>
        <v>259.2</v>
      </c>
      <c r="AD69" s="69" t="n">
        <f aca="false">AD15*(1-AD56)</f>
        <v>259.2</v>
      </c>
      <c r="AE69" s="69" t="n">
        <f aca="false">AE15*(1-AE56)</f>
        <v>259.2</v>
      </c>
      <c r="AF69" s="69" t="n">
        <f aca="false">AF15*(1-AF56)</f>
        <v>259.2</v>
      </c>
      <c r="AG69" s="69" t="n">
        <f aca="false">AG15*(1-AG56)</f>
        <v>259.2</v>
      </c>
      <c r="AH69" s="69" t="n">
        <f aca="false">AH15*(1-AH56)</f>
        <v>259.2</v>
      </c>
    </row>
    <row r="70" customFormat="false" ht="15" hidden="false" customHeight="false" outlineLevel="0" collapsed="false">
      <c r="A70" s="61" t="s">
        <v>961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962</v>
      </c>
      <c r="B71" s="62" t="s">
        <v>725</v>
      </c>
      <c r="C71" s="69" t="n">
        <f aca="false">MAX(C18,CEILING(C33*C19/(C58*C69),1))</f>
        <v>32</v>
      </c>
      <c r="D71" s="69" t="n">
        <f aca="false">MAX(D18,CEILING(D33*D19/(D58*D69),1))</f>
        <v>32</v>
      </c>
      <c r="E71" s="69" t="n">
        <f aca="false">MAX(E18,CEILING(E33*E19/(E58*E69),1))</f>
        <v>32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32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32</v>
      </c>
      <c r="P71" s="69" t="n">
        <f aca="false">MAX(P18,CEILING(P33*P19/(P58*P69),1))</f>
        <v>32</v>
      </c>
      <c r="Q71" s="69" t="n">
        <f aca="false">MAX(Q18,CEILING(Q33*Q19/(Q58*Q69),1))</f>
        <v>32</v>
      </c>
      <c r="R71" s="69" t="n">
        <f aca="false">MAX(R18,CEILING(R33*R19/(R58*R69),1))</f>
        <v>32</v>
      </c>
      <c r="S71" s="69" t="n">
        <f aca="false">MAX(S18,CEILING(S33*S19/(S58*S69),1))</f>
        <v>32</v>
      </c>
      <c r="T71" s="69" t="n">
        <f aca="false">MAX(T18,CEILING(T33*T19/(T58*T69),1))</f>
        <v>32</v>
      </c>
      <c r="U71" s="69" t="n">
        <f aca="false">MAX(U18,CEILING(U33*U19/(U58*U69),1))</f>
        <v>32</v>
      </c>
      <c r="V71" s="69" t="n">
        <f aca="false">MAX(V18,CEILING(V33*V19/(V58*V69),1))</f>
        <v>32</v>
      </c>
      <c r="W71" s="69" t="n">
        <f aca="false">MAX(W18,CEILING(W33*W19/(W58*W69),1))</f>
        <v>32</v>
      </c>
      <c r="X71" s="69" t="n">
        <f aca="false">MAX(X18,CEILING(X33*X19/(X58*X69),1))</f>
        <v>32</v>
      </c>
      <c r="Y71" s="69" t="n">
        <f aca="false">MAX(Y18,CEILING(Y33*Y19/(Y58*Y69),1))</f>
        <v>32</v>
      </c>
      <c r="Z71" s="69" t="n">
        <f aca="false">MAX(Z18,CEILING(Z33*Z19/(Z58*Z69),1))</f>
        <v>32</v>
      </c>
      <c r="AA71" s="69" t="n">
        <f aca="false">MAX(AA18,CEILING(AA33*AA19/(AA58*AA69),1))</f>
        <v>32</v>
      </c>
      <c r="AB71" s="69" t="n">
        <f aca="false">MAX(AB18,CEILING(AB33*AB19/(AB58*AB69),1))</f>
        <v>32</v>
      </c>
      <c r="AC71" s="69" t="n">
        <f aca="false">MAX(AC18,CEILING(AC33*AC19/(AC58*AC69),1))</f>
        <v>32</v>
      </c>
      <c r="AD71" s="69" t="n">
        <f aca="false">MAX(AD18,CEILING(AD33*AD19/(AD58*AD69),1))</f>
        <v>32</v>
      </c>
      <c r="AE71" s="69" t="n">
        <f aca="false">MAX(AE18,CEILING(AE33*AE19/(AE58*AE69),1))</f>
        <v>32</v>
      </c>
      <c r="AF71" s="69" t="n">
        <f aca="false">MAX(AF18,CEILING(AF33*AF19/(AF58*AF69),1))</f>
        <v>32</v>
      </c>
      <c r="AG71" s="69" t="n">
        <f aca="false">MAX(AG18,CEILING(AG33*AG19/(AG58*AG69),1))</f>
        <v>32</v>
      </c>
      <c r="AH71" s="69" t="n">
        <f aca="false">MAX(AH18,CEILING(AH33*AH19/(AH58*AH69),1))</f>
        <v>32</v>
      </c>
    </row>
    <row r="72" customFormat="false" ht="15" hidden="false" customHeight="false" outlineLevel="0" collapsed="false">
      <c r="A72" s="61" t="s">
        <v>580</v>
      </c>
      <c r="B72" s="62" t="s">
        <v>529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963</v>
      </c>
      <c r="B73" s="62" t="s">
        <v>127</v>
      </c>
      <c r="C73" s="86" t="n">
        <f aca="false">C72/C69</f>
        <v>0.185363936980238</v>
      </c>
      <c r="D73" s="86" t="n">
        <f aca="false">D72/D69</f>
        <v>0.185363936980238</v>
      </c>
      <c r="E73" s="86" t="n">
        <f aca="false">E72/E69</f>
        <v>0.185363936980238</v>
      </c>
      <c r="F73" s="86" t="n">
        <f aca="false">F72/F69</f>
        <v>0.185363936980238</v>
      </c>
      <c r="G73" s="86" t="n">
        <f aca="false">G72/G69</f>
        <v>0.185363936980238</v>
      </c>
      <c r="H73" s="86" t="n">
        <f aca="false">H72/H69</f>
        <v>0.185363936980238</v>
      </c>
      <c r="I73" s="86" t="n">
        <f aca="false">I72/I69</f>
        <v>0.185363936980238</v>
      </c>
      <c r="J73" s="86" t="n">
        <f aca="false">J72/J69</f>
        <v>0.185363936980238</v>
      </c>
      <c r="K73" s="86" t="n">
        <f aca="false">K72/K69</f>
        <v>0.185363936980238</v>
      </c>
      <c r="L73" s="86" t="n">
        <f aca="false">L72/L69</f>
        <v>0.185363936980238</v>
      </c>
      <c r="M73" s="86" t="n">
        <f aca="false">M72/M69</f>
        <v>0.185363936980238</v>
      </c>
      <c r="N73" s="86" t="n">
        <f aca="false">N72/N69</f>
        <v>0.185363936980238</v>
      </c>
      <c r="O73" s="86" t="n">
        <f aca="false">O72/O69</f>
        <v>0.185363936980238</v>
      </c>
      <c r="P73" s="86" t="n">
        <f aca="false">P72/P69</f>
        <v>0.185363936980238</v>
      </c>
      <c r="Q73" s="86" t="n">
        <f aca="false">Q72/Q69</f>
        <v>0.185363936980238</v>
      </c>
      <c r="R73" s="86" t="n">
        <f aca="false">R72/R69</f>
        <v>0.185363936980238</v>
      </c>
      <c r="S73" s="86" t="n">
        <f aca="false">S72/S69</f>
        <v>0.185363936980238</v>
      </c>
      <c r="T73" s="86" t="n">
        <f aca="false">T72/T69</f>
        <v>0.185363936980238</v>
      </c>
      <c r="U73" s="86" t="n">
        <f aca="false">U72/U69</f>
        <v>0.185363936980238</v>
      </c>
      <c r="V73" s="86" t="n">
        <f aca="false">V72/V69</f>
        <v>0.185363936980238</v>
      </c>
      <c r="W73" s="86" t="n">
        <f aca="false">W72/W69</f>
        <v>0.185363936980238</v>
      </c>
      <c r="X73" s="86" t="n">
        <f aca="false">X72/X69</f>
        <v>0.185363936980238</v>
      </c>
      <c r="Y73" s="86" t="n">
        <f aca="false">Y72/Y69</f>
        <v>0.185363936980238</v>
      </c>
      <c r="Z73" s="86" t="n">
        <f aca="false">Z72/Z69</f>
        <v>0.185363936980238</v>
      </c>
      <c r="AA73" s="86" t="n">
        <f aca="false">AA72/AA69</f>
        <v>0.185363936980238</v>
      </c>
      <c r="AB73" s="86" t="n">
        <f aca="false">AB72/AB69</f>
        <v>0.185363936980238</v>
      </c>
      <c r="AC73" s="86" t="n">
        <f aca="false">AC72/AC69</f>
        <v>0.45726264154517</v>
      </c>
      <c r="AD73" s="86" t="n">
        <f aca="false">AD72/AD69</f>
        <v>0.45726264154517</v>
      </c>
      <c r="AE73" s="86" t="n">
        <f aca="false">AE72/AE69</f>
        <v>0.45726264154517</v>
      </c>
      <c r="AF73" s="86" t="n">
        <f aca="false">AF72/AF69</f>
        <v>0.45726264154517</v>
      </c>
      <c r="AG73" s="86" t="n">
        <f aca="false">AG72/AG69</f>
        <v>0.45726264154517</v>
      </c>
      <c r="AH73" s="86" t="n">
        <f aca="false">AH72/AH69</f>
        <v>0.45726264154517</v>
      </c>
    </row>
    <row r="74" customFormat="false" ht="15" hidden="false" customHeight="false" outlineLevel="0" collapsed="false">
      <c r="A74" s="77" t="s">
        <v>965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</row>
    <row r="75" customFormat="false" ht="15" hidden="false" customHeight="false" outlineLevel="0" collapsed="false">
      <c r="A75" s="62" t="s">
        <v>966</v>
      </c>
      <c r="B75" s="62" t="s">
        <v>414</v>
      </c>
      <c r="C75" s="69" t="n">
        <f aca="false">C51*C14*1000000000000000/(C67*1000000000)</f>
        <v>79071.116297521</v>
      </c>
      <c r="D75" s="69" t="n">
        <f aca="false">D51*D14*1000000000000000/(D67*1000000000)</f>
        <v>33887.6212703662</v>
      </c>
      <c r="E75" s="69" t="n">
        <f aca="false">E51*E14*1000000000000000/(E67*1000000000)</f>
        <v>79071.116297521</v>
      </c>
      <c r="F75" s="69" t="n">
        <f aca="false">F51*F14*1000000000000000/(F67*1000000000)</f>
        <v>33887.6212703662</v>
      </c>
      <c r="G75" s="69" t="n">
        <f aca="false">G51*G14*1000000000000000/(G67*1000000000)</f>
        <v>79071.116297521</v>
      </c>
      <c r="H75" s="69" t="n">
        <f aca="false">H51*H14*1000000000000000/(H67*1000000000)</f>
        <v>33887.6212703662</v>
      </c>
      <c r="I75" s="69" t="n">
        <f aca="false">I51*I14*1000000000000000/(I67*1000000000)</f>
        <v>79071.116297521</v>
      </c>
      <c r="J75" s="69" t="n">
        <f aca="false">J51*J14*1000000000000000/(J67*1000000000)</f>
        <v>33887.6212703662</v>
      </c>
      <c r="K75" s="69" t="n">
        <f aca="false">K51*K14*1000000000000000/(K67*1000000000)</f>
        <v>79071.116297521</v>
      </c>
      <c r="L75" s="69" t="n">
        <f aca="false">L51*L14*1000000000000000/(L67*1000000000)</f>
        <v>33887.6212703662</v>
      </c>
      <c r="M75" s="69" t="n">
        <f aca="false">M51*M14*1000000000000000/(M67*1000000000)</f>
        <v>112958.737567887</v>
      </c>
      <c r="N75" s="69" t="n">
        <f aca="false">N51*N14*1000000000000000/(N67*1000000000)</f>
        <v>33887.6212703662</v>
      </c>
      <c r="O75" s="69" t="n">
        <f aca="false">O51*O14*1000000000000000/(O67*1000000000)</f>
        <v>79071.116297521</v>
      </c>
      <c r="P75" s="69" t="n">
        <f aca="false">P51*P14*1000000000000000/(P67*1000000000)</f>
        <v>33887.6212703662</v>
      </c>
      <c r="Q75" s="69" t="n">
        <f aca="false">Q51*Q14*1000000000000000/(Q67*1000000000)</f>
        <v>79071.116297521</v>
      </c>
      <c r="R75" s="69" t="n">
        <f aca="false">R51*R14*1000000000000000/(R67*1000000000)</f>
        <v>33887.6212703662</v>
      </c>
      <c r="S75" s="69" t="n">
        <f aca="false">S51*S14*1000000000000000/(S67*1000000000)</f>
        <v>79071.116297521</v>
      </c>
      <c r="T75" s="69" t="n">
        <f aca="false">T51*T14*1000000000000000/(T67*1000000000)</f>
        <v>33887.6212703662</v>
      </c>
      <c r="U75" s="69" t="n">
        <f aca="false">U51*U14*1000000000000000/(U67*1000000000)</f>
        <v>79071.116297521</v>
      </c>
      <c r="V75" s="69" t="n">
        <f aca="false">V51*V14*1000000000000000/(V67*1000000000)</f>
        <v>33887.6212703662</v>
      </c>
      <c r="W75" s="69" t="n">
        <f aca="false">W51*W14*1000000000000000/(W67*1000000000)</f>
        <v>91080.7425106535</v>
      </c>
      <c r="X75" s="69" t="n">
        <f aca="false">X51*X14*1000000000000000/(X67*1000000000)</f>
        <v>39034.6039331372</v>
      </c>
      <c r="Y75" s="69" t="n">
        <f aca="false">Y51*Y14*1000000000000000/(Y67*1000000000)</f>
        <v>78153.185474445</v>
      </c>
      <c r="Z75" s="69" t="n">
        <f aca="false">Z51*Z14*1000000000000000/(Z67*1000000000)</f>
        <v>33494.2223461907</v>
      </c>
      <c r="AA75" s="69" t="n">
        <f aca="false">AA51*AA14*1000000000000000/(AA67*1000000000)</f>
        <v>55349.7814082647</v>
      </c>
      <c r="AB75" s="69" t="n">
        <f aca="false">AB51*AB14*1000000000000000/(AB67*1000000000)</f>
        <v>23721.3348892563</v>
      </c>
      <c r="AC75" s="69" t="n">
        <f aca="false">AC51*AC14*1000000000000000/(AC67*1000000000)</f>
        <v>23834.8916576419</v>
      </c>
      <c r="AD75" s="69" t="n">
        <f aca="false">AD51*AD14*1000000000000000/(AD67*1000000000)</f>
        <v>10214.9535675608</v>
      </c>
      <c r="AE75" s="69" t="n">
        <f aca="false">AE51*AE14*1000000000000000/(AE67*1000000000)</f>
        <v>23834.8916576419</v>
      </c>
      <c r="AF75" s="69" t="n">
        <f aca="false">AF51*AF14*1000000000000000/(AF67*1000000000)</f>
        <v>10214.9535675608</v>
      </c>
      <c r="AG75" s="69" t="n">
        <f aca="false">AG51*AG14*1000000000000000/(AG67*1000000000)</f>
        <v>23834.8916576419</v>
      </c>
      <c r="AH75" s="69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967</v>
      </c>
      <c r="B76" s="62" t="s">
        <v>417</v>
      </c>
      <c r="C76" s="78" t="n">
        <f aca="false">(C43*(1-B4_CacheHit))*C67*1000000000/(C51*C14*1000000000000000*C21)</f>
        <v>0.0233106611656346</v>
      </c>
      <c r="D76" s="78" t="n">
        <f aca="false">(D43*(1-B4_CacheHit))*D67*1000000000/(D51*D14*1000000000000000*D21)</f>
        <v>0.054391542719814</v>
      </c>
      <c r="E76" s="78" t="n">
        <f aca="false">(E43*(1-B4_CacheHit))*E67*1000000000/(E51*E14*1000000000000000*E21)</f>
        <v>0.0233106611656346</v>
      </c>
      <c r="F76" s="78" t="n">
        <f aca="false">(F43*(1-B4_CacheHit))*F67*1000000000/(F51*F14*1000000000000000*F21)</f>
        <v>0.054391542719814</v>
      </c>
      <c r="G76" s="78" t="n">
        <f aca="false">(G43*(1-B4_CacheHit))*G67*1000000000/(G51*G14*1000000000000000*G21)</f>
        <v>0.0233106611656346</v>
      </c>
      <c r="H76" s="78" t="n">
        <f aca="false">(H43*(1-B4_CacheHit))*H67*1000000000/(H51*H14*1000000000000000*H21)</f>
        <v>0.054391542719814</v>
      </c>
      <c r="I76" s="78" t="n">
        <f aca="false">(I43*(1-B4_CacheHit))*I67*1000000000/(I51*I14*1000000000000000*I21)</f>
        <v>0.0233106611656346</v>
      </c>
      <c r="J76" s="78" t="n">
        <f aca="false">(J43*(1-B4_CacheHit))*J67*1000000000/(J51*J14*1000000000000000*J21)</f>
        <v>0.054391542719814</v>
      </c>
      <c r="K76" s="78" t="n">
        <f aca="false">(K43*(1-B4_CacheHit))*K67*1000000000/(K51*K14*1000000000000000*K21)</f>
        <v>0.0233106611656346</v>
      </c>
      <c r="L76" s="78" t="n">
        <f aca="false">(L43*(1-B4_CacheHit))*L67*1000000000/(L51*L14*1000000000000000*L21)</f>
        <v>0.054391542719814</v>
      </c>
      <c r="M76" s="78" t="n">
        <f aca="false">(M43*(1-B4_CacheHit))*M67*1000000000/(M51*M14*1000000000000000*M21)</f>
        <v>0.0163174628159442</v>
      </c>
      <c r="N76" s="78" t="n">
        <f aca="false">(N43*(1-B4_CacheHit))*N67*1000000000/(N51*N14*1000000000000000*N21)</f>
        <v>0.054391542719814</v>
      </c>
      <c r="O76" s="78" t="n">
        <f aca="false">(O43*(1-B4_CacheHit))*O67*1000000000/(O51*O14*1000000000000000*O21)</f>
        <v>0.0233106611656346</v>
      </c>
      <c r="P76" s="78" t="n">
        <f aca="false">(P43*(1-B4_CacheHit))*P67*1000000000/(P51*P14*1000000000000000*P21)</f>
        <v>0.054391542719814</v>
      </c>
      <c r="Q76" s="78" t="n">
        <f aca="false">(Q43*(1-B4_CacheHit))*Q67*1000000000/(Q51*Q14*1000000000000000*Q21)</f>
        <v>0.0233106611656346</v>
      </c>
      <c r="R76" s="78" t="n">
        <f aca="false">(R43*(1-B4_CacheHit))*R67*1000000000/(R51*R14*1000000000000000*R21)</f>
        <v>0.054391542719814</v>
      </c>
      <c r="S76" s="78" t="n">
        <f aca="false">(S43*(1-B4_CacheHit))*S67*1000000000/(S51*S14*1000000000000000*S21)</f>
        <v>0.0233106611656346</v>
      </c>
      <c r="T76" s="78" t="n">
        <f aca="false">(T43*(1-B4_CacheHit))*T67*1000000000/(T51*T14*1000000000000000*T21)</f>
        <v>0.054391542719814</v>
      </c>
      <c r="U76" s="78" t="n">
        <f aca="false">(U43*(1-B4_CacheHit))*U67*1000000000/(U51*U14*1000000000000000*U21)</f>
        <v>0.0233106611656346</v>
      </c>
      <c r="V76" s="78" t="n">
        <f aca="false">(V43*(1-B4_CacheHit))*V67*1000000000/(V51*V14*1000000000000000*V21)</f>
        <v>0.054391542719814</v>
      </c>
      <c r="W76" s="78" t="n">
        <f aca="false">(W43*(1-B4_CacheHit))*W67*1000000000/(W51*W14*1000000000000000*W21)</f>
        <v>0.00505924729309383</v>
      </c>
      <c r="X76" s="78" t="n">
        <f aca="false">(X43*(1-B4_CacheHit))*X67*1000000000/(X51*X14*1000000000000000*X21)</f>
        <v>0.0118049103505523</v>
      </c>
      <c r="Y76" s="78" t="n">
        <f aca="false">(Y43*(1-B4_CacheHit))*Y67*1000000000/(Y51*Y14*1000000000000000*Y21)</f>
        <v>0.0943378053657302</v>
      </c>
      <c r="Z76" s="78" t="n">
        <f aca="false">(Z43*(1-B4_CacheHit))*Z67*1000000000/(Z51*Z14*1000000000000000*Z21)</f>
        <v>0.22012154585337</v>
      </c>
      <c r="AA76" s="78" t="n">
        <f aca="false">(AA43*(1-B4_CacheHit))*AA67*1000000000/(AA51*AA14*1000000000000000*AA21)</f>
        <v>0.0333009445223351</v>
      </c>
      <c r="AB76" s="78" t="n">
        <f aca="false">(AB43*(1-B4_CacheHit))*AB67*1000000000/(AB51*AB14*1000000000000000*AB21)</f>
        <v>0.0777022038854486</v>
      </c>
      <c r="AC76" s="78" t="n">
        <f aca="false">(AC43*(1-B4_CacheHit))*AC67*1000000000/(AC51*AC14*1000000000000000*AC21)</f>
        <v>0.154664013285669</v>
      </c>
      <c r="AD76" s="78" t="n">
        <f aca="false">(AD43*(1-B4_CacheHit))*AD67*1000000000/(AD51*AD14*1000000000000000*AD21)</f>
        <v>0.36088269766656</v>
      </c>
      <c r="AE76" s="78" t="n">
        <f aca="false">(AE43*(1-B4_CacheHit))*AE67*1000000000/(AE51*AE14*1000000000000000*AE21)</f>
        <v>0.154664013285669</v>
      </c>
      <c r="AF76" s="78" t="n">
        <f aca="false">(AF43*(1-B4_CacheHit))*AF67*1000000000/(AF51*AF14*1000000000000000*AF21)</f>
        <v>0.36088269766656</v>
      </c>
      <c r="AG76" s="78" t="n">
        <f aca="false">(AG43*(1-B4_CacheHit))*AG67*1000000000/(AG51*AG14*1000000000000000*AG21)</f>
        <v>0.154664013285669</v>
      </c>
      <c r="AH76" s="78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968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7" t="s">
        <v>969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</row>
    <row r="79" customFormat="false" ht="15" hidden="false" customHeight="false" outlineLevel="0" collapsed="false">
      <c r="A79" s="61" t="s">
        <v>970</v>
      </c>
      <c r="B79" s="62" t="s">
        <v>589</v>
      </c>
      <c r="C79" s="73" t="n">
        <f aca="false">C72/C16+(C29+C47)*C55/1000</f>
        <v>12.4997858435238</v>
      </c>
      <c r="D79" s="73" t="n">
        <f aca="false">D72/D16+(D29+D47)*D55/1000</f>
        <v>16.3216531987164</v>
      </c>
      <c r="E79" s="73" t="n">
        <f aca="false">E72/E16+(E29+E47)*E55/1000</f>
        <v>12.4997858435238</v>
      </c>
      <c r="F79" s="73" t="n">
        <f aca="false">F72/F16+(F29+F47)*F55/1000</f>
        <v>16.3216531987164</v>
      </c>
      <c r="G79" s="73" t="n">
        <f aca="false">G72/G16+(G29+G47)*G55/1000</f>
        <v>12.4997858435238</v>
      </c>
      <c r="H79" s="73" t="n">
        <f aca="false">H72/H16+(H29+H47)*H55/1000</f>
        <v>16.3216531987164</v>
      </c>
      <c r="I79" s="73" t="n">
        <f aca="false">I72/I16+(I29+I47)*I55/1000</f>
        <v>9.40502735135683</v>
      </c>
      <c r="J79" s="73" t="n">
        <f aca="false">J72/J16+(J29+J47)*J55/1000</f>
        <v>16.3216531987164</v>
      </c>
      <c r="K79" s="73" t="n">
        <f aca="false">K72/K16+(K29+K47)*K55/1000</f>
        <v>17.6577166638022</v>
      </c>
      <c r="L79" s="73" t="n">
        <f aca="false">L72/L16+(L29+L47)*L55/1000</f>
        <v>16.3216531987164</v>
      </c>
      <c r="M79" s="73" t="n">
        <f aca="false">M72/M16+(M29+M47)*M55/1000</f>
        <v>12.4997858435238</v>
      </c>
      <c r="N79" s="73" t="n">
        <f aca="false">N72/N16+(N29+N47)*N55/1000</f>
        <v>16.3216531987164</v>
      </c>
      <c r="O79" s="73" t="n">
        <f aca="false">O72/O16+(O29+O47)*O55/1000</f>
        <v>12.4997858435238</v>
      </c>
      <c r="P79" s="73" t="n">
        <f aca="false">P72/P16+(P29+P47)*P55/1000</f>
        <v>16.3216531987164</v>
      </c>
      <c r="Q79" s="73" t="n">
        <f aca="false">Q72/Q16+(Q29+Q47)*Q55/1000</f>
        <v>12.4997858435238</v>
      </c>
      <c r="R79" s="73" t="n">
        <f aca="false">R72/R16+(R29+R47)*R55/1000</f>
        <v>16.3216531987164</v>
      </c>
      <c r="S79" s="73" t="n">
        <f aca="false">S72/S16+(S29+S47)*S55/1000</f>
        <v>12.4997858435238</v>
      </c>
      <c r="T79" s="73" t="n">
        <f aca="false">T72/T16+(T29+T47)*T55/1000</f>
        <v>16.3216531987164</v>
      </c>
      <c r="U79" s="73" t="n">
        <f aca="false">U72/U16+(U29+U47)*U55/1000</f>
        <v>12.4997858435238</v>
      </c>
      <c r="V79" s="73" t="n">
        <f aca="false">V72/V16+(V29+V47)*V55/1000</f>
        <v>16.3216531987164</v>
      </c>
      <c r="W79" s="73" t="n">
        <f aca="false">W72/W16+(W29+W47)*W55/1000</f>
        <v>12.4997858435238</v>
      </c>
      <c r="X79" s="73" t="n">
        <f aca="false">X72/X16+(X29+X47)*X55/1000</f>
        <v>16.3216531987164</v>
      </c>
      <c r="Y79" s="73" t="n">
        <f aca="false">Y72/Y16+(Y29+Y47)*Y55/1000</f>
        <v>12.4997858435238</v>
      </c>
      <c r="Z79" s="73" t="n">
        <f aca="false">Z72/Z16+(Z29+Z47)*Z55/1000</f>
        <v>16.3216531987164</v>
      </c>
      <c r="AA79" s="73" t="n">
        <f aca="false">AA72/AA16+(AA29+AA47)*AA55/1000</f>
        <v>16.9208694037624</v>
      </c>
      <c r="AB79" s="73" t="n">
        <f aca="false">AB72/AB16+(AB29+AB47)*AB55/1000</f>
        <v>20.7427367589549</v>
      </c>
      <c r="AC79" s="73" t="n">
        <f aca="false">AC72/AC16+(AC29+AC47)*AC55/1000</f>
        <v>21.989475131794</v>
      </c>
      <c r="AD79" s="73" t="n">
        <f aca="false">AD72/AD16+(AD29+AD47)*AD55/1000</f>
        <v>31.4173994138344</v>
      </c>
      <c r="AE79" s="73" t="n">
        <f aca="false">AE72/AE16+(AE29+AE47)*AE55/1000</f>
        <v>21.989475131794</v>
      </c>
      <c r="AF79" s="73" t="n">
        <f aca="false">AF72/AF16+(AF29+AF47)*AF55/1000</f>
        <v>31.4173994138344</v>
      </c>
      <c r="AG79" s="73" t="n">
        <f aca="false">AG72/AG16+(AG29+AG47)*AG55/1000</f>
        <v>21.989475131794</v>
      </c>
      <c r="AH79" s="73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971</v>
      </c>
      <c r="B80" s="62" t="s">
        <v>589</v>
      </c>
      <c r="C80" s="74" t="n">
        <f aca="false">(C47+1)*C65/(C14*C53)/1000</f>
        <v>0.426319136327043</v>
      </c>
      <c r="D80" s="74" t="n">
        <f aca="false">(D47+1)*D65/(D14*D53)/1000</f>
        <v>0.994744651429766</v>
      </c>
      <c r="E80" s="74" t="n">
        <f aca="false">(E47+1)*E65/(E14*E53)/1000</f>
        <v>0.852638272654085</v>
      </c>
      <c r="F80" s="74" t="n">
        <f aca="false">(F47+1)*F65/(F14*F53)/1000</f>
        <v>0.994744651429766</v>
      </c>
      <c r="G80" s="74" t="n">
        <f aca="false">(G47+1)*G65/(G14*G53)/1000</f>
        <v>0.284212757551362</v>
      </c>
      <c r="H80" s="74" t="n">
        <f aca="false">(H47+1)*H65/(H14*H53)/1000</f>
        <v>0.994744651429766</v>
      </c>
      <c r="I80" s="74" t="n">
        <f aca="false">(I47+1)*I65/(I14*I53)/1000</f>
        <v>0.426319136327043</v>
      </c>
      <c r="J80" s="74" t="n">
        <f aca="false">(J47+1)*J65/(J14*J53)/1000</f>
        <v>0.994744651429766</v>
      </c>
      <c r="K80" s="74" t="n">
        <f aca="false">(K47+1)*K65/(K14*K53)/1000</f>
        <v>0.426319136327043</v>
      </c>
      <c r="L80" s="74" t="n">
        <f aca="false">(L47+1)*L65/(L14*L53)/1000</f>
        <v>0.994744651429766</v>
      </c>
      <c r="M80" s="74" t="n">
        <f aca="false">(M47+1)*M65/(M14*M53)/1000</f>
        <v>0.29842339542893</v>
      </c>
      <c r="N80" s="74" t="n">
        <f aca="false">(N47+1)*N65/(N14*N53)/1000</f>
        <v>0.994744651429766</v>
      </c>
      <c r="O80" s="74" t="n">
        <f aca="false">(O47+1)*O65/(O14*O53)/1000</f>
        <v>0.426319136327043</v>
      </c>
      <c r="P80" s="74" t="n">
        <f aca="false">(P47+1)*P65/(P14*P53)/1000</f>
        <v>0.994744651429766</v>
      </c>
      <c r="Q80" s="74" t="n">
        <f aca="false">(Q47+1)*Q65/(Q14*Q53)/1000</f>
        <v>0.426319136327043</v>
      </c>
      <c r="R80" s="74" t="n">
        <f aca="false">(R47+1)*R65/(R14*R53)/1000</f>
        <v>0.994744651429766</v>
      </c>
      <c r="S80" s="74" t="n">
        <f aca="false">(S47+1)*S65/(S14*S53)/1000</f>
        <v>0.426319136327043</v>
      </c>
      <c r="T80" s="74" t="n">
        <f aca="false">(T47+1)*T65/(T14*T53)/1000</f>
        <v>0.994744651429766</v>
      </c>
      <c r="U80" s="74" t="n">
        <f aca="false">(U47+1)*U65/(U14*U53)/1000</f>
        <v>0.426319136327043</v>
      </c>
      <c r="V80" s="74" t="n">
        <f aca="false">(V47+1)*V65/(V14*V53)/1000</f>
        <v>0.994744651429766</v>
      </c>
      <c r="W80" s="74" t="n">
        <f aca="false">(W47+1)*W65/(W14*W53)/1000</f>
        <v>0.423826496900918</v>
      </c>
      <c r="X80" s="74" t="n">
        <f aca="false">(X47+1)*X65/(X14*X53)/1000</f>
        <v>0.988928492768808</v>
      </c>
      <c r="Y80" s="74" t="n">
        <f aca="false">(Y47+1)*Y65/(Y14*Y53)/1000</f>
        <v>0.436289694031542</v>
      </c>
      <c r="Z80" s="74" t="n">
        <f aca="false">(Z47+1)*Z65/(Z14*Z53)/1000</f>
        <v>1.0180092860736</v>
      </c>
      <c r="AA80" s="74" t="n">
        <f aca="false">(AA47+1)*AA65/(AA14*AA53)/1000</f>
        <v>0.609027337610061</v>
      </c>
      <c r="AB80" s="74" t="n">
        <f aca="false">(AB47+1)*AB65/(AB14*AB53)/1000</f>
        <v>1.42106378775681</v>
      </c>
      <c r="AC80" s="74" t="n">
        <f aca="false">(AC47+1)*AC65/(AC14*AC53)/1000</f>
        <v>1.69767139244238</v>
      </c>
      <c r="AD80" s="74" t="n">
        <f aca="false">(AD47+1)*AD65/(AD14*AD53)/1000</f>
        <v>3.96123324903222</v>
      </c>
      <c r="AE80" s="74" t="n">
        <f aca="false">(AE47+1)*AE65/(AE14*AE53)/1000</f>
        <v>1.69767139244238</v>
      </c>
      <c r="AF80" s="74" t="n">
        <f aca="false">(AF47+1)*AF65/(AF14*AF53)/1000</f>
        <v>3.96123324903222</v>
      </c>
      <c r="AG80" s="74" t="n">
        <f aca="false">(AG47+1)*AG65/(AG14*AG53)/1000</f>
        <v>1.69767139244238</v>
      </c>
      <c r="AH80" s="74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972</v>
      </c>
      <c r="B81" s="62" t="s">
        <v>589</v>
      </c>
      <c r="C81" s="74" t="n">
        <f aca="false">C34*C45/(C16*C60)/1000000000</f>
        <v>0.00448199480519481</v>
      </c>
      <c r="D81" s="74" t="n">
        <f aca="false">D34*D45/(D16*D60)/1000000000</f>
        <v>0.0123254857142857</v>
      </c>
      <c r="E81" s="74" t="n">
        <f aca="false">E34*E45/(E16*E60)/1000000000</f>
        <v>0.00448199480519481</v>
      </c>
      <c r="F81" s="74" t="n">
        <f aca="false">F34*F45/(F16*F60)/1000000000</f>
        <v>0.0123254857142857</v>
      </c>
      <c r="G81" s="74" t="n">
        <f aca="false">G34*G45/(G16*G60)/1000000000</f>
        <v>0.00448199480519481</v>
      </c>
      <c r="H81" s="74" t="n">
        <f aca="false">H34*H45/(H16*H60)/1000000000</f>
        <v>0.0123254857142857</v>
      </c>
      <c r="I81" s="74" t="n">
        <f aca="false">I34*I45/(I16*I60)/1000000000</f>
        <v>0.00448199480519481</v>
      </c>
      <c r="J81" s="74" t="n">
        <f aca="false">J34*J45/(J16*J60)/1000000000</f>
        <v>0.0123254857142857</v>
      </c>
      <c r="K81" s="74" t="n">
        <f aca="false">K34*K45/(K16*K60)/1000000000</f>
        <v>0.00448199480519481</v>
      </c>
      <c r="L81" s="74" t="n">
        <f aca="false">L34*L45/(L16*L60)/1000000000</f>
        <v>0.0123254857142857</v>
      </c>
      <c r="M81" s="74" t="n">
        <f aca="false">M34*M45/(M16*M60)/1000000000</f>
        <v>0.00448199480519481</v>
      </c>
      <c r="N81" s="74" t="n">
        <f aca="false">N34*N45/(N16*N60)/1000000000</f>
        <v>0.0123254857142857</v>
      </c>
      <c r="O81" s="74" t="n">
        <f aca="false">O34*O45/(O16*O60)/1000000000</f>
        <v>0.00448199480519481</v>
      </c>
      <c r="P81" s="74" t="n">
        <f aca="false">P34*P45/(P16*P60)/1000000000</f>
        <v>0.0123254857142857</v>
      </c>
      <c r="Q81" s="74" t="n">
        <f aca="false">Q34*Q45/(Q16*Q60)/1000000000</f>
        <v>0.00448199480519481</v>
      </c>
      <c r="R81" s="74" t="n">
        <f aca="false">R34*R45/(R16*R60)/1000000000</f>
        <v>0.0123254857142857</v>
      </c>
      <c r="S81" s="74" t="n">
        <f aca="false">S34*S45/(S16*S60)/1000000000</f>
        <v>0.00448199480519481</v>
      </c>
      <c r="T81" s="74" t="n">
        <f aca="false">T34*T45/(T16*T60)/1000000000</f>
        <v>0.0123254857142857</v>
      </c>
      <c r="U81" s="74" t="n">
        <f aca="false">U34*U45/(U16*U60)/1000000000</f>
        <v>0.00448199480519481</v>
      </c>
      <c r="V81" s="74" t="n">
        <f aca="false">V34*V45/(V16*V60)/1000000000</f>
        <v>0.0123254857142857</v>
      </c>
      <c r="W81" s="74" t="n">
        <f aca="false">W34*W45/(W16*W60)/1000000000</f>
        <v>0.00131823376623377</v>
      </c>
      <c r="X81" s="74" t="n">
        <f aca="false">X34*X45/(X16*X60)/1000000000</f>
        <v>0.00362514285714286</v>
      </c>
      <c r="Y81" s="74" t="n">
        <f aca="false">Y34*Y45/(Y16*Y60)/1000000000</f>
        <v>0.017137038961039</v>
      </c>
      <c r="Z81" s="74" t="n">
        <f aca="false">Z34*Z45/(Z16*Z60)/1000000000</f>
        <v>0.0471268571428572</v>
      </c>
      <c r="AA81" s="74" t="n">
        <f aca="false">AA34*AA45/(AA16*AA60)/1000000000</f>
        <v>0.00448199480519481</v>
      </c>
      <c r="AB81" s="74" t="n">
        <f aca="false">AB34*AB45/(AB16*AB60)/1000000000</f>
        <v>0.0123254857142857</v>
      </c>
      <c r="AC81" s="74" t="n">
        <f aca="false">AC34*AC45/(AC16*AC60)/1000000000</f>
        <v>0.0338574296103896</v>
      </c>
      <c r="AD81" s="74" t="n">
        <f aca="false">AD34*AD45/(AD16*AD60)/1000000000</f>
        <v>0.0931079314285714</v>
      </c>
      <c r="AE81" s="74" t="n">
        <f aca="false">AE34*AE45/(AE16*AE60)/1000000000</f>
        <v>0.130220883116883</v>
      </c>
      <c r="AF81" s="74" t="n">
        <f aca="false">AF34*AF45/(AF16*AF60)/1000000000</f>
        <v>0.358107428571429</v>
      </c>
      <c r="AG81" s="74" t="n">
        <f aca="false">AG34*AG45/(AG16*AG60)/1000000000</f>
        <v>0.463007584415584</v>
      </c>
      <c r="AH81" s="74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973</v>
      </c>
      <c r="B82" s="62" t="s">
        <v>589</v>
      </c>
      <c r="C82" s="74" t="n">
        <f aca="false">(C47+1)*C29*C31*C30*C59*(C71-1)/C71/(C17*C61)/1000000000</f>
        <v>0.0242048</v>
      </c>
      <c r="D82" s="74" t="n">
        <f aca="false">(D47+1)*D29*D31*D30*D59*(D71-1)/D71/(D17*D61)/1000000000</f>
        <v>0.0484096</v>
      </c>
      <c r="E82" s="74" t="n">
        <f aca="false">(E47+1)*E29*E31*E30*E59*(E71-1)/E71/(E17*E61)/1000000000</f>
        <v>0.0242048</v>
      </c>
      <c r="F82" s="74" t="n">
        <f aca="false">(F47+1)*F29*F31*F30*F59*(F71-1)/F71/(F17*F61)/1000000000</f>
        <v>0.0484096</v>
      </c>
      <c r="G82" s="74" t="n">
        <f aca="false">(G47+1)*G29*G31*G30*G59*(G71-1)/G71/(G17*G61)/1000000000</f>
        <v>0.0242048</v>
      </c>
      <c r="H82" s="74" t="n">
        <f aca="false">(H47+1)*H29*H31*H30*H59*(H71-1)/H71/(H17*H61)/1000000000</f>
        <v>0.0484096</v>
      </c>
      <c r="I82" s="74" t="n">
        <f aca="false">(I47+1)*I29*I31*I30*I59*(I71-1)/I71/(I17*I61)/1000000000</f>
        <v>0.0242048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0.0242048</v>
      </c>
      <c r="L82" s="74" t="n">
        <f aca="false">(L47+1)*L29*L31*L30*L59*(L71-1)/L71/(L17*L61)/1000000000</f>
        <v>0.0484096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0.0484096</v>
      </c>
      <c r="O82" s="74" t="n">
        <f aca="false">(O47+1)*O29*O31*O30*O59*(O71-1)/O71/(O17*O61)/1000000000</f>
        <v>0.0242048</v>
      </c>
      <c r="P82" s="74" t="n">
        <f aca="false">(P47+1)*P29*P31*P30*P59*(P71-1)/P71/(P17*P61)/1000000000</f>
        <v>0.0484096</v>
      </c>
      <c r="Q82" s="74" t="n">
        <f aca="false">(Q47+1)*Q29*Q31*Q30*Q59*(Q71-1)/Q71/(Q17*Q61)/1000000000</f>
        <v>0.0242048</v>
      </c>
      <c r="R82" s="74" t="n">
        <f aca="false">(R47+1)*R29*R31*R30*R59*(R71-1)/R71/(R17*R61)/1000000000</f>
        <v>0.0484096</v>
      </c>
      <c r="S82" s="74" t="n">
        <f aca="false">(S47+1)*S29*S31*S30*S59*(S71-1)/S71/(S17*S61)/1000000000</f>
        <v>0.0242048</v>
      </c>
      <c r="T82" s="74" t="n">
        <f aca="false">(T47+1)*T29*T31*T30*T59*(T71-1)/T71/(T17*T61)/1000000000</f>
        <v>0.0484096</v>
      </c>
      <c r="U82" s="74" t="n">
        <f aca="false">(U47+1)*U29*U31*U30*U59*(U71-1)/U71/(U17*U61)/1000000000</f>
        <v>0.0242048</v>
      </c>
      <c r="V82" s="74" t="n">
        <f aca="false">(V47+1)*V29*V31*V30*V59*(V71-1)/V71/(V17*V61)/1000000000</f>
        <v>0.0484096</v>
      </c>
      <c r="W82" s="74" t="n">
        <f aca="false">(W47+1)*W29*W31*W30*W59*(W71-1)/W71/(W17*W61)/1000000000</f>
        <v>0.0242048</v>
      </c>
      <c r="X82" s="74" t="n">
        <f aca="false">(X47+1)*X29*X31*X30*X59*(X71-1)/X71/(X17*X61)/1000000000</f>
        <v>0.0484096</v>
      </c>
      <c r="Y82" s="74" t="n">
        <f aca="false">(Y47+1)*Y29*Y31*Y30*Y59*(Y71-1)/Y71/(Y17*Y61)/1000000000</f>
        <v>0.0242048</v>
      </c>
      <c r="Z82" s="74" t="n">
        <f aca="false">(Z47+1)*Z29*Z31*Z30*Z59*(Z71-1)/Z71/(Z17*Z61)/1000000000</f>
        <v>0.0484096</v>
      </c>
      <c r="AA82" s="74" t="n">
        <f aca="false">(AA47+1)*AA29*AA31*AA30*AA59*(AA71-1)/AA71/(AA17*AA61)/1000000000</f>
        <v>0.0242048</v>
      </c>
      <c r="AB82" s="74" t="n">
        <f aca="false">(AB47+1)*AB29*AB31*AB30*AB59*(AB71-1)/AB71/(AB17*AB61)/1000000000</f>
        <v>0.0484096</v>
      </c>
      <c r="AC82" s="74" t="n">
        <f aca="false">(AC47+1)*AC29*AC31*AC30*AC59*(AC71-1)/AC71/(AC17*AC61)/1000000000</f>
        <v>0.181394285714286</v>
      </c>
      <c r="AD82" s="74" t="n">
        <f aca="false">(AD47+1)*AD29*AD31*AD30*AD59*(AD71-1)/AD71/(AD17*AD61)/1000000000</f>
        <v>0.362788571428571</v>
      </c>
      <c r="AE82" s="74" t="n">
        <f aca="false">(AE47+1)*AE29*AE31*AE30*AE59*(AE71-1)/AE71/(AE17*AE61)/1000000000</f>
        <v>0.181394285714286</v>
      </c>
      <c r="AF82" s="74" t="n">
        <f aca="false">(AF47+1)*AF29*AF31*AF30*AF59*(AF71-1)/AF71/(AF17*AF61)/1000000000</f>
        <v>0.362788571428571</v>
      </c>
      <c r="AG82" s="74" t="n">
        <f aca="false">(AG47+1)*AG29*AG31*AG30*AG59*(AG71-1)/AG71/(AG17*AG61)/1000000000</f>
        <v>0.181394285714286</v>
      </c>
      <c r="AH82" s="74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974</v>
      </c>
      <c r="B83" s="62" t="s">
        <v>589</v>
      </c>
      <c r="C83" s="74" t="n">
        <f aca="false">MAX(C80,C81,C82)</f>
        <v>0.426319136327043</v>
      </c>
      <c r="D83" s="74" t="n">
        <f aca="false">MAX(D80,D81,D82)</f>
        <v>0.994744651429766</v>
      </c>
      <c r="E83" s="74" t="n">
        <f aca="false">MAX(E80,E81,E82)</f>
        <v>0.852638272654085</v>
      </c>
      <c r="F83" s="74" t="n">
        <f aca="false">MAX(F80,F81,F82)</f>
        <v>0.994744651429766</v>
      </c>
      <c r="G83" s="74" t="n">
        <f aca="false">MAX(G80,G81,G82)</f>
        <v>0.284212757551362</v>
      </c>
      <c r="H83" s="74" t="n">
        <f aca="false">MAX(H80,H81,H82)</f>
        <v>0.994744651429766</v>
      </c>
      <c r="I83" s="74" t="n">
        <f aca="false">MAX(I80,I81,I82)</f>
        <v>0.426319136327043</v>
      </c>
      <c r="J83" s="74" t="n">
        <f aca="false">MAX(J80,J81,J82)</f>
        <v>0.994744651429766</v>
      </c>
      <c r="K83" s="74" t="n">
        <f aca="false">MAX(K80,K81,K82)</f>
        <v>0.426319136327043</v>
      </c>
      <c r="L83" s="74" t="n">
        <f aca="false">MAX(L80,L81,L82)</f>
        <v>0.994744651429766</v>
      </c>
      <c r="M83" s="74" t="n">
        <f aca="false">MAX(M80,M81,M82)</f>
        <v>0.29842339542893</v>
      </c>
      <c r="N83" s="74" t="n">
        <f aca="false">MAX(N80,N81,N82)</f>
        <v>0.994744651429766</v>
      </c>
      <c r="O83" s="74" t="n">
        <f aca="false">MAX(O80,O81,O82)</f>
        <v>0.426319136327043</v>
      </c>
      <c r="P83" s="74" t="n">
        <f aca="false">MAX(P80,P81,P82)</f>
        <v>0.994744651429766</v>
      </c>
      <c r="Q83" s="74" t="n">
        <f aca="false">MAX(Q80,Q81,Q82)</f>
        <v>0.426319136327043</v>
      </c>
      <c r="R83" s="74" t="n">
        <f aca="false">MAX(R80,R81,R82)</f>
        <v>0.994744651429766</v>
      </c>
      <c r="S83" s="74" t="n">
        <f aca="false">MAX(S80,S81,S82)</f>
        <v>0.426319136327043</v>
      </c>
      <c r="T83" s="74" t="n">
        <f aca="false">MAX(T80,T81,T82)</f>
        <v>0.994744651429766</v>
      </c>
      <c r="U83" s="74" t="n">
        <f aca="false">MAX(U80,U81,U82)</f>
        <v>0.426319136327043</v>
      </c>
      <c r="V83" s="74" t="n">
        <f aca="false">MAX(V80,V81,V82)</f>
        <v>0.994744651429766</v>
      </c>
      <c r="W83" s="74" t="n">
        <f aca="false">MAX(W80,W81,W82)</f>
        <v>0.423826496900918</v>
      </c>
      <c r="X83" s="74" t="n">
        <f aca="false">MAX(X80,X81,X82)</f>
        <v>0.988928492768808</v>
      </c>
      <c r="Y83" s="74" t="n">
        <f aca="false">MAX(Y80,Y81,Y82)</f>
        <v>0.436289694031542</v>
      </c>
      <c r="Z83" s="74" t="n">
        <f aca="false">MAX(Z80,Z81,Z82)</f>
        <v>1.0180092860736</v>
      </c>
      <c r="AA83" s="74" t="n">
        <f aca="false">MAX(AA80,AA81,AA82)</f>
        <v>0.609027337610061</v>
      </c>
      <c r="AB83" s="74" t="n">
        <f aca="false">MAX(AB80,AB81,AB82)</f>
        <v>1.42106378775681</v>
      </c>
      <c r="AC83" s="74" t="n">
        <f aca="false">MAX(AC80,AC81,AC82)</f>
        <v>1.69767139244238</v>
      </c>
      <c r="AD83" s="74" t="n">
        <f aca="false">MAX(AD80,AD81,AD82)</f>
        <v>3.96123324903222</v>
      </c>
      <c r="AE83" s="74" t="n">
        <f aca="false">MAX(AE80,AE81,AE82)</f>
        <v>1.69767139244238</v>
      </c>
      <c r="AF83" s="74" t="n">
        <f aca="false">MAX(AF80,AF81,AF82)</f>
        <v>3.96123324903222</v>
      </c>
      <c r="AG83" s="74" t="n">
        <f aca="false">MAX(AG80,AG81,AG82)</f>
        <v>1.69767139244238</v>
      </c>
      <c r="AH83" s="74" t="n">
        <f aca="false">MAX(AH80,AH81,AH82)</f>
        <v>3.96123324903222</v>
      </c>
    </row>
    <row r="84" customFormat="false" ht="15" hidden="false" customHeight="false" outlineLevel="0" collapsed="false">
      <c r="A84" s="61" t="s">
        <v>975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976</v>
      </c>
      <c r="B85" s="61" t="s">
        <v>595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977</v>
      </c>
      <c r="B86" s="61" t="s">
        <v>595</v>
      </c>
      <c r="C86" s="69" t="n">
        <f aca="false">(C69-C72)*1000000000/(C34*C45)</f>
        <v>3059.19076406613</v>
      </c>
      <c r="D86" s="69" t="n">
        <f aca="false">(D69-D72)*1000000000/(D34*D45)</f>
        <v>3059.19076406613</v>
      </c>
      <c r="E86" s="69" t="n">
        <f aca="false">(E69-E72)*1000000000/(E34*E45)</f>
        <v>3059.19076406613</v>
      </c>
      <c r="F86" s="69" t="n">
        <f aca="false">(F69-F72)*1000000000/(F34*F45)</f>
        <v>3059.19076406613</v>
      </c>
      <c r="G86" s="69" t="n">
        <f aca="false">(G69-G72)*1000000000/(G34*G45)</f>
        <v>3059.19076406613</v>
      </c>
      <c r="H86" s="69" t="n">
        <f aca="false">(H69-H72)*1000000000/(H34*H45)</f>
        <v>3059.19076406613</v>
      </c>
      <c r="I86" s="69" t="n">
        <f aca="false">(I69-I72)*1000000000/(I34*I45)</f>
        <v>3059.19076406613</v>
      </c>
      <c r="J86" s="69" t="n">
        <f aca="false">(J69-J72)*1000000000/(J34*J45)</f>
        <v>3059.19076406613</v>
      </c>
      <c r="K86" s="69" t="n">
        <f aca="false">(K69-K72)*1000000000/(K34*K45)</f>
        <v>3059.19076406613</v>
      </c>
      <c r="L86" s="69" t="n">
        <f aca="false">(L69-L72)*1000000000/(L34*L45)</f>
        <v>3059.19076406613</v>
      </c>
      <c r="M86" s="69" t="n">
        <f aca="false">(M69-M72)*1000000000/(M34*M45)</f>
        <v>3059.19076406613</v>
      </c>
      <c r="N86" s="69" t="n">
        <f aca="false">(N69-N72)*1000000000/(N34*N45)</f>
        <v>3059.19076406613</v>
      </c>
      <c r="O86" s="69" t="n">
        <f aca="false">(O69-O72)*1000000000/(O34*O45)</f>
        <v>3059.19076406613</v>
      </c>
      <c r="P86" s="69" t="n">
        <f aca="false">(P69-P72)*1000000000/(P34*P45)</f>
        <v>3059.19076406613</v>
      </c>
      <c r="Q86" s="69" t="n">
        <f aca="false">(Q69-Q72)*1000000000/(Q34*Q45)</f>
        <v>3059.19076406613</v>
      </c>
      <c r="R86" s="69" t="n">
        <f aca="false">(R69-R72)*1000000000/(R34*R45)</f>
        <v>3059.19076406613</v>
      </c>
      <c r="S86" s="69" t="n">
        <f aca="false">(S69-S72)*1000000000/(S34*S45)</f>
        <v>3059.19076406613</v>
      </c>
      <c r="T86" s="69" t="n">
        <f aca="false">(T69-T72)*1000000000/(T34*T45)</f>
        <v>3059.19076406613</v>
      </c>
      <c r="U86" s="69" t="n">
        <f aca="false">(U69-U72)*1000000000/(U34*U45)</f>
        <v>3059.19076406613</v>
      </c>
      <c r="V86" s="69" t="n">
        <f aca="false">(V69-V72)*1000000000/(V34*V45)</f>
        <v>3059.19076406613</v>
      </c>
      <c r="W86" s="69" t="n">
        <f aca="false">(W69-W72)*1000000000/(W34*W45)</f>
        <v>10401.2485978248</v>
      </c>
      <c r="X86" s="69" t="n">
        <f aca="false">(X69-X72)*1000000000/(X34*X45)</f>
        <v>10401.2485978248</v>
      </c>
      <c r="Y86" s="69" t="n">
        <f aca="false">(Y69-Y72)*1000000000/(Y34*Y45)</f>
        <v>800.096045986525</v>
      </c>
      <c r="Z86" s="69" t="n">
        <f aca="false">(Z69-Z72)*1000000000/(Z34*Z45)</f>
        <v>800.096045986525</v>
      </c>
      <c r="AA86" s="69" t="n">
        <f aca="false">(AA69-AA72)*1000000000/(AA34*AA45)</f>
        <v>3059.19076406613</v>
      </c>
      <c r="AB86" s="69" t="n">
        <f aca="false">(AB69-AB72)*1000000000/(AB34*AB45)</f>
        <v>3059.19076406613</v>
      </c>
      <c r="AC86" s="69" t="n">
        <f aca="false">(AC69-AC72)*1000000000/(AC34*AC45)</f>
        <v>269.80500930681</v>
      </c>
      <c r="AD86" s="69" t="n">
        <f aca="false">(AD69-AD72)*1000000000/(AD34*AD45)</f>
        <v>269.80500930681</v>
      </c>
      <c r="AE86" s="69" t="n">
        <f aca="false">(AE69-AE72)*1000000000/(AE34*AE45)</f>
        <v>70.1493024197706</v>
      </c>
      <c r="AF86" s="69" t="n">
        <f aca="false">(AF69-AF72)*1000000000/(AF34*AF45)</f>
        <v>70.1493024197706</v>
      </c>
      <c r="AG86" s="69" t="n">
        <f aca="false">(AG69-AG72)*1000000000/(AG34*AG45)</f>
        <v>19.7294913055605</v>
      </c>
      <c r="AH86" s="69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978</v>
      </c>
      <c r="B87" s="61" t="s">
        <v>595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979</v>
      </c>
      <c r="B88" s="62" t="s">
        <v>414</v>
      </c>
      <c r="C88" s="72" t="n">
        <f aca="false">IF(C87&gt;0,C87*C49/((C79+C87*C83)/1000),0)</f>
        <v>4671.64933537911</v>
      </c>
      <c r="D88" s="72" t="n">
        <f aca="false">IF(D87&gt;0,D87*D49/((D79+D87*D83)/1000),0)</f>
        <v>1835.72948398042</v>
      </c>
      <c r="E88" s="72" t="n">
        <f aca="false">IF(E87&gt;0,E87*E49/((E79+E87*E83)/1000),0)</f>
        <v>2335.82466768956</v>
      </c>
      <c r="F88" s="72" t="n">
        <f aca="false">IF(F87&gt;0,F87*F49/((F79+F87*F83)/1000),0)</f>
        <v>1835.72948398042</v>
      </c>
      <c r="G88" s="72" t="n">
        <f aca="false">IF(G87&gt;0,G87*G49/((G79+G87*G83)/1000),0)</f>
        <v>7007.47400306867</v>
      </c>
      <c r="H88" s="72" t="n">
        <f aca="false">IF(H87&gt;0,H87*H49/((H79+H87*H83)/1000),0)</f>
        <v>1835.72948398042</v>
      </c>
      <c r="I88" s="72" t="n">
        <f aca="false">IF(I87&gt;0,I87*I49/((I79+I87*I83)/1000),0)</f>
        <v>4986.05964454263</v>
      </c>
      <c r="J88" s="72" t="n">
        <f aca="false">IF(J87&gt;0,J87*J49/((J79+J87*J83)/1000),0)</f>
        <v>1835.72948398042</v>
      </c>
      <c r="K88" s="72" t="n">
        <f aca="false">IF(K87&gt;0,K87*K49/((K79+K87*K83)/1000),0)</f>
        <v>4147.63215343991</v>
      </c>
      <c r="L88" s="72" t="n">
        <f aca="false">IF(L87&gt;0,L87*L49/((L79+L87*L83)/1000),0)</f>
        <v>1835.72948398042</v>
      </c>
      <c r="M88" s="72" t="n">
        <f aca="false">IF(M87&gt;0,M87*M49/((M79+M87*M83)/1000),0)</f>
        <v>6673.7847648273</v>
      </c>
      <c r="N88" s="72" t="n">
        <f aca="false">IF(N87&gt;0,N87*N49/((N79+N87*N83)/1000),0)</f>
        <v>1835.72948398042</v>
      </c>
      <c r="O88" s="72" t="n">
        <f aca="false">IF(O87&gt;0,O87*O49/((O79+O87*O83)/1000),0)</f>
        <v>4768.74808805079</v>
      </c>
      <c r="P88" s="72" t="n">
        <f aca="false">IF(P87&gt;0,P87*P49/((P79+P87*P83)/1000),0)</f>
        <v>1890.06683207494</v>
      </c>
      <c r="Q88" s="72" t="n">
        <f aca="false">IF(Q87&gt;0,Q87*Q49/((Q79+Q87*Q83)/1000),0)</f>
        <v>3009.53278030516</v>
      </c>
      <c r="R88" s="72" t="n">
        <f aca="false">IF(R87&gt;0,R87*R49/((R79+R87*R83)/1000),0)</f>
        <v>905.59389169228</v>
      </c>
      <c r="S88" s="72" t="n">
        <f aca="false">IF(S87&gt;0,S87*S49/((S79+S87*S83)/1000),0)</f>
        <v>3834.24850210727</v>
      </c>
      <c r="T88" s="72" t="n">
        <f aca="false">IF(T87&gt;0,T87*T49/((T79+T87*T83)/1000),0)</f>
        <v>1476.8434125782</v>
      </c>
      <c r="U88" s="72" t="n">
        <f aca="false">IF(U87&gt;0,U87*U49/((U79+U87*U83)/1000),0)</f>
        <v>5654.48112568977</v>
      </c>
      <c r="V88" s="72" t="n">
        <f aca="false">IF(V87&gt;0,V87*V49/((V79+V87*V83)/1000),0)</f>
        <v>2256.94310839928</v>
      </c>
      <c r="W88" s="72" t="n">
        <f aca="false">IF(W87&gt;0,W87*W49/((W79+W87*W83)/1000),0)</f>
        <v>4699.12458150823</v>
      </c>
      <c r="X88" s="72" t="n">
        <f aca="false">IF(X87&gt;0,X87*X49/((X79+X87*X83)/1000),0)</f>
        <v>1846.52591063361</v>
      </c>
      <c r="Y88" s="72" t="n">
        <f aca="false">IF(Y87&gt;0,Y87*Y49/((Y79+Y87*Y83)/1000),0)</f>
        <v>4564.88781909581</v>
      </c>
      <c r="Z88" s="72" t="n">
        <f aca="false">IF(Z87&gt;0,Z87*Z49/((Z79+Z87*Z83)/1000),0)</f>
        <v>1793.77743468779</v>
      </c>
      <c r="AA88" s="72" t="n">
        <f aca="false">IF(AA87&gt;0,AA87*AA49/((AA79+AA87*AA83)/1000),0)</f>
        <v>2955.74422560186</v>
      </c>
      <c r="AB88" s="72" t="n">
        <f aca="false">IF(AB87&gt;0,AB87*AB49/((AB79+AB87*AB83)/1000),0)</f>
        <v>1150.2633634305</v>
      </c>
      <c r="AC88" s="72" t="n">
        <f aca="false">IF(AC87&gt;0,AC87*AC49/((AC79+AC87*AC83)/1000),0)</f>
        <v>963.166264709904</v>
      </c>
      <c r="AD88" s="72" t="n">
        <f aca="false">IF(AD87&gt;0,AD87*AD49/((AD79+AD87*AD83)/1000),0)</f>
        <v>315.604954334554</v>
      </c>
      <c r="AE88" s="72" t="n">
        <f aca="false">IF(AE87&gt;0,AE87*AE49/((AE79+AE87*AE83)/1000),0)</f>
        <v>963.166264709904</v>
      </c>
      <c r="AF88" s="72" t="n">
        <f aca="false">IF(AF87&gt;0,AF87*AF49/((AF79+AF87*AF83)/1000),0)</f>
        <v>315.604954334554</v>
      </c>
      <c r="AG88" s="72" t="n">
        <f aca="false">IF(AG87&gt;0,AG87*AG49/((AG79+AG87*AG83)/1000),0)</f>
        <v>900.711924436775</v>
      </c>
      <c r="AH88" s="72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980</v>
      </c>
      <c r="B89" s="62" t="s">
        <v>414</v>
      </c>
      <c r="C89" s="69" t="n">
        <f aca="false">IF(C87&gt;0,C49/((C79+C87*C83)/1000),0)</f>
        <v>43.31166124729</v>
      </c>
      <c r="D89" s="69" t="n">
        <f aca="false">IF(D87&gt;0,D49/((D79+D87*D83)/1000),0)</f>
        <v>43.31166124729</v>
      </c>
      <c r="E89" s="69" t="n">
        <f aca="false">IF(E87&gt;0,E49/((E79+E87*E83)/1000),0)</f>
        <v>43.31166124729</v>
      </c>
      <c r="F89" s="69" t="n">
        <f aca="false">IF(F87&gt;0,F49/((F79+F87*F83)/1000),0)</f>
        <v>43.31166124729</v>
      </c>
      <c r="G89" s="69" t="n">
        <f aca="false">IF(G87&gt;0,G49/((G79+G87*G83)/1000),0)</f>
        <v>43.31166124729</v>
      </c>
      <c r="H89" s="69" t="n">
        <f aca="false">IF(H87&gt;0,H49/((H79+H87*H83)/1000),0)</f>
        <v>43.31166124729</v>
      </c>
      <c r="I89" s="69" t="n">
        <f aca="false">IF(I87&gt;0,I49/((I79+I87*I83)/1000),0)</f>
        <v>43.31166124729</v>
      </c>
      <c r="J89" s="69" t="n">
        <f aca="false">IF(J87&gt;0,J49/((J79+J87*J83)/1000),0)</f>
        <v>43.31166124729</v>
      </c>
      <c r="K89" s="69" t="n">
        <f aca="false">IF(K87&gt;0,K49/((K79+K87*K83)/1000),0)</f>
        <v>43.31166124729</v>
      </c>
      <c r="L89" s="69" t="n">
        <f aca="false">IF(L87&gt;0,L49/((L79+L87*L83)/1000),0)</f>
        <v>43.31166124729</v>
      </c>
      <c r="M89" s="69" t="n">
        <f aca="false">IF(M87&gt;0,M49/((M79+M87*M83)/1000),0)</f>
        <v>43.31166124729</v>
      </c>
      <c r="N89" s="69" t="n">
        <f aca="false">IF(N87&gt;0,N49/((N79+N87*N83)/1000),0)</f>
        <v>43.31166124729</v>
      </c>
      <c r="O89" s="69" t="n">
        <f aca="false">IF(O87&gt;0,O49/((O79+O87*O83)/1000),0)</f>
        <v>40</v>
      </c>
      <c r="P89" s="69" t="n">
        <f aca="false">IF(P87&gt;0,P49/((P79+P87*P83)/1000),0)</f>
        <v>40</v>
      </c>
      <c r="Q89" s="69" t="n">
        <f aca="false">IF(Q87&gt;0,Q49/((Q79+Q87*Q83)/1000),0)</f>
        <v>100</v>
      </c>
      <c r="R89" s="69" t="n">
        <f aca="false">IF(R87&gt;0,R49/((R79+R87*R83)/1000),0)</f>
        <v>100</v>
      </c>
      <c r="S89" s="69" t="n">
        <f aca="false">IF(S87&gt;0,S49/((S79+S87*S83)/1000),0)</f>
        <v>43.31166124729</v>
      </c>
      <c r="T89" s="69" t="n">
        <f aca="false">IF(T87&gt;0,T49/((T79+T87*T83)/1000),0)</f>
        <v>43.31166124729</v>
      </c>
      <c r="U89" s="69" t="n">
        <f aca="false">IF(U87&gt;0,U49/((U79+U87*U83)/1000),0)</f>
        <v>43.31166124729</v>
      </c>
      <c r="V89" s="69" t="n">
        <f aca="false">IF(V87&gt;0,V49/((V79+V87*V83)/1000),0)</f>
        <v>43.31166124729</v>
      </c>
      <c r="W89" s="69" t="n">
        <f aca="false">IF(W87&gt;0,W49/((W79+W87*W83)/1000),0)</f>
        <v>43.31166124729</v>
      </c>
      <c r="X89" s="69" t="n">
        <f aca="false">IF(X87&gt;0,X49/((X79+X87*X83)/1000),0)</f>
        <v>43.31166124729</v>
      </c>
      <c r="Y89" s="69" t="n">
        <f aca="false">IF(Y87&gt;0,Y49/((Y79+Y87*Y83)/1000),0)</f>
        <v>43.31166124729</v>
      </c>
      <c r="Z89" s="69" t="n">
        <f aca="false">IF(Z87&gt;0,Z49/((Z79+Z87*Z83)/1000),0)</f>
        <v>43.31166124729</v>
      </c>
      <c r="AA89" s="69" t="n">
        <f aca="false">IF(AA87&gt;0,AA49/((AA79+AA87*AA83)/1000),0)</f>
        <v>43.31166124729</v>
      </c>
      <c r="AB89" s="69" t="n">
        <f aca="false">IF(AB87&gt;0,AB49/((AB79+AB87*AB83)/1000),0)</f>
        <v>43.31166124729</v>
      </c>
      <c r="AC89" s="69" t="n">
        <f aca="false">IF(AC87&gt;0,AC49/((AC79+AC87*AC83)/1000),0)</f>
        <v>40.8313604965595</v>
      </c>
      <c r="AD89" s="69" t="n">
        <f aca="false">IF(AD87&gt;0,AD49/((AD79+AD87*AD83)/1000),0)</f>
        <v>40.8313604965595</v>
      </c>
      <c r="AE89" s="69" t="n">
        <f aca="false">IF(AE87&gt;0,AE49/((AE79+AE87*AE83)/1000),0)</f>
        <v>40.8313604965595</v>
      </c>
      <c r="AF89" s="69" t="n">
        <f aca="false">IF(AF87&gt;0,AF49/((AF79+AF87*AF83)/1000),0)</f>
        <v>40.8313604965595</v>
      </c>
      <c r="AG89" s="69" t="n">
        <f aca="false">IF(AG87&gt;0,AG49/((AG79+AG87*AG83)/1000),0)</f>
        <v>45.6530738926311</v>
      </c>
      <c r="AH89" s="69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981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982</v>
      </c>
      <c r="B91" s="62" t="s">
        <v>127</v>
      </c>
      <c r="C91" s="86" t="n">
        <f aca="false">C87*C34*C45/1000000000/C69</f>
        <v>0.0287225151358305</v>
      </c>
      <c r="D91" s="86" t="n">
        <f aca="false">D87*D34*D45/1000000000/D69</f>
        <v>0.0112865423116436</v>
      </c>
      <c r="E91" s="86" t="n">
        <f aca="false">E87*E34*E45/1000000000/E69</f>
        <v>0.0143612575679153</v>
      </c>
      <c r="F91" s="86" t="n">
        <f aca="false">F87*F34*F45/1000000000/F69</f>
        <v>0.0112865423116436</v>
      </c>
      <c r="G91" s="86" t="n">
        <f aca="false">G87*G34*G45/1000000000/G69</f>
        <v>0.0430837727037458</v>
      </c>
      <c r="H91" s="86" t="n">
        <f aca="false">H87*H34*H45/1000000000/H69</f>
        <v>0.0112865423116436</v>
      </c>
      <c r="I91" s="86" t="n">
        <f aca="false">I87*I34*I45/1000000000/I69</f>
        <v>0.0306555914897041</v>
      </c>
      <c r="J91" s="86" t="n">
        <f aca="false">J87*J34*J45/1000000000/J69</f>
        <v>0.0112865423116436</v>
      </c>
      <c r="K91" s="86" t="n">
        <f aca="false">K87*K34*K45/1000000000/K69</f>
        <v>0.025500721212708</v>
      </c>
      <c r="L91" s="86" t="n">
        <f aca="false">L87*L34*L45/1000000000/L69</f>
        <v>0.0112865423116436</v>
      </c>
      <c r="M91" s="86" t="n">
        <f aca="false">M87*M34*M45/1000000000/M69</f>
        <v>0.0410321644797579</v>
      </c>
      <c r="N91" s="86" t="n">
        <f aca="false">N87*N34*N45/1000000000/N69</f>
        <v>0.0112865423116436</v>
      </c>
      <c r="O91" s="86" t="n">
        <f aca="false">O87*O34*O45/1000000000/O69</f>
        <v>0.0317469101111174</v>
      </c>
      <c r="P91" s="86" t="n">
        <f aca="false">P87*P34*P45/1000000000/P69</f>
        <v>0.0125827115867665</v>
      </c>
      <c r="Q91" s="86" t="n">
        <f aca="false">Q87*Q34*Q45/1000000000/Q69</f>
        <v>0.00801412571087285</v>
      </c>
      <c r="R91" s="86" t="n">
        <f aca="false">R87*R34*R45/1000000000/R69</f>
        <v>0.00241151827237603</v>
      </c>
      <c r="S91" s="86" t="n">
        <f aca="false">S87*S34*S45/1000000000/S69</f>
        <v>0.0235739570181961</v>
      </c>
      <c r="T91" s="86" t="n">
        <f aca="false">T87*T34*T45/1000000000/T69</f>
        <v>0.00908001740408598</v>
      </c>
      <c r="U91" s="86" t="n">
        <f aca="false">U87*U34*U45/1000000000/U69</f>
        <v>0.0347652206016256</v>
      </c>
      <c r="V91" s="86" t="n">
        <f aca="false">V87*V34*V45/1000000000/V69</f>
        <v>0.0138762732255558</v>
      </c>
      <c r="W91" s="86" t="n">
        <f aca="false">W87*W34*W45/1000000000/W69</f>
        <v>0.00849748238085536</v>
      </c>
      <c r="X91" s="86" t="n">
        <f aca="false">X87*X34*X45/1000000000/X69</f>
        <v>0.00333909457373141</v>
      </c>
      <c r="Y91" s="86" t="n">
        <f aca="false">Y87*Y34*Y45/1000000000/Y69</f>
        <v>0.107311625990489</v>
      </c>
      <c r="Z91" s="86" t="n">
        <f aca="false">Z87*Z34*Z45/1000000000/Z69</f>
        <v>0.0421682154764369</v>
      </c>
      <c r="AA91" s="86" t="n">
        <f aca="false">AA87*AA34*AA45/1000000000/AA69</f>
        <v>0.0181726842412078</v>
      </c>
      <c r="AB91" s="86" t="n">
        <f aca="false">AB87*AB34*AB45/1000000000/AB69</f>
        <v>0.00707211832363329</v>
      </c>
      <c r="AC91" s="86" t="n">
        <f aca="false">AC87*AC34*AC45/1000000000/AC69</f>
        <v>0.0474511912669623</v>
      </c>
      <c r="AD91" s="86" t="n">
        <f aca="false">AD87*AD34*AD45/1000000000/AD69</f>
        <v>0.0155485419305465</v>
      </c>
      <c r="AE91" s="86" t="n">
        <f aca="false">AE87*AE34*AE45/1000000000/AE69</f>
        <v>0.182504581796009</v>
      </c>
      <c r="AF91" s="86" t="n">
        <f aca="false">AF87*AF34*AF45/1000000000/AF69</f>
        <v>0.0598020843482559</v>
      </c>
      <c r="AG91" s="86" t="n">
        <f aca="false">AG87*AG34*AG45/1000000000/AG69</f>
        <v>0.54273735845483</v>
      </c>
      <c r="AH91" s="86" t="n">
        <f aca="false">AH87*AH34*AH45/1000000000/AH69</f>
        <v>0.212629633238243</v>
      </c>
    </row>
    <row r="92" customFormat="false" ht="15" hidden="false" customHeight="false" outlineLevel="0" collapsed="false">
      <c r="A92" s="77" t="s">
        <v>984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985</v>
      </c>
      <c r="B93" s="62" t="s">
        <v>986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987</v>
      </c>
      <c r="B94" s="62" t="s">
        <v>127</v>
      </c>
      <c r="C94" s="86" t="n">
        <f aca="false">IF(ISNUMBER(C93),IF(C93&gt;0,((C43*(1-B4_CacheHit))/C75)/C93,0),C93)</f>
        <v>0.175389545756149</v>
      </c>
      <c r="D94" s="86" t="n">
        <f aca="false">IF(ISNUMBER(D93),IF(D93&gt;0,((D43*(1-B4_CacheHit))/D75)/D93,0),D93)</f>
        <v>0.163191074841609</v>
      </c>
      <c r="E94" s="86" t="n">
        <f aca="false">IF(ISNUMBER(E93),IF(E93&gt;0,((E43*(1-B4_CacheHit))/E75)/E93,0),E93)</f>
        <v>0.096124378410861</v>
      </c>
      <c r="F94" s="86" t="n">
        <f aca="false">IF(ISNUMBER(F93),IF(F93&gt;0,((F43*(1-B4_CacheHit))/F75)/F93,0),F93)</f>
        <v>0.163191074841609</v>
      </c>
      <c r="G94" s="86" t="n">
        <f aca="false">IF(ISNUMBER(G93),IF(G93&gt;0,((G43*(1-B4_CacheHit))/G75)/G93,0),G93)</f>
        <v>0.241873294966835</v>
      </c>
      <c r="H94" s="86" t="n">
        <f aca="false">IF(ISNUMBER(H93),IF(H93&gt;0,((H43*(1-B4_CacheHit))/H75)/H93,0),H93)</f>
        <v>0.163191074841609</v>
      </c>
      <c r="I94" s="86" t="n">
        <f aca="false">IF(ISNUMBER(I93),IF(I93&gt;0,((I43*(1-B4_CacheHit))/I75)/I93,0),I93)</f>
        <v>0.185009714213591</v>
      </c>
      <c r="J94" s="86" t="n">
        <f aca="false">IF(ISNUMBER(J93),IF(J93&gt;0,((J43*(1-B4_CacheHit))/J75)/J93,0),J93)</f>
        <v>0.163191074841609</v>
      </c>
      <c r="K94" s="86" t="n">
        <f aca="false">IF(ISNUMBER(K93),IF(K93&gt;0,((K43*(1-B4_CacheHit))/K75)/K93,0),K93)</f>
        <v>0.15884110668413</v>
      </c>
      <c r="L94" s="86" t="n">
        <f aca="false">IF(ISNUMBER(L93),IF(L93&gt;0,((L43*(1-B4_CacheHit))/L75)/L93,0),L93)</f>
        <v>0.163191074841609</v>
      </c>
      <c r="M94" s="86" t="n">
        <f aca="false">IF(ISNUMBER(M93),IF(M93&gt;0,((M43*(1-B4_CacheHit))/M75)/M93,0),M93)</f>
        <v>0.175389545756149</v>
      </c>
      <c r="N94" s="86" t="n">
        <f aca="false">IF(ISNUMBER(N93),IF(N93&gt;0,((N43*(1-B4_CacheHit))/N75)/N93,0),N93)</f>
        <v>0.163191074841609</v>
      </c>
      <c r="O94" s="86" t="n">
        <f aca="false">IF(ISNUMBER(O93),IF(O93&gt;0,((O43*(1-B4_CacheHit))/O75)/O93,0),O93)</f>
        <v>0.1783846755624</v>
      </c>
      <c r="P94" s="86" t="n">
        <f aca="false">IF(ISNUMBER(P93),IF(P93&gt;0,((P43*(1-B4_CacheHit))/P75)/P93,0),P93)</f>
        <v>0.167213793704104</v>
      </c>
      <c r="Q94" s="86" t="n">
        <f aca="false">IF(ISNUMBER(Q93),IF(Q93&gt;0,((Q43*(1-B4_CacheHit))/Q75)/Q93,0),Q93)</f>
        <v>0.120507932503262</v>
      </c>
      <c r="R94" s="86" t="n">
        <f aca="false">IF(ISNUMBER(R93),IF(R93&gt;0,((R43*(1-B4_CacheHit))/R75)/R93,0),R93)</f>
        <v>0.0877613636256981</v>
      </c>
      <c r="S94" s="86" t="n">
        <f aca="false">IF(ISNUMBER(S93),IF(S93&gt;0,((S43*(1-B4_CacheHit))/S75)/S93,0),S93)</f>
        <v>0.148623226495503</v>
      </c>
      <c r="T94" s="86" t="n">
        <f aca="false">IF(ISNUMBER(T93),IF(T93&gt;0,((T43*(1-B4_CacheHit))/T75)/T93,0),T93)</f>
        <v>0.135613747505228</v>
      </c>
      <c r="U94" s="86" t="n">
        <f aca="false">IF(ISNUMBER(U93),IF(U93&gt;0,((U43*(1-B4_CacheHit))/U75)/U93,0),U93)</f>
        <v>0.204733937530137</v>
      </c>
      <c r="V94" s="86" t="n">
        <f aca="false">IF(ISNUMBER(V93),IF(V93&gt;0,((V43*(1-B4_CacheHit))/V75)/V93,0),V93)</f>
        <v>0.193394172387631</v>
      </c>
      <c r="W94" s="86" t="n">
        <f aca="false">IF(ISNUMBER(W93),IF(W93&gt;0,((W43*(1-B4_CacheHit))/W75)/W93,0),W93)</f>
        <v>0.0443732466309268</v>
      </c>
      <c r="X94" s="86" t="n">
        <f aca="false">IF(ISNUMBER(X93),IF(X93&gt;0,((X43*(1-B4_CacheHit))/X75)/X93,0),X93)</f>
        <v>0.0408358027956754</v>
      </c>
      <c r="Y94" s="86" t="n">
        <f aca="false">IF(ISNUMBER(Y93),IF(Y93&gt;0,((Y43*(1-B4_CacheHit))/Y75)/Y93,0),Y93)</f>
        <v>0.456845470135213</v>
      </c>
      <c r="Z94" s="86" t="n">
        <f aca="false">IF(ISNUMBER(Z93),IF(Z93&gt;0,((Z43*(1-B4_CacheHit))/Z75)/Z93,0),Z93)</f>
        <v>0.435407697328438</v>
      </c>
      <c r="AA94" s="86" t="n">
        <f aca="false">IF(ISNUMBER(AA93),IF(AA93&gt;0,((AA43*(1-B4_CacheHit))/AA75)/AA93,0),AA93)</f>
        <v>0.161245718125389</v>
      </c>
      <c r="AB94" s="86" t="n">
        <f aca="false">IF(ISNUMBER(AB93),IF(AB93&gt;0,((AB43*(1-B4_CacheHit))/AB75)/AB93,0),AB93)</f>
        <v>0.148621995861057</v>
      </c>
      <c r="AC94" s="86" t="n">
        <f aca="false">IF(ISNUMBER(AC93),IF(AC93&gt;0,((AC43*(1-B4_CacheHit))/AC75)/AC93,0),AC93)</f>
        <v>0.127000281888798</v>
      </c>
      <c r="AD94" s="86" t="n">
        <f aca="false">IF(ISNUMBER(AD93),IF(AD93&gt;0,((AD43*(1-B4_CacheHit))/AD75)/AD93,0),AD93)</f>
        <v>0.100093796402319</v>
      </c>
      <c r="AE94" s="86" t="n">
        <f aca="false">IF(ISNUMBER(AE93),IF(AE93&gt;0,((AE43*(1-B4_CacheHit))/AE75)/AE93,0),AE93)</f>
        <v>0.127000281888798</v>
      </c>
      <c r="AF94" s="86" t="n">
        <f aca="false">IF(ISNUMBER(AF93),IF(AF93&gt;0,((AF43*(1-B4_CacheHit))/AF75)/AF93,0),AF93)</f>
        <v>0.100093796402319</v>
      </c>
      <c r="AG94" s="86" t="n">
        <f aca="false">IF(ISNUMBER(AG93),IF(AG93&gt;0,((AG43*(1-B4_CacheHit))/AG75)/AG93,0),AG93)</f>
        <v>0.119751393829134</v>
      </c>
      <c r="AH94" s="86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989</v>
      </c>
      <c r="B95" s="62" t="s">
        <v>414</v>
      </c>
      <c r="C95" s="72" t="n">
        <f aca="false">IF(ISNUMBER(C93),IF(C93&gt;0,C22*(C43+C44)/C93,0),C93)</f>
        <v>2496284.49057369</v>
      </c>
      <c r="D95" s="72" t="n">
        <f aca="false">IF(ISNUMBER(D93),IF(D93&gt;0,D22*(D43+D44)/D93,0),D93)</f>
        <v>995428.321008554</v>
      </c>
      <c r="E95" s="72" t="n">
        <f aca="false">IF(ISNUMBER(E93),IF(E93&gt;0,E22*(E43+E44)/E93,0),E93)</f>
        <v>1368119.14278338</v>
      </c>
      <c r="F95" s="72" t="n">
        <f aca="false">IF(ISNUMBER(F93),IF(F93&gt;0,F22*(F43+F44)/F93,0),F93)</f>
        <v>995428.321008554</v>
      </c>
      <c r="G95" s="72" t="n">
        <f aca="false">IF(ISNUMBER(G93),IF(G93&gt;0,G22*(G43+G44)/G93,0),G93)</f>
        <v>3442534.4584057</v>
      </c>
      <c r="H95" s="72" t="n">
        <f aca="false">IF(ISNUMBER(H93),IF(H93&gt;0,H22*(H43+H44)/H93,0),H93)</f>
        <v>995428.321008554</v>
      </c>
      <c r="I95" s="72" t="n">
        <f aca="false">IF(ISNUMBER(I93),IF(I93&gt;0,I22*(I43+I44)/I93,0),I93)</f>
        <v>2633206.43317572</v>
      </c>
      <c r="J95" s="72" t="n">
        <f aca="false">IF(ISNUMBER(J93),IF(J93&gt;0,J22*(J43+J44)/J93,0),J93)</f>
        <v>995428.321008554</v>
      </c>
      <c r="K95" s="72" t="n">
        <f aca="false">IF(ISNUMBER(K93),IF(K93&gt;0,K22*(K43+K44)/K93,0),K93)</f>
        <v>2260753.8515006</v>
      </c>
      <c r="L95" s="72" t="n">
        <f aca="false">IF(ISNUMBER(L93),IF(L93&gt;0,L22*(L43+L44)/L93,0),L93)</f>
        <v>995428.321008554</v>
      </c>
      <c r="M95" s="72" t="n">
        <f aca="false">IF(ISNUMBER(M93),IF(M93&gt;0,M22*(M43+M44)/M93,0),M93)</f>
        <v>3566120.70081956</v>
      </c>
      <c r="N95" s="72" t="n">
        <f aca="false">IF(ISNUMBER(N93),IF(N93&gt;0,N22*(N43+N44)/N93,0),N93)</f>
        <v>995428.321008554</v>
      </c>
      <c r="O95" s="72" t="n">
        <f aca="false">IF(ISNUMBER(O93),IF(O93&gt;0,O22*(O43+O44)/O93,0),O93)</f>
        <v>2538913.57687622</v>
      </c>
      <c r="P95" s="72" t="n">
        <f aca="false">IF(ISNUMBER(P93),IF(P93&gt;0,P22*(P43+P44)/P93,0),P93)</f>
        <v>1019965.98820064</v>
      </c>
      <c r="Q95" s="72" t="n">
        <f aca="false">IF(ISNUMBER(Q93),IF(Q93&gt;0,Q22*(Q43+Q44)/Q93,0),Q93)</f>
        <v>1715165.41423306</v>
      </c>
      <c r="R95" s="72" t="n">
        <f aca="false">IF(ISNUMBER(R93),IF(R93&gt;0,R22*(R43+R44)/R93,0),R93)</f>
        <v>535324.293489338</v>
      </c>
      <c r="S95" s="72" t="n">
        <f aca="false">IF(ISNUMBER(S93),IF(S93&gt;0,S22*(S43+S44)/S93,0),S93)</f>
        <v>2115324.79681297</v>
      </c>
      <c r="T95" s="72" t="n">
        <f aca="false">IF(ISNUMBER(T93),IF(T93&gt;0,T22*(T43+T44)/T93,0),T93)</f>
        <v>827212.916612201</v>
      </c>
      <c r="U95" s="72" t="n">
        <f aca="false">IF(ISNUMBER(U93),IF(U93&gt;0,U22*(U43+U44)/U93,0),U93)</f>
        <v>2913937.37720908</v>
      </c>
      <c r="V95" s="72" t="n">
        <f aca="false">IF(ISNUMBER(V93),IF(V93&gt;0,V22*(V43+V44)/V93,0),V93)</f>
        <v>1179660.32455823</v>
      </c>
      <c r="W95" s="72" t="n">
        <f aca="false">IF(ISNUMBER(W93),IF(W93&gt;0,W22*(W43+W44)/W93,0),W93)</f>
        <v>969971.58018076</v>
      </c>
      <c r="X95" s="72" t="n">
        <f aca="false">IF(ISNUMBER(X93),IF(X93&gt;0,X22*(X43+X44)/X93,0),X93)</f>
        <v>382562.253221013</v>
      </c>
      <c r="Y95" s="72" t="n">
        <f aca="false">IF(ISNUMBER(Y93),IF(Y93&gt;0,Y22*(Y43+Y44)/Y93,0),Y93)</f>
        <v>5891148.24550515</v>
      </c>
      <c r="Z95" s="72" t="n">
        <f aca="false">IF(ISNUMBER(Z93),IF(Z93&gt;0,Z22*(Z43+Z44)/Z93,0),Z93)</f>
        <v>2406300.96721767</v>
      </c>
      <c r="AA95" s="72" t="n">
        <f aca="false">IF(ISNUMBER(AA93),IF(AA93&gt;0,AA22*(AA43+AA44)/AA93,0),AA93)</f>
        <v>1606484.74522661</v>
      </c>
      <c r="AB95" s="72" t="n">
        <f aca="false">IF(ISNUMBER(AB93),IF(AB93&gt;0,AB22*(AB43+AB44)/AB93,0),AB93)</f>
        <v>634592.184431362</v>
      </c>
      <c r="AC95" s="72" t="n">
        <f aca="false">IF(ISNUMBER(AC93),IF(AC93&gt;0,AC22*(AC43+AC44)/AC93,0),AC93)</f>
        <v>544866.832675706</v>
      </c>
      <c r="AD95" s="72" t="n">
        <f aca="false">IF(ISNUMBER(AD93),IF(AD93&gt;0,AD22*(AD43+AD44)/AD93,0),AD93)</f>
        <v>184041.626877104</v>
      </c>
      <c r="AE95" s="72" t="n">
        <f aca="false">IF(ISNUMBER(AE93),IF(AE93&gt;0,AE22*(AE43+AE44)/AE93,0),AE93)</f>
        <v>544866.832675706</v>
      </c>
      <c r="AF95" s="72" t="n">
        <f aca="false">IF(ISNUMBER(AF93),IF(AF93&gt;0,AF22*(AF43+AF44)/AF93,0),AF93)</f>
        <v>184041.626877104</v>
      </c>
      <c r="AG95" s="72" t="n">
        <f aca="false">IF(ISNUMBER(AG93),IF(AG93&gt;0,AG22*(AG43+AG44)/AG93,0),AG93)</f>
        <v>513767.069598423</v>
      </c>
      <c r="AH95" s="72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990</v>
      </c>
      <c r="B96" s="62" t="s">
        <v>414</v>
      </c>
      <c r="C96" s="69" t="n">
        <f aca="false">IF(ISNUMBER(C95),C95*C44/(C43+C44),C95)</f>
        <v>277364.943397077</v>
      </c>
      <c r="D96" s="69" t="n">
        <f aca="false">IF(ISNUMBER(D95),D95*D44/(D43+D44),D95)</f>
        <v>110603.146778728</v>
      </c>
      <c r="E96" s="69" t="n">
        <f aca="false">IF(ISNUMBER(E95),E95*E44/(E43+E44),E95)</f>
        <v>152013.238087042</v>
      </c>
      <c r="F96" s="69" t="n">
        <f aca="false">IF(ISNUMBER(F95),F95*F44/(F43+F44),F95)</f>
        <v>110603.146778728</v>
      </c>
      <c r="G96" s="69" t="n">
        <f aca="false">IF(ISNUMBER(G95),G95*G44/(G43+G44),G95)</f>
        <v>382503.828711745</v>
      </c>
      <c r="H96" s="69" t="n">
        <f aca="false">IF(ISNUMBER(H95),H95*H44/(H43+H44),H95)</f>
        <v>110603.146778728</v>
      </c>
      <c r="I96" s="69" t="n">
        <f aca="false">IF(ISNUMBER(I95),I95*I44/(I43+I44),I95)</f>
        <v>292578.492575079</v>
      </c>
      <c r="J96" s="69" t="n">
        <f aca="false">IF(ISNUMBER(J95),J95*J44/(J43+J44),J95)</f>
        <v>110603.146778728</v>
      </c>
      <c r="K96" s="69" t="n">
        <f aca="false">IF(ISNUMBER(K95),K95*K44/(K43+K44),K95)</f>
        <v>251194.872388956</v>
      </c>
      <c r="L96" s="69" t="n">
        <f aca="false">IF(ISNUMBER(L95),L95*L44/(L43+L44),L95)</f>
        <v>110603.146778728</v>
      </c>
      <c r="M96" s="69" t="n">
        <f aca="false">IF(ISNUMBER(M95),M95*M44/(M43+M44),M95)</f>
        <v>396235.633424395</v>
      </c>
      <c r="N96" s="69" t="n">
        <f aca="false">IF(ISNUMBER(N95),N95*N44/(N43+N44),N95)</f>
        <v>110603.146778728</v>
      </c>
      <c r="O96" s="69" t="n">
        <f aca="false">IF(ISNUMBER(O95),O95*O44/(O43+O44),O95)</f>
        <v>282101.508541802</v>
      </c>
      <c r="P96" s="69" t="n">
        <f aca="false">IF(ISNUMBER(P95),P95*P44/(P43+P44),P95)</f>
        <v>113329.554244516</v>
      </c>
      <c r="Q96" s="69" t="n">
        <f aca="false">IF(ISNUMBER(Q95),Q95*Q44/(Q43+Q44),Q95)</f>
        <v>190573.934914785</v>
      </c>
      <c r="R96" s="69" t="n">
        <f aca="false">IF(ISNUMBER(R95),R95*R44/(R43+R44),R95)</f>
        <v>59480.4770543709</v>
      </c>
      <c r="S96" s="69" t="n">
        <f aca="false">IF(ISNUMBER(S95),S95*S44/(S43+S44),S95)</f>
        <v>235036.088534774</v>
      </c>
      <c r="T96" s="69" t="n">
        <f aca="false">IF(ISNUMBER(T95),T95*T44/(T43+T44),T95)</f>
        <v>91912.5462902445</v>
      </c>
      <c r="U96" s="69" t="n">
        <f aca="false">IF(ISNUMBER(U95),U95*U44/(U43+U44),U95)</f>
        <v>323770.819689897</v>
      </c>
      <c r="V96" s="69" t="n">
        <f aca="false">IF(ISNUMBER(V95),V95*V44/(V43+V44),V95)</f>
        <v>131073.369395359</v>
      </c>
      <c r="W96" s="69" t="n">
        <f aca="false">IF(ISNUMBER(W95),W95*W44/(W43+W44),W95)</f>
        <v>323323.860060253</v>
      </c>
      <c r="X96" s="69" t="n">
        <f aca="false">IF(ISNUMBER(X95),X95*X44/(X43+X44),X95)</f>
        <v>127520.751073671</v>
      </c>
      <c r="Y96" s="69" t="n">
        <f aca="false">IF(ISNUMBER(Y95),Y95*Y44/(Y43+Y44),Y95)</f>
        <v>178519.643803186</v>
      </c>
      <c r="Z96" s="69" t="n">
        <f aca="false">IF(ISNUMBER(Z95),Z95*Z44/(Z43+Z44),Z95)</f>
        <v>72918.211127808</v>
      </c>
      <c r="AA96" s="69" t="n">
        <f aca="false">IF(ISNUMBER(AA95),AA95*AA44/(AA43+AA44),AA95)</f>
        <v>178498.305025179</v>
      </c>
      <c r="AB96" s="69" t="n">
        <f aca="false">IF(ISNUMBER(AB95),AB95*AB44/(AB43+AB44),AB95)</f>
        <v>70510.2427145958</v>
      </c>
      <c r="AC96" s="69" t="n">
        <f aca="false">IF(ISNUMBER(AC95),AC95*AC44/(AC43+AC44),AC95)</f>
        <v>60540.7591861895</v>
      </c>
      <c r="AD96" s="69" t="n">
        <f aca="false">IF(ISNUMBER(AD95),AD95*AD44/(AD43+AD44),AD95)</f>
        <v>20449.0696530116</v>
      </c>
      <c r="AE96" s="69" t="n">
        <f aca="false">IF(ISNUMBER(AE95),AE95*AE44/(AE43+AE44),AE95)</f>
        <v>60540.7591861895</v>
      </c>
      <c r="AF96" s="69" t="n">
        <f aca="false">IF(ISNUMBER(AF95),AF95*AF44/(AF43+AF44),AF95)</f>
        <v>20449.0696530116</v>
      </c>
      <c r="AG96" s="69" t="n">
        <f aca="false">IF(ISNUMBER(AG95),AG95*AG44/(AG43+AG44),AG95)</f>
        <v>57085.2299553804</v>
      </c>
      <c r="AH96" s="69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991</v>
      </c>
      <c r="B97" s="62" t="s">
        <v>414</v>
      </c>
      <c r="C97" s="69" t="n">
        <f aca="false">IF(ISNUMBER(C95),C95-C96,C95)</f>
        <v>2218919.54717661</v>
      </c>
      <c r="D97" s="69" t="n">
        <f aca="false">IF(ISNUMBER(D95),D95-D96,D95)</f>
        <v>884825.174229826</v>
      </c>
      <c r="E97" s="69" t="n">
        <f aca="false">IF(ISNUMBER(E95),E95-E96,E95)</f>
        <v>1216105.90469634</v>
      </c>
      <c r="F97" s="69" t="n">
        <f aca="false">IF(ISNUMBER(F95),F95-F96,F95)</f>
        <v>884825.174229826</v>
      </c>
      <c r="G97" s="69" t="n">
        <f aca="false">IF(ISNUMBER(G95),G95-G96,G95)</f>
        <v>3060030.62969396</v>
      </c>
      <c r="H97" s="69" t="n">
        <f aca="false">IF(ISNUMBER(H95),H95-H96,H95)</f>
        <v>884825.174229826</v>
      </c>
      <c r="I97" s="69" t="n">
        <f aca="false">IF(ISNUMBER(I95),I95-I96,I95)</f>
        <v>2340627.94060064</v>
      </c>
      <c r="J97" s="69" t="n">
        <f aca="false">IF(ISNUMBER(J95),J95-J96,J95)</f>
        <v>884825.174229826</v>
      </c>
      <c r="K97" s="69" t="n">
        <f aca="false">IF(ISNUMBER(K95),K95-K96,K95)</f>
        <v>2009558.97911165</v>
      </c>
      <c r="L97" s="69" t="n">
        <f aca="false">IF(ISNUMBER(L95),L95-L96,L95)</f>
        <v>884825.174229826</v>
      </c>
      <c r="M97" s="69" t="n">
        <f aca="false">IF(ISNUMBER(M95),M95-M96,M95)</f>
        <v>3169885.06739516</v>
      </c>
      <c r="N97" s="69" t="n">
        <f aca="false">IF(ISNUMBER(N95),N95-N96,N95)</f>
        <v>884825.174229826</v>
      </c>
      <c r="O97" s="69" t="n">
        <f aca="false">IF(ISNUMBER(O95),O95-O96,O95)</f>
        <v>2256812.06833442</v>
      </c>
      <c r="P97" s="69" t="n">
        <f aca="false">IF(ISNUMBER(P95),P95-P96,P95)</f>
        <v>906636.433956128</v>
      </c>
      <c r="Q97" s="69" t="n">
        <f aca="false">IF(ISNUMBER(Q95),Q95-Q96,Q95)</f>
        <v>1524591.47931828</v>
      </c>
      <c r="R97" s="69" t="n">
        <f aca="false">IF(ISNUMBER(R95),R95-R96,R95)</f>
        <v>475843.816434967</v>
      </c>
      <c r="S97" s="69" t="n">
        <f aca="false">IF(ISNUMBER(S95),S95-S96,S95)</f>
        <v>1880288.7082782</v>
      </c>
      <c r="T97" s="69" t="n">
        <f aca="false">IF(ISNUMBER(T95),T95-T96,T95)</f>
        <v>735300.370321956</v>
      </c>
      <c r="U97" s="69" t="n">
        <f aca="false">IF(ISNUMBER(U95),U95-U96,U95)</f>
        <v>2590166.55751918</v>
      </c>
      <c r="V97" s="69" t="n">
        <f aca="false">IF(ISNUMBER(V95),V95-V96,V95)</f>
        <v>1048586.95516287</v>
      </c>
      <c r="W97" s="69" t="n">
        <f aca="false">IF(ISNUMBER(W95),W95-W96,W95)</f>
        <v>646647.720120507</v>
      </c>
      <c r="X97" s="69" t="n">
        <f aca="false">IF(ISNUMBER(X95),X95-X96,X95)</f>
        <v>255041.502147342</v>
      </c>
      <c r="Y97" s="69" t="n">
        <f aca="false">IF(ISNUMBER(Y95),Y95-Y96,Y95)</f>
        <v>5712628.60170197</v>
      </c>
      <c r="Z97" s="69" t="n">
        <f aca="false">IF(ISNUMBER(Z95),Z95-Z96,Z95)</f>
        <v>2333382.75608986</v>
      </c>
      <c r="AA97" s="69" t="n">
        <f aca="false">IF(ISNUMBER(AA95),AA95-AA96,AA95)</f>
        <v>1427986.44020143</v>
      </c>
      <c r="AB97" s="69" t="n">
        <f aca="false">IF(ISNUMBER(AB95),AB95-AB96,AB95)</f>
        <v>564081.941716766</v>
      </c>
      <c r="AC97" s="69" t="n">
        <f aca="false">IF(ISNUMBER(AC95),AC95-AC96,AC95)</f>
        <v>484326.073489516</v>
      </c>
      <c r="AD97" s="69" t="n">
        <f aca="false">IF(ISNUMBER(AD95),AD95-AD96,AD95)</f>
        <v>163592.557224093</v>
      </c>
      <c r="AE97" s="69" t="n">
        <f aca="false">IF(ISNUMBER(AE95),AE95-AE96,AE95)</f>
        <v>484326.073489516</v>
      </c>
      <c r="AF97" s="69" t="n">
        <f aca="false">IF(ISNUMBER(AF95),AF95-AF96,AF95)</f>
        <v>163592.557224093</v>
      </c>
      <c r="AG97" s="69" t="n">
        <f aca="false">IF(ISNUMBER(AG95),AG95-AG96,AG95)</f>
        <v>456681.839643043</v>
      </c>
      <c r="AH97" s="69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992</v>
      </c>
      <c r="B98" s="62" t="s">
        <v>993</v>
      </c>
      <c r="C98" s="72" t="n">
        <f aca="false">IF(ISNUMBER(C95),C95*C25*8760*3600/1000000,C95)</f>
        <v>318984897819.054</v>
      </c>
      <c r="D98" s="72" t="n">
        <f aca="false">IF(ISNUMBER(D95),D95*D25*8760*3600/1000000,D95)</f>
        <v>212334321421.888</v>
      </c>
      <c r="E98" s="72" t="n">
        <f aca="false">IF(ISNUMBER(E95),E95*E25*8760*3600/1000000,E95)</f>
        <v>174823561422.181</v>
      </c>
      <c r="F98" s="72" t="n">
        <f aca="false">IF(ISNUMBER(F95),F95*F25*8760*3600/1000000,F95)</f>
        <v>212334321421.888</v>
      </c>
      <c r="G98" s="72" t="n">
        <f aca="false">IF(ISNUMBER(G95),G95*G25*8760*3600/1000000,G95)</f>
        <v>439900382588.504</v>
      </c>
      <c r="H98" s="72" t="n">
        <f aca="false">IF(ISNUMBER(H95),H95*H25*8760*3600/1000000,H95)</f>
        <v>212334321421.888</v>
      </c>
      <c r="I98" s="72" t="n">
        <f aca="false">IF(ISNUMBER(I95),I95*I25*8760*3600/1000000,I95)</f>
        <v>336481313806.502</v>
      </c>
      <c r="J98" s="72" t="n">
        <f aca="false">IF(ISNUMBER(J95),J95*J25*8760*3600/1000000,J95)</f>
        <v>212334321421.888</v>
      </c>
      <c r="K98" s="72" t="n">
        <f aca="false">IF(ISNUMBER(K95),K95*K25*8760*3600/1000000,K95)</f>
        <v>288887880783.66</v>
      </c>
      <c r="L98" s="72" t="n">
        <f aca="false">IF(ISNUMBER(L95),L95*L25*8760*3600/1000000,L95)</f>
        <v>212334321421.888</v>
      </c>
      <c r="M98" s="72" t="n">
        <f aca="false">IF(ISNUMBER(M95),M95*M25*8760*3600/1000000,M95)</f>
        <v>455692711170.077</v>
      </c>
      <c r="N98" s="72" t="n">
        <f aca="false">IF(ISNUMBER(N95),N95*N25*8760*3600/1000000,N95)</f>
        <v>212334321421.888</v>
      </c>
      <c r="O98" s="72" t="n">
        <f aca="false">IF(ISNUMBER(O95),O95*O25*8760*3600/1000000,O95)</f>
        <v>324432207526.613</v>
      </c>
      <c r="P98" s="72" t="n">
        <f aca="false">IF(ISNUMBER(P95),P95*P25*8760*3600/1000000,P95)</f>
        <v>217568439039.949</v>
      </c>
      <c r="Q98" s="72" t="n">
        <f aca="false">IF(ISNUMBER(Q95),Q95*Q25*8760*3600/1000000,Q95)</f>
        <v>219170477751.185</v>
      </c>
      <c r="R98" s="72" t="n">
        <f aca="false">IF(ISNUMBER(R95),R95*R25*8760*3600/1000000,R95)</f>
        <v>114189759523.361</v>
      </c>
      <c r="S98" s="72" t="n">
        <f aca="false">IF(ISNUMBER(S95),S95*S25*8760*3600/1000000,S95)</f>
        <v>270304393074.375</v>
      </c>
      <c r="T98" s="72" t="n">
        <f aca="false">IF(ISNUMBER(T95),T95*T25*8760*3600/1000000,T95)</f>
        <v>176452376944.942</v>
      </c>
      <c r="U98" s="72" t="n">
        <f aca="false">IF(ISNUMBER(U95),U95*U25*8760*3600/1000000,U95)</f>
        <v>372354200825.3</v>
      </c>
      <c r="V98" s="72" t="n">
        <f aca="false">IF(ISNUMBER(V95),V95*V25*8760*3600/1000000,V95)</f>
        <v>251632758719.995</v>
      </c>
      <c r="W98" s="72" t="n">
        <f aca="false">IF(ISNUMBER(W95),W95*W25*8760*3600/1000000,W95)</f>
        <v>123946724245.456</v>
      </c>
      <c r="X98" s="72" t="n">
        <f aca="false">IF(ISNUMBER(X95),X95*X25*8760*3600/1000000,X95)</f>
        <v>81604164483.6966</v>
      </c>
      <c r="Y98" s="72" t="n">
        <f aca="false">IF(ISNUMBER(Y95),Y95*Y25*8760*3600/1000000,Y95)</f>
        <v>752793733336.655</v>
      </c>
      <c r="Z98" s="72" t="n">
        <f aca="false">IF(ISNUMBER(Z95),Z95*Z25*8760*3600/1000000,Z95)</f>
        <v>513286865791.92</v>
      </c>
      <c r="AA98" s="72" t="n">
        <f aca="false">IF(ISNUMBER(AA95),AA95*AA25*8760*3600/1000000,AA95)</f>
        <v>205282841053.99</v>
      </c>
      <c r="AB98" s="72" t="n">
        <f aca="false">IF(ISNUMBER(AB95),AB95*AB25*8760*3600/1000000,AB95)</f>
        <v>135364544103.33</v>
      </c>
      <c r="AC98" s="72" t="n">
        <f aca="false">IF(ISNUMBER(AC95),AC95*AC25*8760*3600/1000000,AC95)</f>
        <v>69625193603.6778</v>
      </c>
      <c r="AD98" s="72" t="n">
        <f aca="false">IF(ISNUMBER(AD95),AD95*AD25*8760*3600/1000000,AD95)</f>
        <v>39257828144.5082</v>
      </c>
      <c r="AE98" s="72" t="n">
        <f aca="false">IF(ISNUMBER(AE95),AE95*AE25*8760*3600/1000000,AE95)</f>
        <v>69625193603.6778</v>
      </c>
      <c r="AF98" s="72" t="n">
        <f aca="false">IF(ISNUMBER(AF95),AF95*AF25*8760*3600/1000000,AF95)</f>
        <v>39257828144.5082</v>
      </c>
      <c r="AG98" s="72" t="n">
        <f aca="false">IF(ISNUMBER(AG95),AG95*AG25*8760*3600/1000000,AG95)</f>
        <v>65651145459.38</v>
      </c>
      <c r="AH98" s="72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994</v>
      </c>
      <c r="B99" s="62" t="s">
        <v>993</v>
      </c>
      <c r="C99" s="69" t="n">
        <f aca="false">IF(ISNUMBER(C96),C96*C25*8760*3600/1000000,C96)</f>
        <v>35442766424.3393</v>
      </c>
      <c r="D99" s="69" t="n">
        <f aca="false">IF(ISNUMBER(D96),D96*D25*8760*3600/1000000,D96)</f>
        <v>23592702380.2097</v>
      </c>
      <c r="E99" s="69" t="n">
        <f aca="false">IF(ISNUMBER(E96),E96*E25*8760*3600/1000000,E96)</f>
        <v>19424840158.0201</v>
      </c>
      <c r="F99" s="69" t="n">
        <f aca="false">IF(ISNUMBER(F96),F96*F25*8760*3600/1000000,F96)</f>
        <v>23592702380.2097</v>
      </c>
      <c r="G99" s="69" t="n">
        <f aca="false">IF(ISNUMBER(G96),G96*G25*8760*3600/1000000,G96)</f>
        <v>48877820287.6115</v>
      </c>
      <c r="H99" s="69" t="n">
        <f aca="false">IF(ISNUMBER(H96),H96*H25*8760*3600/1000000,H96)</f>
        <v>23592702380.2097</v>
      </c>
      <c r="I99" s="69" t="n">
        <f aca="false">IF(ISNUMBER(I96),I96*I25*8760*3600/1000000,I96)</f>
        <v>37386812645.1669</v>
      </c>
      <c r="J99" s="69" t="n">
        <f aca="false">IF(ISNUMBER(J96),J96*J25*8760*3600/1000000,J96)</f>
        <v>23592702380.2097</v>
      </c>
      <c r="K99" s="69" t="n">
        <f aca="false">IF(ISNUMBER(K96),K96*K25*8760*3600/1000000,K96)</f>
        <v>32098653420.4067</v>
      </c>
      <c r="L99" s="69" t="n">
        <f aca="false">IF(ISNUMBER(L96),L96*L25*8760*3600/1000000,L96)</f>
        <v>23592702380.2097</v>
      </c>
      <c r="M99" s="69" t="n">
        <f aca="false">IF(ISNUMBER(M96),M96*M25*8760*3600/1000000,M96)</f>
        <v>50632523463.3419</v>
      </c>
      <c r="N99" s="69" t="n">
        <f aca="false">IF(ISNUMBER(N96),N96*N25*8760*3600/1000000,N96)</f>
        <v>23592702380.2097</v>
      </c>
      <c r="O99" s="69" t="n">
        <f aca="false">IF(ISNUMBER(O96),O96*O25*8760*3600/1000000,O96)</f>
        <v>36048023058.5126</v>
      </c>
      <c r="P99" s="69" t="n">
        <f aca="false">IF(ISNUMBER(P96),P96*P25*8760*3600/1000000,P96)</f>
        <v>24174271004.4388</v>
      </c>
      <c r="Q99" s="69" t="n">
        <f aca="false">IF(ISNUMBER(Q96),Q96*Q25*8760*3600/1000000,Q96)</f>
        <v>24352275305.6872</v>
      </c>
      <c r="R99" s="69" t="n">
        <f aca="false">IF(ISNUMBER(R96),R96*R25*8760*3600/1000000,R96)</f>
        <v>12687751058.1512</v>
      </c>
      <c r="S99" s="69" t="n">
        <f aca="false">IF(ISNUMBER(S96),S96*S25*8760*3600/1000000,S96)</f>
        <v>30033821452.7083</v>
      </c>
      <c r="T99" s="69" t="n">
        <f aca="false">IF(ISNUMBER(T96),T96*T25*8760*3600/1000000,T96)</f>
        <v>19605819660.5491</v>
      </c>
      <c r="U99" s="69" t="n">
        <f aca="false">IF(ISNUMBER(U96),U96*U25*8760*3600/1000000,U96)</f>
        <v>41372688980.5889</v>
      </c>
      <c r="V99" s="69" t="n">
        <f aca="false">IF(ISNUMBER(V96),V96*V25*8760*3600/1000000,V96)</f>
        <v>27959195413.3328</v>
      </c>
      <c r="W99" s="69" t="n">
        <f aca="false">IF(ISNUMBER(W96),W96*W25*8760*3600/1000000,W96)</f>
        <v>41315574748.4853</v>
      </c>
      <c r="X99" s="69" t="n">
        <f aca="false">IF(ISNUMBER(X96),X96*X25*8760*3600/1000000,X96)</f>
        <v>27201388161.2322</v>
      </c>
      <c r="Y99" s="69" t="n">
        <f aca="false">IF(ISNUMBER(Y96),Y96*Y25*8760*3600/1000000,Y96)</f>
        <v>22811931313.232</v>
      </c>
      <c r="Z99" s="69" t="n">
        <f aca="false">IF(ISNUMBER(Z96),Z96*Z25*8760*3600/1000000,Z96)</f>
        <v>15554147448.24</v>
      </c>
      <c r="AA99" s="69" t="n">
        <f aca="false">IF(ISNUMBER(AA96),AA96*AA25*8760*3600/1000000,AA96)</f>
        <v>22809204561.5545</v>
      </c>
      <c r="AB99" s="69" t="n">
        <f aca="false">IF(ISNUMBER(AB96),AB96*AB25*8760*3600/1000000,AB96)</f>
        <v>15040504900.37</v>
      </c>
      <c r="AC99" s="69" t="n">
        <f aca="false">IF(ISNUMBER(AC96),AC96*AC25*8760*3600/1000000,AC96)</f>
        <v>7736132622.63087</v>
      </c>
      <c r="AD99" s="69" t="n">
        <f aca="false">IF(ISNUMBER(AD96),AD96*AD25*8760*3600/1000000,AD96)</f>
        <v>4361980904.94536</v>
      </c>
      <c r="AE99" s="69" t="n">
        <f aca="false">IF(ISNUMBER(AE96),AE96*AE25*8760*3600/1000000,AE96)</f>
        <v>7736132622.63087</v>
      </c>
      <c r="AF99" s="69" t="n">
        <f aca="false">IF(ISNUMBER(AF96),AF96*AF25*8760*3600/1000000,AF96)</f>
        <v>4361980904.94536</v>
      </c>
      <c r="AG99" s="69" t="n">
        <f aca="false">IF(ISNUMBER(AG96),AG96*AG25*8760*3600/1000000,AG96)</f>
        <v>7294571717.70889</v>
      </c>
      <c r="AH99" s="69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7" t="s">
        <v>996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</row>
    <row r="101" customFormat="false" ht="15" hidden="false" customHeight="false" outlineLevel="0" collapsed="false">
      <c r="A101" s="61" t="s">
        <v>997</v>
      </c>
      <c r="B101" s="62" t="s">
        <v>998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999</v>
      </c>
      <c r="B102" s="62" t="s">
        <v>998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1000</v>
      </c>
      <c r="B103" s="62" t="s">
        <v>998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1039</v>
      </c>
      <c r="B104" s="62" t="s">
        <v>1040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1041</v>
      </c>
      <c r="B105" s="62" t="s">
        <v>1040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7" t="s">
        <v>1002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</row>
    <row r="107" customFormat="false" ht="15" hidden="false" customHeight="false" outlineLevel="0" collapsed="false">
      <c r="A107" s="61" t="s">
        <v>1003</v>
      </c>
      <c r="B107" s="62" t="s">
        <v>1004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1005</v>
      </c>
      <c r="B108" s="62" t="s">
        <v>930</v>
      </c>
      <c r="C108" s="90" t="n">
        <f aca="false">IF(C$6=1,Energy!$C$7,Energy!$C$6)</f>
        <v>10</v>
      </c>
      <c r="D108" s="90" t="n">
        <f aca="false">IF(D$6=1,Energy!$C$7,Energy!$C$6)</f>
        <v>10</v>
      </c>
      <c r="E108" s="90" t="n">
        <f aca="false">IF(E$6=1,Energy!$C$7,Energy!$C$6)</f>
        <v>10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90" t="n">
        <f aca="false">IF(T$6=1,Energy!$C$7,Energy!$C$6)</f>
        <v>10</v>
      </c>
      <c r="U108" s="90" t="n">
        <f aca="false">IF(U$6=1,Energy!$C$7,Energy!$C$6)</f>
        <v>10</v>
      </c>
      <c r="V108" s="90" t="n">
        <f aca="false">IF(V$6=1,Energy!$C$7,Energy!$C$6)</f>
        <v>10</v>
      </c>
      <c r="W108" s="90" t="n">
        <f aca="false">IF(W$6=1,Energy!$C$7,Energy!$C$6)</f>
        <v>10</v>
      </c>
      <c r="X108" s="90" t="n">
        <f aca="false">IF(X$6=1,Energy!$C$7,Energy!$C$6)</f>
        <v>10</v>
      </c>
      <c r="Y108" s="90" t="n">
        <f aca="false">IF(Y$6=1,Energy!$C$7,Energy!$C$6)</f>
        <v>10</v>
      </c>
      <c r="Z108" s="90" t="n">
        <f aca="false">IF(Z$6=1,Energy!$C$7,Energy!$C$6)</f>
        <v>10</v>
      </c>
      <c r="AA108" s="90" t="n">
        <f aca="false">IF(AA$6=1,Energy!$C$7,Energy!$C$6)</f>
        <v>10</v>
      </c>
      <c r="AB108" s="90" t="n">
        <f aca="false">IF(AB$6=1,Energy!$C$7,Energy!$C$6)</f>
        <v>10</v>
      </c>
      <c r="AC108" s="90" t="n">
        <f aca="false">IF(AC$6=1,Energy!$C$7,Energy!$C$6)</f>
        <v>10</v>
      </c>
      <c r="AD108" s="90" t="n">
        <f aca="false">IF(AD$6=1,Energy!$C$7,Energy!$C$6)</f>
        <v>10</v>
      </c>
      <c r="AE108" s="90" t="n">
        <f aca="false">IF(AE$6=1,Energy!$C$7,Energy!$C$6)</f>
        <v>10</v>
      </c>
      <c r="AF108" s="90" t="n">
        <f aca="false">IF(AF$6=1,Energy!$C$7,Energy!$C$6)</f>
        <v>10</v>
      </c>
      <c r="AG108" s="90" t="n">
        <f aca="false">IF(AG$6=1,Energy!$C$7,Energy!$C$6)</f>
        <v>10</v>
      </c>
      <c r="AH108" s="90" t="n">
        <f aca="false">IF(AH$6=1,Energy!$C$7,Energy!$C$6)</f>
        <v>10</v>
      </c>
    </row>
    <row r="109" customFormat="false" ht="15" hidden="false" customHeight="false" outlineLevel="0" collapsed="false">
      <c r="A109" s="62" t="s">
        <v>1006</v>
      </c>
      <c r="B109" s="62" t="s">
        <v>566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1007</v>
      </c>
      <c r="B110" s="62" t="s">
        <v>529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1008</v>
      </c>
      <c r="B111" s="62" t="s">
        <v>529</v>
      </c>
      <c r="C111" s="74" t="n">
        <f aca="false">(C47+1)*C29*C31*C30*C59/C49/1000000000</f>
        <v>0.0124286837741808</v>
      </c>
      <c r="D111" s="74" t="n">
        <f aca="false">(D47+1)*D29*D31*D30*D59/D49/1000000000</f>
        <v>0.0124286837741808</v>
      </c>
      <c r="E111" s="74" t="n">
        <f aca="false">(E47+1)*E29*E31*E30*E59/E49/1000000000</f>
        <v>0.0124286837741808</v>
      </c>
      <c r="F111" s="74" t="n">
        <f aca="false">(F47+1)*F29*F31*F30*F59/F49/1000000000</f>
        <v>0.0124286837741808</v>
      </c>
      <c r="G111" s="74" t="n">
        <f aca="false">(G47+1)*G29*G31*G30*G59/G49/1000000000</f>
        <v>0.0124286837741808</v>
      </c>
      <c r="H111" s="74" t="n">
        <f aca="false">(H47+1)*H29*H31*H30*H59/H49/1000000000</f>
        <v>0.0124286837741808</v>
      </c>
      <c r="I111" s="74" t="n">
        <f aca="false">(I47+1)*I29*I31*I30*I59/I49/1000000000</f>
        <v>0.0124286837741808</v>
      </c>
      <c r="J111" s="74" t="n">
        <f aca="false">(J47+1)*J29*J31*J30*J59/J49/1000000000</f>
        <v>0.0124286837741808</v>
      </c>
      <c r="K111" s="74" t="n">
        <f aca="false">(K47+1)*K29*K31*K30*K59/K49/1000000000</f>
        <v>0.0124286837741808</v>
      </c>
      <c r="L111" s="74" t="n">
        <f aca="false">(L47+1)*L29*L31*L30*L59/L49/1000000000</f>
        <v>0.0124286837741808</v>
      </c>
      <c r="M111" s="74" t="n">
        <f aca="false">(M47+1)*M29*M31*M30*M59/M49/1000000000</f>
        <v>0.0124286837741808</v>
      </c>
      <c r="N111" s="74" t="n">
        <f aca="false">(N47+1)*N29*N31*N30*N59/N49/1000000000</f>
        <v>0.0124286837741808</v>
      </c>
      <c r="O111" s="74" t="n">
        <f aca="false">(O47+1)*O29*O31*O30*O59/O49/1000000000</f>
        <v>0.0124286837741808</v>
      </c>
      <c r="P111" s="74" t="n">
        <f aca="false">(P47+1)*P29*P31*P30*P59/P49/1000000000</f>
        <v>0.0124286837741808</v>
      </c>
      <c r="Q111" s="74" t="n">
        <f aca="false">(Q47+1)*Q29*Q31*Q30*Q59/Q49/1000000000</f>
        <v>0.0124286837741808</v>
      </c>
      <c r="R111" s="74" t="n">
        <f aca="false">(R47+1)*R29*R31*R30*R59/R49/1000000000</f>
        <v>0.0124286837741808</v>
      </c>
      <c r="S111" s="74" t="n">
        <f aca="false">(S47+1)*S29*S31*S30*S59/S49/1000000000</f>
        <v>0.0144677647058824</v>
      </c>
      <c r="T111" s="74" t="n">
        <f aca="false">(T47+1)*T29*T31*T30*T59/T49/1000000000</f>
        <v>0.0144677647058824</v>
      </c>
      <c r="U111" s="74" t="n">
        <f aca="false">(U47+1)*U29*U31*U30*U59/U49/1000000000</f>
        <v>0.0106645853658537</v>
      </c>
      <c r="V111" s="74" t="n">
        <f aca="false">(V47+1)*V29*V31*V30*V59/V49/1000000000</f>
        <v>0.0106645853658537</v>
      </c>
      <c r="W111" s="74" t="n">
        <f aca="false">(W47+1)*W29*W31*W30*W59/W49/1000000000</f>
        <v>0.0124286837741808</v>
      </c>
      <c r="X111" s="74" t="n">
        <f aca="false">(X47+1)*X29*X31*X30*X59/X49/1000000000</f>
        <v>0.0124286837741808</v>
      </c>
      <c r="Y111" s="74" t="n">
        <f aca="false">(Y47+1)*Y29*Y31*Y30*Y59/Y49/1000000000</f>
        <v>0.0124286837741808</v>
      </c>
      <c r="Z111" s="74" t="n">
        <f aca="false">(Z47+1)*Z29*Z31*Z30*Z59/Z49/1000000000</f>
        <v>0.0124286837741808</v>
      </c>
      <c r="AA111" s="74" t="n">
        <f aca="false">(AA47+1)*AA29*AA31*AA30*AA59/AA49/1000000000</f>
        <v>0.0124286837741808</v>
      </c>
      <c r="AB111" s="74" t="n">
        <f aca="false">(AB47+1)*AB29*AB31*AB30*AB59/AB49/1000000000</f>
        <v>0.0124286837741808</v>
      </c>
      <c r="AC111" s="74" t="n">
        <f aca="false">(AC47+1)*AC29*AC31*AC30*AC59/AC49/1000000000</f>
        <v>0.0931423608369523</v>
      </c>
      <c r="AD111" s="74" t="n">
        <f aca="false">(AD47+1)*AD29*AD31*AD30*AD59/AD49/1000000000</f>
        <v>0.0931423608369523</v>
      </c>
      <c r="AE111" s="74" t="n">
        <f aca="false">(AE47+1)*AE29*AE31*AE30*AE59/AE49/1000000000</f>
        <v>0.0931423608369523</v>
      </c>
      <c r="AF111" s="74" t="n">
        <f aca="false">(AF47+1)*AF29*AF31*AF30*AF59/AF49/1000000000</f>
        <v>0.0931423608369523</v>
      </c>
      <c r="AG111" s="74" t="n">
        <f aca="false">(AG47+1)*AG29*AG31*AG30*AG59/AG49/1000000000</f>
        <v>0.0931423608369523</v>
      </c>
      <c r="AH111" s="74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1009</v>
      </c>
      <c r="B112" s="62" t="s">
        <v>1010</v>
      </c>
      <c r="C112" s="74" t="n">
        <f aca="false">(C109*C107+C110*C24+C111*C108)/1000</f>
        <v>0.0106856249248582</v>
      </c>
      <c r="D112" s="74" t="n">
        <f aca="false">(D109*D107+D110*D24+D111*D108)/1000</f>
        <v>0.0237886103842591</v>
      </c>
      <c r="E112" s="74" t="n">
        <f aca="false">(E109*E107+E110*E24+E111*E108)/1000</f>
        <v>0.014202764906528</v>
      </c>
      <c r="F112" s="74" t="n">
        <f aca="false">(F109*F107+F110*F24+F111*F108)/1000</f>
        <v>0.0237886103842591</v>
      </c>
      <c r="G112" s="74" t="n">
        <f aca="false">(G109*G107+G110*G24+G111*G108)/1000</f>
        <v>0.00951324493096823</v>
      </c>
      <c r="H112" s="74" t="n">
        <f aca="false">(H109*H107+H110*H24+H111*H108)/1000</f>
        <v>0.0237886103842591</v>
      </c>
      <c r="I112" s="74" t="n">
        <f aca="false">(I109*I107+I110*I24+I111*I108)/1000</f>
        <v>0.0104638415632776</v>
      </c>
      <c r="J112" s="74" t="n">
        <f aca="false">(J109*J107+J110*J24+J111*J108)/1000</f>
        <v>0.0237886103842591</v>
      </c>
      <c r="K112" s="74" t="n">
        <f aca="false">(K109*K107+K110*K24+K111*K108)/1000</f>
        <v>0.0111299849147266</v>
      </c>
      <c r="L112" s="74" t="n">
        <f aca="false">(L109*L107+L110*L24+L111*L108)/1000</f>
        <v>0.0237886103842591</v>
      </c>
      <c r="M112" s="74" t="n">
        <f aca="false">(M109*M107+M110*M24+M111*M108)/1000</f>
        <v>0.0076807198745622</v>
      </c>
      <c r="N112" s="74" t="n">
        <f aca="false">(N109*N107+N110*N24+N111*N108)/1000</f>
        <v>0.0237886103842591</v>
      </c>
      <c r="O112" s="74" t="n">
        <f aca="false">(O109*O107+O110*O24+O111*O108)/1000</f>
        <v>0.0103505617501835</v>
      </c>
      <c r="P112" s="74" t="n">
        <f aca="false">(P109*P107+P110*P24+P111*P108)/1000</f>
        <v>0.022636089775517</v>
      </c>
      <c r="Q112" s="74" t="n">
        <f aca="false">(Q109*Q107+Q110*Q24+Q111*Q108)/1000</f>
        <v>0.0197738657424052</v>
      </c>
      <c r="R112" s="74" t="n">
        <f aca="false">(R109*R107+R110*R24+R111*R108)/1000</f>
        <v>0.0649642354388919</v>
      </c>
      <c r="S112" s="74" t="n">
        <f aca="false">(S109*S107+S110*S24+S111*S108)/1000</f>
        <v>0.0133329031835752</v>
      </c>
      <c r="T112" s="74" t="n">
        <f aca="false">(T109*T107+T110*T24+T111*T108)/1000</f>
        <v>0.030856326936996</v>
      </c>
      <c r="U112" s="74" t="n">
        <f aca="false">(U109*U107+U110*U24+U111*U108)/1000</f>
        <v>0.00864437252153748</v>
      </c>
      <c r="V112" s="74" t="n">
        <f aca="false">(V109*V107+V110*V24+V111*V108)/1000</f>
        <v>0.0186204246567279</v>
      </c>
      <c r="W112" s="74" t="n">
        <f aca="false">(W109*W107+W110*W24+W111*W108)/1000</f>
        <v>0.0102423631115214</v>
      </c>
      <c r="X112" s="74" t="n">
        <f aca="false">(X109*X107+X110*X24+X111*X108)/1000</f>
        <v>0.0231733591894048</v>
      </c>
      <c r="Y112" s="74" t="n">
        <f aca="false">(Y109*Y107+Y110*Y24+Y111*Y108)/1000</f>
        <v>0.0124586721782051</v>
      </c>
      <c r="Z112" s="74" t="n">
        <f aca="false">(Z109*Z107+Z110*Z24+Z111*Z108)/1000</f>
        <v>0.0262496151636766</v>
      </c>
      <c r="AA112" s="74" t="n">
        <f aca="false">(AA109*AA107+AA110*AA24+AA111*AA108)/1000</f>
        <v>0.0127274384262007</v>
      </c>
      <c r="AB112" s="74" t="n">
        <f aca="false">(AB109*AB107+AB110*AB24+AB111*AB108)/1000</f>
        <v>0.0304559093019999</v>
      </c>
      <c r="AC112" s="74" t="n">
        <f aca="false">(AC109*AC107+AC110*AC24+AC111*AC108)/1000</f>
        <v>0.0706015835068576</v>
      </c>
      <c r="AD112" s="74" t="n">
        <f aca="false">(AD109*AD107+AD110*AD24+AD111*AD108)/1000</f>
        <v>0.204387224233593</v>
      </c>
      <c r="AE112" s="74" t="n">
        <f aca="false">(AE109*AE107+AE110*AE24+AE111*AE108)/1000</f>
        <v>0.0823188925001462</v>
      </c>
      <c r="AF112" s="74" t="n">
        <f aca="false">(AF109*AF107+AF110*AF24+AF111*AF108)/1000</f>
        <v>0.219033860475203</v>
      </c>
      <c r="AG112" s="74" t="n">
        <f aca="false">(AG109*AG107+AG110*AG24+AG111*AG108)/1000</f>
        <v>0.13054460224758</v>
      </c>
      <c r="AH112" s="74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1011</v>
      </c>
      <c r="B113" s="62" t="s">
        <v>1010</v>
      </c>
      <c r="C113" s="74" t="n">
        <f aca="false">C67*C107/1000</f>
        <v>0.00409757715802171</v>
      </c>
      <c r="D113" s="74" t="n">
        <f aca="false">D67*D107/1000</f>
        <v>0.00743634373122458</v>
      </c>
      <c r="E113" s="74" t="n">
        <f aca="false">E67*E107/1000</f>
        <v>0.00409757715802171</v>
      </c>
      <c r="F113" s="74" t="n">
        <f aca="false">F67*F107/1000</f>
        <v>0.00743634373122458</v>
      </c>
      <c r="G113" s="74" t="n">
        <f aca="false">G67*G107/1000</f>
        <v>0.00409757715802171</v>
      </c>
      <c r="H113" s="74" t="n">
        <f aca="false">H67*H107/1000</f>
        <v>0.00743634373122458</v>
      </c>
      <c r="I113" s="74" t="n">
        <f aca="false">I67*I107/1000</f>
        <v>0.00409757715802171</v>
      </c>
      <c r="J113" s="74" t="n">
        <f aca="false">J67*J107/1000</f>
        <v>0.00743634373122458</v>
      </c>
      <c r="K113" s="74" t="n">
        <f aca="false">K67*K107/1000</f>
        <v>0.00409757715802171</v>
      </c>
      <c r="L113" s="74" t="n">
        <f aca="false">L67*L107/1000</f>
        <v>0.00743634373122458</v>
      </c>
      <c r="M113" s="74" t="n">
        <f aca="false">M67*M107/1000</f>
        <v>0.00286830401061519</v>
      </c>
      <c r="N113" s="74" t="n">
        <f aca="false">N67*N107/1000</f>
        <v>0.00743634373122458</v>
      </c>
      <c r="O113" s="74" t="n">
        <f aca="false">O67*O107/1000</f>
        <v>0.00409757715802171</v>
      </c>
      <c r="P113" s="74" t="n">
        <f aca="false">P67*P107/1000</f>
        <v>0.00743634373122458</v>
      </c>
      <c r="Q113" s="74" t="n">
        <f aca="false">Q67*Q107/1000</f>
        <v>0.00409757715802171</v>
      </c>
      <c r="R113" s="74" t="n">
        <f aca="false">R67*R107/1000</f>
        <v>0.00743634373122458</v>
      </c>
      <c r="S113" s="74" t="n">
        <f aca="false">S67*S107/1000</f>
        <v>0.00409757715802171</v>
      </c>
      <c r="T113" s="74" t="n">
        <f aca="false">T67*T107/1000</f>
        <v>0.00743634373122458</v>
      </c>
      <c r="U113" s="74" t="n">
        <f aca="false">U67*U107/1000</f>
        <v>0.00409757715802171</v>
      </c>
      <c r="V113" s="74" t="n">
        <f aca="false">V67*V107/1000</f>
        <v>0.00743634373122458</v>
      </c>
      <c r="W113" s="74" t="n">
        <f aca="false">W67*W107/1000</f>
        <v>0.0035572832529566</v>
      </c>
      <c r="X113" s="74" t="n">
        <f aca="false">X67*X107/1000</f>
        <v>0.00645581034795827</v>
      </c>
      <c r="Y113" s="74" t="n">
        <f aca="false">Y67*Y107/1000</f>
        <v>0.00414570433736119</v>
      </c>
      <c r="Z113" s="74" t="n">
        <f aca="false">Z67*Z107/1000</f>
        <v>0.00752368564928512</v>
      </c>
      <c r="AA113" s="74" t="n">
        <f aca="false">AA67*AA107/1000</f>
        <v>0.00409757715802171</v>
      </c>
      <c r="AB113" s="74" t="n">
        <f aca="false">AB67*AB107/1000</f>
        <v>0.00743634373122458</v>
      </c>
      <c r="AC113" s="74" t="n">
        <f aca="false">AC67*AC107/1000</f>
        <v>0.0135935167926857</v>
      </c>
      <c r="AD113" s="74" t="n">
        <f aca="false">AD67*AD107/1000</f>
        <v>0.0246697156608</v>
      </c>
      <c r="AE113" s="74" t="n">
        <f aca="false">AE67*AE107/1000</f>
        <v>0.0135935167926857</v>
      </c>
      <c r="AF113" s="74" t="n">
        <f aca="false">AF67*AF107/1000</f>
        <v>0.0246697156608</v>
      </c>
      <c r="AG113" s="74" t="n">
        <f aca="false">AG67*AG107/1000</f>
        <v>0.0135935167926857</v>
      </c>
      <c r="AH113" s="74" t="n">
        <f aca="false">AH67*AH107/1000</f>
        <v>0.0246697156608</v>
      </c>
    </row>
    <row r="114" customFormat="false" ht="15" hidden="false" customHeight="false" outlineLevel="0" collapsed="false">
      <c r="A114" s="61" t="s">
        <v>1012</v>
      </c>
      <c r="B114" s="62" t="s">
        <v>934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1013</v>
      </c>
      <c r="B115" s="62" t="s">
        <v>934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1014</v>
      </c>
      <c r="B116" s="62" t="s">
        <v>127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1015</v>
      </c>
      <c r="B117" s="62" t="s">
        <v>1016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1017</v>
      </c>
      <c r="B118" s="62" t="s">
        <v>1010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7" t="s">
        <v>1042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</row>
    <row r="120" customFormat="false" ht="15" hidden="false" customHeight="false" outlineLevel="0" collapsed="false">
      <c r="A120" s="62" t="s">
        <v>1043</v>
      </c>
      <c r="B120" s="62" t="s">
        <v>132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1044</v>
      </c>
      <c r="B121" s="62" t="s">
        <v>132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1045</v>
      </c>
    </row>
    <row r="2" customFormat="false" ht="15" hidden="false" customHeight="false" outlineLevel="0" collapsed="false">
      <c r="A2" s="65" t="s">
        <v>1046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DC_Cost!C4</f>
        <v>Hopper H100</v>
      </c>
      <c r="D4" s="83" t="str">
        <f aca="false">DC_Cost!D4</f>
        <v>Hopper H100</v>
      </c>
      <c r="E4" s="83" t="str">
        <f aca="false">DC_Cost!E4</f>
        <v>Hopper H100</v>
      </c>
      <c r="F4" s="83" t="str">
        <f aca="false">DC_Cost!F4</f>
        <v>GB200 NVL72</v>
      </c>
      <c r="G4" s="83" t="str">
        <f aca="false">DC_Cost!G4</f>
        <v>GB200 NVL72</v>
      </c>
      <c r="H4" s="83" t="str">
        <f aca="false">DC_Cost!H4</f>
        <v>GB200 NVL72</v>
      </c>
      <c r="I4" s="83" t="str">
        <f aca="false">DC_Cost!I4</f>
        <v>GB300 NVL72</v>
      </c>
      <c r="J4" s="83" t="str">
        <f aca="false">DC_Cost!J4</f>
        <v>GB300 NVL72</v>
      </c>
      <c r="K4" s="83" t="str">
        <f aca="false">DC_Cost!K4</f>
        <v>GB300 NVL72</v>
      </c>
      <c r="L4" s="83" t="str">
        <f aca="false">DC_Cost!L4</f>
        <v>VR200 NVL72</v>
      </c>
      <c r="M4" s="83" t="str">
        <f aca="false">DC_Cost!M4</f>
        <v>VR200 NVL72</v>
      </c>
      <c r="N4" s="83" t="str">
        <f aca="false">DC_Cost!N4</f>
        <v>VR200 NVL72</v>
      </c>
      <c r="O4" s="83" t="str">
        <f aca="false">DC_Cost!O4</f>
        <v>Rubin Ultra（MGX NVL 單架，72 GPU）</v>
      </c>
      <c r="P4" s="83" t="str">
        <f aca="false">DC_Cost!P4</f>
        <v>Rubin Ultra（MGX NVL 單架，72 GPU）</v>
      </c>
      <c r="Q4" s="83" t="str">
        <f aca="false">DC_Cost!Q4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28</v>
      </c>
      <c r="C5" s="83" t="str">
        <f aca="false">DC_Cost!C5</f>
        <v>低成本</v>
      </c>
      <c r="D5" s="83" t="str">
        <f aca="false">DC_Cost!D5</f>
        <v>基準</v>
      </c>
      <c r="E5" s="83" t="str">
        <f aca="false">DC_Cost!E5</f>
        <v>高成本</v>
      </c>
      <c r="F5" s="83" t="str">
        <f aca="false">DC_Cost!F5</f>
        <v>低成本</v>
      </c>
      <c r="G5" s="83" t="str">
        <f aca="false">DC_Cost!G5</f>
        <v>基準</v>
      </c>
      <c r="H5" s="83" t="str">
        <f aca="false">DC_Cost!H5</f>
        <v>高成本</v>
      </c>
      <c r="I5" s="83" t="str">
        <f aca="false">DC_Cost!I5</f>
        <v>低成本</v>
      </c>
      <c r="J5" s="83" t="str">
        <f aca="false">DC_Cost!J5</f>
        <v>基準</v>
      </c>
      <c r="K5" s="83" t="str">
        <f aca="false">DC_Cost!K5</f>
        <v>高成本</v>
      </c>
      <c r="L5" s="83" t="str">
        <f aca="false">DC_Cost!L5</f>
        <v>低成本</v>
      </c>
      <c r="M5" s="83" t="str">
        <f aca="false">DC_Cost!M5</f>
        <v>基準</v>
      </c>
      <c r="N5" s="83" t="str">
        <f aca="false">DC_Cost!N5</f>
        <v>高成本</v>
      </c>
      <c r="O5" s="83" t="str">
        <f aca="false">DC_Cost!O5</f>
        <v>低成本</v>
      </c>
      <c r="P5" s="83" t="str">
        <f aca="false">DC_Cost!P5</f>
        <v>基準</v>
      </c>
      <c r="Q5" s="83" t="str">
        <f aca="false">DC_Cost!Q5</f>
        <v>高成本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70" t="s">
        <v>1047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customFormat="false" ht="15" hidden="false" customHeight="false" outlineLevel="0" collapsed="false">
      <c r="A8" s="61" t="s">
        <v>1048</v>
      </c>
      <c r="B8" s="62" t="s">
        <v>1049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1050</v>
      </c>
      <c r="B9" s="62" t="s">
        <v>1049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1051</v>
      </c>
      <c r="B10" s="62" t="s">
        <v>127</v>
      </c>
      <c r="C10" s="66" t="n">
        <f aca="false">Serving!$C$17</f>
        <v>0.6</v>
      </c>
      <c r="D10" s="66" t="n">
        <f aca="false">Serving!$C$17</f>
        <v>0.6</v>
      </c>
      <c r="E10" s="66" t="n">
        <f aca="false">Serving!$C$17</f>
        <v>0.6</v>
      </c>
      <c r="F10" s="66" t="n">
        <f aca="false">Serving!$C$17</f>
        <v>0.6</v>
      </c>
      <c r="G10" s="66" t="n">
        <f aca="false">Serving!$C$17</f>
        <v>0.6</v>
      </c>
      <c r="H10" s="66" t="n">
        <f aca="false">Serving!$C$17</f>
        <v>0.6</v>
      </c>
      <c r="I10" s="66" t="n">
        <f aca="false">Serving!$C$17</f>
        <v>0.6</v>
      </c>
      <c r="J10" s="66" t="n">
        <f aca="false">Serving!$C$17</f>
        <v>0.6</v>
      </c>
      <c r="K10" s="66" t="n">
        <f aca="false">Serving!$C$17</f>
        <v>0.6</v>
      </c>
      <c r="L10" s="66" t="n">
        <f aca="false">Serving!$C$17</f>
        <v>0.6</v>
      </c>
      <c r="M10" s="66" t="n">
        <f aca="false">Serving!$C$17</f>
        <v>0.6</v>
      </c>
      <c r="N10" s="66" t="n">
        <f aca="false">Serving!$C$17</f>
        <v>0.6</v>
      </c>
      <c r="O10" s="66" t="n">
        <f aca="false">Serving!$C$17</f>
        <v>0.6</v>
      </c>
      <c r="P10" s="66" t="n">
        <f aca="false">Serving!$C$17</f>
        <v>0.6</v>
      </c>
      <c r="Q10" s="66" t="n">
        <f aca="false">Serving!$C$17</f>
        <v>0.6</v>
      </c>
      <c r="R10" s="65" t="s">
        <v>1052</v>
      </c>
    </row>
    <row r="12" customFormat="false" ht="15" hidden="false" customHeight="false" outlineLevel="0" collapsed="false">
      <c r="A12" s="77" t="s">
        <v>302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customFormat="false" ht="15" hidden="false" customHeight="false" outlineLevel="0" collapsed="false">
      <c r="A13" s="62" t="s">
        <v>1053</v>
      </c>
      <c r="B13" s="62" t="s">
        <v>986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1054</v>
      </c>
      <c r="B14" s="62" t="s">
        <v>986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1055</v>
      </c>
      <c r="B15" s="62" t="s">
        <v>986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1056</v>
      </c>
      <c r="B16" s="62" t="s">
        <v>1040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1057</v>
      </c>
      <c r="B17" s="62" t="s">
        <v>1040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1058</v>
      </c>
      <c r="B18" s="62" t="s">
        <v>1040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1059</v>
      </c>
      <c r="B19" s="62" t="s">
        <v>1040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65" t="s">
        <v>1060</v>
      </c>
    </row>
    <row r="20" customFormat="false" ht="15" hidden="false" customHeight="false" outlineLevel="0" collapsed="false">
      <c r="A20" s="61" t="s">
        <v>1061</v>
      </c>
      <c r="B20" s="62" t="s">
        <v>1040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65" t="s">
        <v>1062</v>
      </c>
    </row>
    <row r="21" customFormat="false" ht="15" hidden="false" customHeight="false" outlineLevel="0" collapsed="false">
      <c r="A21" s="62" t="s">
        <v>1063</v>
      </c>
      <c r="B21" s="62" t="s">
        <v>1040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65" t="s">
        <v>1064</v>
      </c>
    </row>
    <row r="22" customFormat="false" ht="15" hidden="false" customHeight="false" outlineLevel="0" collapsed="false">
      <c r="A22" s="62" t="s">
        <v>1065</v>
      </c>
      <c r="B22" s="62" t="s">
        <v>1040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/>
      <c r="B23" s="61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65" t="s">
        <v>1066</v>
      </c>
    </row>
    <row r="25" customFormat="false" ht="15" hidden="false" customHeight="false" outlineLevel="0" collapsed="false">
      <c r="A25" s="77" t="s">
        <v>303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</row>
    <row r="26" customFormat="false" ht="15" hidden="false" customHeight="false" outlineLevel="0" collapsed="false">
      <c r="A26" s="62" t="s">
        <v>1053</v>
      </c>
      <c r="B26" s="62" t="s">
        <v>986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1054</v>
      </c>
      <c r="B27" s="62" t="s">
        <v>986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1055</v>
      </c>
      <c r="B28" s="62" t="s">
        <v>986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1056</v>
      </c>
      <c r="B29" s="62" t="s">
        <v>1040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1057</v>
      </c>
      <c r="B30" s="62" t="s">
        <v>1040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1058</v>
      </c>
      <c r="B31" s="62" t="s">
        <v>1040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1059</v>
      </c>
      <c r="B32" s="62" t="s">
        <v>1040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65" t="s">
        <v>1067</v>
      </c>
    </row>
    <row r="33" customFormat="false" ht="15" hidden="false" customHeight="false" outlineLevel="0" collapsed="false">
      <c r="A33" s="61" t="s">
        <v>1061</v>
      </c>
      <c r="B33" s="62" t="s">
        <v>1040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65" t="s">
        <v>1068</v>
      </c>
    </row>
    <row r="34" customFormat="false" ht="15" hidden="false" customHeight="false" outlineLevel="0" collapsed="false">
      <c r="A34" s="62" t="s">
        <v>1063</v>
      </c>
      <c r="B34" s="62" t="s">
        <v>1040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65" t="s">
        <v>1069</v>
      </c>
    </row>
    <row r="35" customFormat="false" ht="15" hidden="false" customHeight="false" outlineLevel="0" collapsed="false">
      <c r="A35" s="62" t="s">
        <v>1065</v>
      </c>
      <c r="B35" s="62" t="s">
        <v>1040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/>
      <c r="B36" s="61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65" t="s">
        <v>1070</v>
      </c>
    </row>
    <row r="38" customFormat="false" ht="15" hidden="false" customHeight="false" outlineLevel="0" collapsed="false">
      <c r="A38" s="77" t="s">
        <v>304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62" t="s">
        <v>1053</v>
      </c>
      <c r="B39" s="62" t="s">
        <v>986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1054</v>
      </c>
      <c r="B40" s="62" t="s">
        <v>986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1055</v>
      </c>
      <c r="B41" s="62" t="s">
        <v>986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1056</v>
      </c>
      <c r="B42" s="62" t="s">
        <v>1040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1057</v>
      </c>
      <c r="B43" s="62" t="s">
        <v>1040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1058</v>
      </c>
      <c r="B44" s="62" t="s">
        <v>1040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1059</v>
      </c>
      <c r="B45" s="62" t="s">
        <v>1040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65" t="s">
        <v>1071</v>
      </c>
    </row>
    <row r="46" customFormat="false" ht="15" hidden="false" customHeight="false" outlineLevel="0" collapsed="false">
      <c r="A46" s="61" t="s">
        <v>1061</v>
      </c>
      <c r="B46" s="62" t="s">
        <v>1040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65" t="s">
        <v>1072</v>
      </c>
    </row>
    <row r="47" customFormat="false" ht="15" hidden="false" customHeight="false" outlineLevel="0" collapsed="false">
      <c r="A47" s="62" t="s">
        <v>1063</v>
      </c>
      <c r="B47" s="62" t="s">
        <v>1040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65" t="s">
        <v>1073</v>
      </c>
    </row>
    <row r="48" customFormat="false" ht="15" hidden="false" customHeight="false" outlineLevel="0" collapsed="false">
      <c r="A48" s="62" t="s">
        <v>1065</v>
      </c>
      <c r="B48" s="62" t="s">
        <v>1040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/>
      <c r="B49" s="61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65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1075</v>
      </c>
    </row>
    <row r="2" customFormat="false" ht="15" hidden="false" customHeight="true" outlineLevel="0" collapsed="false">
      <c r="A2" s="11" t="s">
        <v>1076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200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1077</v>
      </c>
    </row>
    <row r="5" customFormat="false" ht="15" hidden="false" customHeight="true" outlineLevel="0" collapsed="false">
      <c r="A5" s="22" t="s">
        <v>28</v>
      </c>
      <c r="C5" s="36" t="s">
        <v>110</v>
      </c>
      <c r="D5" s="36" t="s">
        <v>111</v>
      </c>
      <c r="E5" s="36" t="s">
        <v>112</v>
      </c>
      <c r="F5" s="36" t="s">
        <v>110</v>
      </c>
      <c r="G5" s="36" t="s">
        <v>111</v>
      </c>
      <c r="H5" s="36" t="s">
        <v>112</v>
      </c>
      <c r="I5" s="36" t="s">
        <v>110</v>
      </c>
      <c r="J5" s="36" t="s">
        <v>111</v>
      </c>
      <c r="K5" s="36" t="s">
        <v>112</v>
      </c>
      <c r="L5" s="36" t="s">
        <v>110</v>
      </c>
      <c r="M5" s="36" t="s">
        <v>111</v>
      </c>
      <c r="N5" s="36" t="s">
        <v>112</v>
      </c>
      <c r="O5" s="36" t="s">
        <v>110</v>
      </c>
      <c r="P5" s="36" t="s">
        <v>111</v>
      </c>
      <c r="Q5" s="36" t="s">
        <v>112</v>
      </c>
    </row>
    <row r="7" customFormat="false" ht="15" hidden="false" customHeight="true" outlineLevel="0" collapsed="false">
      <c r="A7" s="27" t="s">
        <v>1078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1079</v>
      </c>
      <c r="B8" s="17" t="s">
        <v>1080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126</v>
      </c>
      <c r="B9" s="17" t="s">
        <v>127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1081</v>
      </c>
      <c r="B10" s="17" t="s">
        <v>1080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933</v>
      </c>
      <c r="B11" s="17" t="s">
        <v>934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1082</v>
      </c>
      <c r="B12" s="23" t="s">
        <v>932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213</v>
      </c>
      <c r="B13" s="23" t="s">
        <v>926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1083</v>
      </c>
      <c r="B14" s="23" t="s">
        <v>926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131</v>
      </c>
      <c r="B15" s="17" t="s">
        <v>132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1084</v>
      </c>
      <c r="B16" s="17" t="s">
        <v>1080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1085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1086</v>
      </c>
      <c r="B18" s="17" t="s">
        <v>1087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1088</v>
      </c>
      <c r="B19" s="17" t="s">
        <v>1089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142</v>
      </c>
      <c r="B20" s="17" t="s">
        <v>127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1090</v>
      </c>
      <c r="B21" s="17" t="s">
        <v>1089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1091</v>
      </c>
      <c r="B22" s="17" t="s">
        <v>145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1091</v>
      </c>
      <c r="B23" s="17" t="s">
        <v>1089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1092</v>
      </c>
      <c r="B24" s="17" t="s">
        <v>1089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148</v>
      </c>
      <c r="B25" s="17" t="s">
        <v>1089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1093</v>
      </c>
      <c r="B26" s="17" t="s">
        <v>1089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1094</v>
      </c>
      <c r="B27" s="17" t="s">
        <v>1089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1095</v>
      </c>
      <c r="B28" s="17" t="s">
        <v>1089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1096</v>
      </c>
      <c r="B29" s="17" t="s">
        <v>1089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1097</v>
      </c>
      <c r="B30" s="17" t="s">
        <v>127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158</v>
      </c>
      <c r="B31" s="17" t="s">
        <v>1089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1098</v>
      </c>
      <c r="B32" s="17" t="s">
        <v>1089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1099</v>
      </c>
      <c r="B33" s="17" t="s">
        <v>1089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1100</v>
      </c>
      <c r="B34" s="17" t="s">
        <v>1101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  <c r="R34" s="21" t="s">
        <v>1102</v>
      </c>
    </row>
    <row r="35" customFormat="false" ht="15" hidden="false" customHeight="true" outlineLevel="0" collapsed="false">
      <c r="A35" s="22" t="s">
        <v>1103</v>
      </c>
      <c r="B35" s="17" t="s">
        <v>1087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  <c r="R35" s="21" t="s">
        <v>1104</v>
      </c>
    </row>
    <row r="36" customFormat="false" ht="15" hidden="false" customHeight="true" outlineLevel="0" collapsed="false">
      <c r="A36" s="22" t="s">
        <v>1105</v>
      </c>
      <c r="B36" s="17" t="s">
        <v>1087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1106</v>
      </c>
    </row>
    <row r="37" customFormat="false" ht="15" hidden="false" customHeight="true" outlineLevel="0" collapsed="false">
      <c r="A37" s="27" t="s">
        <v>1107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1108</v>
      </c>
      <c r="B38" s="23" t="s">
        <v>163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1109</v>
      </c>
      <c r="B39" s="17" t="s">
        <v>1089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1110</v>
      </c>
      <c r="B40" s="17" t="s">
        <v>1089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135</v>
      </c>
      <c r="B41" s="17" t="s">
        <v>127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137</v>
      </c>
      <c r="B42" s="17" t="s">
        <v>138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1111</v>
      </c>
      <c r="B43" s="17" t="s">
        <v>1089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1112</v>
      </c>
      <c r="B44" s="17" t="s">
        <v>1089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178</v>
      </c>
      <c r="B45" s="17" t="s">
        <v>1089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1113</v>
      </c>
      <c r="B46" s="17" t="s">
        <v>1089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189</v>
      </c>
      <c r="B47" s="17" t="s">
        <v>1089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1114</v>
      </c>
      <c r="B48" s="17" t="s">
        <v>1089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1115</v>
      </c>
      <c r="B49" s="17" t="s">
        <v>1089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1116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1117</v>
      </c>
      <c r="B51" s="17" t="s">
        <v>127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1118</v>
      </c>
      <c r="B52" s="17" t="s">
        <v>132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1119</v>
      </c>
      <c r="B53" s="17" t="s">
        <v>1089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1120</v>
      </c>
      <c r="B54" s="17" t="s">
        <v>1089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1121</v>
      </c>
      <c r="B55" s="17" t="s">
        <v>1089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1122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1123</v>
      </c>
      <c r="B57" s="17" t="s">
        <v>1049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1124</v>
      </c>
      <c r="B58" s="17" t="s">
        <v>1049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1125</v>
      </c>
      <c r="B59" s="17" t="s">
        <v>1126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  <c r="R59" s="21" t="s">
        <v>1127</v>
      </c>
    </row>
    <row r="60" customFormat="false" ht="15" hidden="false" customHeight="true" outlineLevel="0" collapsed="false">
      <c r="A60" s="22" t="s">
        <v>1128</v>
      </c>
      <c r="B60" s="17" t="s">
        <v>1129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  <c r="R60" s="21" t="s">
        <v>1130</v>
      </c>
    </row>
    <row r="61" customFormat="false" ht="15" hidden="false" customHeight="true" outlineLevel="0" collapsed="false">
      <c r="A61" s="22" t="s">
        <v>1131</v>
      </c>
      <c r="B61" s="17" t="s">
        <v>127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  <c r="R61" s="21" t="s">
        <v>1132</v>
      </c>
    </row>
    <row r="62" customFormat="false" ht="15" hidden="false" customHeight="true" outlineLevel="0" collapsed="false">
      <c r="A62" s="22" t="s">
        <v>1133</v>
      </c>
      <c r="B62" s="17" t="s">
        <v>127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  <c r="R62" s="21" t="s">
        <v>1134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1135</v>
      </c>
    </row>
    <row r="2" customFormat="false" ht="15" hidden="false" customHeight="false" outlineLevel="0" collapsed="false">
      <c r="A2" s="59" t="s">
        <v>1136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377</v>
      </c>
      <c r="B4" s="60" t="s">
        <v>109</v>
      </c>
      <c r="C4" s="60" t="s">
        <v>378</v>
      </c>
      <c r="D4" s="60" t="s">
        <v>113</v>
      </c>
      <c r="H4" s="60" t="s">
        <v>379</v>
      </c>
    </row>
    <row r="5" customFormat="false" ht="15" hidden="false" customHeight="false" outlineLevel="0" collapsed="false">
      <c r="A5" s="61" t="s">
        <v>1137</v>
      </c>
      <c r="B5" s="61"/>
      <c r="C5" s="136" t="s">
        <v>1138</v>
      </c>
      <c r="D5" s="59" t="s">
        <v>118</v>
      </c>
      <c r="H5" s="88" t="s">
        <v>1139</v>
      </c>
    </row>
    <row r="6" customFormat="false" ht="26.85" hidden="false" customHeight="false" outlineLevel="0" collapsed="false">
      <c r="A6" s="61" t="s">
        <v>1140</v>
      </c>
      <c r="B6" s="62" t="s">
        <v>127</v>
      </c>
      <c r="C6" s="67" t="n">
        <v>0.25</v>
      </c>
      <c r="D6" s="59" t="s">
        <v>133</v>
      </c>
      <c r="H6" s="88" t="s">
        <v>1141</v>
      </c>
    </row>
    <row r="7" customFormat="false" ht="15" hidden="false" customHeight="false" outlineLevel="0" collapsed="false">
      <c r="A7" s="62" t="s">
        <v>1142</v>
      </c>
      <c r="B7" s="62" t="s">
        <v>127</v>
      </c>
      <c r="C7" s="67" t="n">
        <v>0.9</v>
      </c>
      <c r="D7" s="59" t="s">
        <v>133</v>
      </c>
      <c r="H7" s="88" t="s">
        <v>1143</v>
      </c>
    </row>
    <row r="8" customFormat="false" ht="15" hidden="false" customHeight="false" outlineLevel="0" collapsed="false">
      <c r="A8" s="62" t="s">
        <v>1144</v>
      </c>
      <c r="B8" s="62" t="s">
        <v>132</v>
      </c>
      <c r="C8" s="80" t="n">
        <v>0.8</v>
      </c>
      <c r="D8" s="59" t="s">
        <v>128</v>
      </c>
      <c r="H8" s="93" t="s">
        <v>1145</v>
      </c>
    </row>
    <row r="9" customFormat="false" ht="15" hidden="false" customHeight="false" outlineLevel="0" collapsed="false">
      <c r="A9" s="62" t="s">
        <v>1146</v>
      </c>
      <c r="B9" s="62" t="s">
        <v>132</v>
      </c>
      <c r="C9" s="80" t="n">
        <v>0.6</v>
      </c>
      <c r="D9" s="59" t="s">
        <v>128</v>
      </c>
      <c r="H9" s="93" t="s">
        <v>1147</v>
      </c>
    </row>
    <row r="10" customFormat="false" ht="15" hidden="false" customHeight="false" outlineLevel="0" collapsed="false">
      <c r="A10" s="61" t="s">
        <v>1148</v>
      </c>
      <c r="B10" s="61" t="s">
        <v>122</v>
      </c>
      <c r="C10" s="68" t="n">
        <v>0</v>
      </c>
      <c r="D10" s="59" t="s">
        <v>128</v>
      </c>
      <c r="H10" s="88" t="s">
        <v>1149</v>
      </c>
    </row>
    <row r="11" customFormat="false" ht="26.85" hidden="false" customHeight="false" outlineLevel="0" collapsed="false">
      <c r="A11" s="62" t="s">
        <v>1150</v>
      </c>
      <c r="B11" s="62" t="s">
        <v>127</v>
      </c>
      <c r="C11" s="67" t="n">
        <v>0.85</v>
      </c>
      <c r="D11" s="59" t="s">
        <v>133</v>
      </c>
      <c r="H11" s="88" t="s">
        <v>1151</v>
      </c>
    </row>
    <row r="12" customFormat="false" ht="15" hidden="false" customHeight="false" outlineLevel="0" collapsed="false">
      <c r="A12" s="62" t="s">
        <v>1152</v>
      </c>
      <c r="B12" s="61" t="s">
        <v>370</v>
      </c>
      <c r="C12" s="68" t="n">
        <v>16</v>
      </c>
      <c r="D12" s="59" t="s">
        <v>133</v>
      </c>
      <c r="H12" s="88" t="s">
        <v>1153</v>
      </c>
    </row>
    <row r="13" customFormat="false" ht="26.85" hidden="false" customHeight="false" outlineLevel="0" collapsed="false">
      <c r="A13" s="61" t="s">
        <v>1154</v>
      </c>
      <c r="B13" s="62" t="s">
        <v>132</v>
      </c>
      <c r="C13" s="79" t="n">
        <v>8</v>
      </c>
      <c r="D13" s="59" t="s">
        <v>133</v>
      </c>
      <c r="H13" s="88" t="s">
        <v>1155</v>
      </c>
    </row>
    <row r="14" customFormat="false" ht="15" hidden="false" customHeight="false" outlineLevel="0" collapsed="false">
      <c r="A14" s="61" t="s">
        <v>1156</v>
      </c>
      <c r="B14" s="61"/>
      <c r="C14" s="109" t="s">
        <v>1157</v>
      </c>
      <c r="D14" s="59" t="s">
        <v>118</v>
      </c>
      <c r="H14" s="88" t="s">
        <v>1158</v>
      </c>
    </row>
    <row r="15" customFormat="false" ht="15" hidden="false" customHeight="false" outlineLevel="0" collapsed="false">
      <c r="A15" s="61" t="s">
        <v>1159</v>
      </c>
      <c r="B15" s="61" t="s">
        <v>122</v>
      </c>
      <c r="C15" s="68" t="n">
        <v>3</v>
      </c>
      <c r="D15" s="59" t="s">
        <v>128</v>
      </c>
      <c r="H15" s="93" t="s">
        <v>1160</v>
      </c>
    </row>
    <row r="16" customFormat="false" ht="15" hidden="false" customHeight="false" outlineLevel="0" collapsed="false">
      <c r="A16" s="61" t="s">
        <v>1161</v>
      </c>
      <c r="B16" s="61" t="s">
        <v>1162</v>
      </c>
      <c r="C16" s="68" t="n">
        <v>4</v>
      </c>
      <c r="D16" s="59" t="s">
        <v>118</v>
      </c>
      <c r="E16" s="83" t="str">
        <f aca="false">INDEX(Spec_Rack!$C$4:$G$4,$C$16)</f>
        <v>VR200 NVL72</v>
      </c>
      <c r="H16" s="88" t="s">
        <v>1163</v>
      </c>
      <c r="I16" s="65" t="s">
        <v>1164</v>
      </c>
    </row>
    <row r="17" customFormat="false" ht="15" hidden="false" customHeight="false" outlineLevel="0" collapsed="false">
      <c r="A17" s="61" t="s">
        <v>1165</v>
      </c>
      <c r="B17" s="61" t="s">
        <v>1162</v>
      </c>
      <c r="C17" s="68" t="n">
        <v>3</v>
      </c>
      <c r="D17" s="59" t="s">
        <v>118</v>
      </c>
      <c r="E17" s="83" t="str">
        <f aca="false">INDEX(Spec_Rack!$C$4:$G$4,$C$17)</f>
        <v>GB300 NVL72</v>
      </c>
      <c r="H17" s="88" t="s">
        <v>1166</v>
      </c>
      <c r="I17" s="65" t="s">
        <v>1167</v>
      </c>
    </row>
    <row r="19" customFormat="false" ht="15" hidden="false" customHeight="false" outlineLevel="0" collapsed="false">
      <c r="A19" s="70" t="s">
        <v>1168</v>
      </c>
      <c r="B19" s="71"/>
      <c r="C19" s="71"/>
      <c r="D19" s="71"/>
      <c r="E19" s="71"/>
      <c r="F19" s="71"/>
      <c r="G19" s="71"/>
      <c r="H19" s="71"/>
    </row>
    <row r="20" customFormat="false" ht="15" hidden="false" customHeight="false" outlineLevel="0" collapsed="false">
      <c r="A20" s="60" t="s">
        <v>200</v>
      </c>
      <c r="C20" s="83" t="str">
        <f aca="false">Spec_Rack!C4</f>
        <v>Hopper H100</v>
      </c>
      <c r="D20" s="83" t="str">
        <f aca="false">Spec_Rack!D4</f>
        <v>GB200 NVL72</v>
      </c>
      <c r="E20" s="83" t="str">
        <f aca="false">Spec_Rack!E4</f>
        <v>GB300 NVL72</v>
      </c>
      <c r="F20" s="83" t="str">
        <f aca="false">Spec_Rack!F4</f>
        <v>VR200 NVL72</v>
      </c>
      <c r="G20" s="83" t="str">
        <f aca="false">Spec_Rack!G4</f>
        <v>Rubin Ultra（MGX NVL 單架，72 GPU）</v>
      </c>
      <c r="I20" s="65" t="s">
        <v>1169</v>
      </c>
    </row>
    <row r="21" customFormat="false" ht="37.3" hidden="false" customHeight="false" outlineLevel="0" collapsed="false">
      <c r="A21" s="61" t="s">
        <v>1170</v>
      </c>
      <c r="B21" s="62" t="s">
        <v>132</v>
      </c>
      <c r="C21" s="80" t="n">
        <v>1</v>
      </c>
      <c r="D21" s="80" t="n">
        <v>1</v>
      </c>
      <c r="E21" s="80" t="n">
        <v>1</v>
      </c>
      <c r="F21" s="80" t="n">
        <v>0.9</v>
      </c>
      <c r="G21" s="80" t="n">
        <v>0.9</v>
      </c>
      <c r="H21" s="88" t="s">
        <v>1171</v>
      </c>
    </row>
    <row r="23" customFormat="false" ht="15" hidden="false" customHeight="false" outlineLevel="0" collapsed="false">
      <c r="A23" s="70" t="s">
        <v>1172</v>
      </c>
      <c r="B23" s="71"/>
      <c r="C23" s="71"/>
      <c r="D23" s="71"/>
      <c r="E23" s="71"/>
      <c r="F23" s="71"/>
      <c r="G23" s="71"/>
      <c r="H23" s="71"/>
    </row>
    <row r="24" customFormat="false" ht="15" hidden="false" customHeight="false" outlineLevel="0" collapsed="false">
      <c r="A24" s="60" t="s">
        <v>411</v>
      </c>
      <c r="B24" s="60" t="s">
        <v>109</v>
      </c>
      <c r="C24" s="83" t="str">
        <f aca="false">Arch!C4</f>
        <v>Luna（低層）</v>
      </c>
      <c r="D24" s="83" t="str">
        <f aca="false">Arch!D4</f>
        <v>Sol（中層）</v>
      </c>
      <c r="E24" s="83" t="str">
        <f aca="false">Arch!E4</f>
        <v>Astra（頂層）</v>
      </c>
      <c r="H24" s="60" t="s">
        <v>379</v>
      </c>
      <c r="I24" s="65" t="s">
        <v>1173</v>
      </c>
    </row>
    <row r="25" customFormat="false" ht="24.6" hidden="false" customHeight="false" outlineLevel="0" collapsed="false">
      <c r="A25" s="61" t="s">
        <v>1174</v>
      </c>
      <c r="B25" s="62" t="s">
        <v>1175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8" t="s">
        <v>1176</v>
      </c>
    </row>
    <row r="26" customFormat="false" ht="15" hidden="false" customHeight="false" outlineLevel="0" collapsed="false">
      <c r="A26" s="61" t="s">
        <v>1177</v>
      </c>
      <c r="B26" s="62" t="s">
        <v>333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8" t="s">
        <v>1178</v>
      </c>
    </row>
    <row r="27" customFormat="false" ht="15" hidden="false" customHeight="false" outlineLevel="0" collapsed="false">
      <c r="A27" s="61" t="s">
        <v>1179</v>
      </c>
      <c r="B27" s="62" t="s">
        <v>1175</v>
      </c>
      <c r="C27" s="137" t="n">
        <v>1</v>
      </c>
      <c r="D27" s="137" t="n">
        <v>1</v>
      </c>
      <c r="E27" s="137" t="n">
        <v>2</v>
      </c>
      <c r="H27" s="88" t="s">
        <v>1180</v>
      </c>
    </row>
    <row r="28" customFormat="false" ht="15" hidden="false" customHeight="false" outlineLevel="0" collapsed="false">
      <c r="A28" s="61" t="s">
        <v>1181</v>
      </c>
      <c r="B28" s="62" t="s">
        <v>333</v>
      </c>
      <c r="C28" s="64" t="n">
        <v>131072</v>
      </c>
      <c r="D28" s="64" t="n">
        <v>131072</v>
      </c>
      <c r="E28" s="64" t="n">
        <v>131072</v>
      </c>
      <c r="H28" s="88" t="s">
        <v>128</v>
      </c>
    </row>
    <row r="29" customFormat="false" ht="15" hidden="false" customHeight="false" outlineLevel="0" collapsed="false">
      <c r="A29" s="62" t="s">
        <v>1182</v>
      </c>
      <c r="B29" s="62" t="s">
        <v>1175</v>
      </c>
      <c r="C29" s="138" t="n">
        <v>0.05</v>
      </c>
      <c r="D29" s="138" t="n">
        <v>0.05</v>
      </c>
      <c r="E29" s="138" t="n">
        <v>0.1</v>
      </c>
      <c r="H29" s="88" t="s">
        <v>1183</v>
      </c>
    </row>
    <row r="30" customFormat="false" ht="15" hidden="false" customHeight="false" outlineLevel="0" collapsed="false">
      <c r="A30" s="62" t="s">
        <v>1184</v>
      </c>
      <c r="B30" s="62" t="s">
        <v>333</v>
      </c>
      <c r="C30" s="64" t="n">
        <v>16384</v>
      </c>
      <c r="D30" s="64" t="n">
        <v>16384</v>
      </c>
      <c r="E30" s="64" t="n">
        <v>16384</v>
      </c>
      <c r="H30" s="88" t="s">
        <v>128</v>
      </c>
    </row>
    <row r="31" customFormat="false" ht="15" hidden="false" customHeight="false" outlineLevel="0" collapsed="false">
      <c r="A31" s="61" t="s">
        <v>1185</v>
      </c>
      <c r="B31" s="62" t="s">
        <v>414</v>
      </c>
      <c r="C31" s="64" t="n">
        <v>20</v>
      </c>
      <c r="D31" s="64" t="n">
        <v>20</v>
      </c>
      <c r="E31" s="64" t="n">
        <v>20</v>
      </c>
      <c r="H31" s="93" t="s">
        <v>1186</v>
      </c>
    </row>
    <row r="32" customFormat="false" ht="15" hidden="false" customHeight="false" outlineLevel="0" collapsed="false">
      <c r="A32" s="62" t="s">
        <v>1187</v>
      </c>
      <c r="B32" s="62" t="s">
        <v>333</v>
      </c>
      <c r="C32" s="64" t="n">
        <v>4096</v>
      </c>
      <c r="D32" s="64" t="n">
        <v>8192</v>
      </c>
      <c r="E32" s="64" t="n">
        <v>16384</v>
      </c>
      <c r="H32" s="88" t="s">
        <v>128</v>
      </c>
    </row>
    <row r="33" customFormat="false" ht="15" hidden="false" customHeight="false" outlineLevel="0" collapsed="false">
      <c r="A33" s="62" t="s">
        <v>1188</v>
      </c>
      <c r="B33" s="62" t="s">
        <v>333</v>
      </c>
      <c r="C33" s="64" t="n">
        <v>8192</v>
      </c>
      <c r="D33" s="64" t="n">
        <v>16384</v>
      </c>
      <c r="E33" s="64" t="n">
        <v>32768</v>
      </c>
      <c r="H33" s="88" t="s">
        <v>1189</v>
      </c>
    </row>
    <row r="34" customFormat="false" ht="90.25" hidden="false" customHeight="false" outlineLevel="0" collapsed="false">
      <c r="A34" s="62" t="s">
        <v>1190</v>
      </c>
      <c r="B34" s="62" t="s">
        <v>1175</v>
      </c>
      <c r="C34" s="139" t="n">
        <v>2.36</v>
      </c>
      <c r="D34" s="139" t="n">
        <v>2.36</v>
      </c>
      <c r="E34" s="139" t="n">
        <v>9.6</v>
      </c>
      <c r="H34" s="88" t="s">
        <v>1191</v>
      </c>
    </row>
    <row r="35" customFormat="false" ht="15" hidden="false" customHeight="false" outlineLevel="0" collapsed="false">
      <c r="A35" s="62" t="s">
        <v>1192</v>
      </c>
      <c r="B35" s="62" t="s">
        <v>1175</v>
      </c>
      <c r="C35" s="138" t="n">
        <v>0.2</v>
      </c>
      <c r="D35" s="138" t="n">
        <v>0.2</v>
      </c>
      <c r="E35" s="138" t="n">
        <v>0.2</v>
      </c>
      <c r="H35" s="88" t="s">
        <v>1193</v>
      </c>
    </row>
    <row r="36" customFormat="false" ht="15" hidden="false" customHeight="false" outlineLevel="0" collapsed="false">
      <c r="A36" s="61" t="s">
        <v>1194</v>
      </c>
      <c r="B36" s="61" t="s">
        <v>122</v>
      </c>
      <c r="C36" s="68" t="n">
        <v>1</v>
      </c>
      <c r="D36" s="68" t="n">
        <v>2</v>
      </c>
      <c r="E36" s="68" t="n">
        <v>3</v>
      </c>
      <c r="H36" s="88" t="s">
        <v>1195</v>
      </c>
    </row>
    <row r="37" customFormat="false" ht="15" hidden="false" customHeight="false" outlineLevel="0" collapsed="false">
      <c r="A37" s="61" t="s">
        <v>1196</v>
      </c>
      <c r="B37" s="62" t="s">
        <v>1175</v>
      </c>
      <c r="C37" s="137" t="n">
        <v>1</v>
      </c>
      <c r="D37" s="137" t="n">
        <v>2</v>
      </c>
      <c r="E37" s="137" t="n">
        <v>3</v>
      </c>
      <c r="H37" s="88" t="s">
        <v>1197</v>
      </c>
    </row>
    <row r="38" customFormat="false" ht="15" hidden="false" customHeight="false" outlineLevel="0" collapsed="false">
      <c r="A38" s="61" t="s">
        <v>1198</v>
      </c>
      <c r="B38" s="62" t="s">
        <v>1175</v>
      </c>
      <c r="C38" s="138" t="n">
        <v>0.02</v>
      </c>
      <c r="D38" s="138" t="n">
        <v>0.05</v>
      </c>
      <c r="E38" s="138" t="n">
        <v>0.1</v>
      </c>
      <c r="H38" s="88" t="s">
        <v>128</v>
      </c>
    </row>
    <row r="40" customFormat="false" ht="15" hidden="false" customHeight="false" outlineLevel="0" collapsed="false">
      <c r="A40" s="70" t="s">
        <v>1199</v>
      </c>
      <c r="B40" s="71"/>
      <c r="C40" s="71"/>
      <c r="D40" s="71"/>
      <c r="E40" s="71"/>
      <c r="F40" s="71"/>
      <c r="G40" s="71"/>
      <c r="H40" s="71"/>
    </row>
    <row r="41" customFormat="false" ht="15" hidden="false" customHeight="false" outlineLevel="0" collapsed="false">
      <c r="A41" s="62" t="s">
        <v>1200</v>
      </c>
      <c r="B41" s="62" t="s">
        <v>1175</v>
      </c>
      <c r="C41" s="98" t="n">
        <f aca="false">SRC_MOD_039</f>
        <v>14.8</v>
      </c>
      <c r="H41" s="88" t="s">
        <v>1201</v>
      </c>
    </row>
    <row r="42" customFormat="false" ht="15" hidden="false" customHeight="false" outlineLevel="0" collapsed="false">
      <c r="A42" s="62" t="s">
        <v>1202</v>
      </c>
      <c r="B42" s="62" t="s">
        <v>1203</v>
      </c>
      <c r="C42" s="94" t="n">
        <f aca="false">SRC_MOD_040</f>
        <v>2.664</v>
      </c>
      <c r="H42" s="88" t="s">
        <v>1204</v>
      </c>
    </row>
    <row r="43" customFormat="false" ht="15" hidden="false" customHeight="false" outlineLevel="0" collapsed="false">
      <c r="A43" s="62" t="s">
        <v>1205</v>
      </c>
      <c r="B43" s="62" t="s">
        <v>333</v>
      </c>
      <c r="C43" s="63" t="n">
        <f aca="false">SRC_MOD_042</f>
        <v>4096</v>
      </c>
      <c r="H43" s="88" t="s">
        <v>1206</v>
      </c>
    </row>
    <row r="44" customFormat="false" ht="15" hidden="false" customHeight="false" outlineLevel="0" collapsed="false">
      <c r="A44" s="62" t="s">
        <v>1207</v>
      </c>
      <c r="B44" s="62" t="s">
        <v>132</v>
      </c>
      <c r="C44" s="112" t="n">
        <f aca="false">SRC_MOD_034/SRC_MOD_040</f>
        <v>0.0551801801801802</v>
      </c>
      <c r="H44" s="88" t="s">
        <v>1208</v>
      </c>
      <c r="I44" s="65" t="s">
        <v>1209</v>
      </c>
    </row>
    <row r="45" customFormat="false" ht="15" hidden="false" customHeight="false" outlineLevel="0" collapsed="false">
      <c r="A45" s="62" t="s">
        <v>1210</v>
      </c>
      <c r="B45" s="62" t="s">
        <v>132</v>
      </c>
      <c r="C45" s="111" t="n">
        <f aca="false">SRC_MOD_036</f>
        <v>1</v>
      </c>
      <c r="H45" s="88" t="s">
        <v>1211</v>
      </c>
      <c r="I45" s="65" t="s">
        <v>1212</v>
      </c>
    </row>
    <row r="46" customFormat="false" ht="15" hidden="false" customHeight="false" outlineLevel="0" collapsed="false">
      <c r="A46" s="61" t="s">
        <v>1213</v>
      </c>
      <c r="B46" s="62" t="s">
        <v>355</v>
      </c>
      <c r="C46" s="140" t="n">
        <v>2E+026</v>
      </c>
      <c r="H46" s="88" t="s">
        <v>1214</v>
      </c>
      <c r="I46" s="65" t="s">
        <v>1215</v>
      </c>
    </row>
    <row r="47" customFormat="false" ht="15" hidden="false" customHeight="false" outlineLevel="0" collapsed="false">
      <c r="A47" s="61" t="s">
        <v>1216</v>
      </c>
      <c r="B47" s="62" t="s">
        <v>355</v>
      </c>
      <c r="C47" s="140" t="n">
        <v>5E+026</v>
      </c>
      <c r="H47" s="93" t="s">
        <v>154</v>
      </c>
    </row>
    <row r="48" customFormat="false" ht="15" hidden="false" customHeight="false" outlineLevel="0" collapsed="false">
      <c r="A48" s="61" t="s">
        <v>1217</v>
      </c>
      <c r="B48" s="62" t="s">
        <v>355</v>
      </c>
      <c r="C48" s="140" t="n">
        <v>2E+027</v>
      </c>
      <c r="H48" s="93" t="s">
        <v>154</v>
      </c>
      <c r="I48" s="65" t="s">
        <v>1218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1219</v>
      </c>
    </row>
    <row r="2" customFormat="false" ht="15" hidden="false" customHeight="false" outlineLevel="0" collapsed="false">
      <c r="A2" s="59" t="s">
        <v>1220</v>
      </c>
    </row>
    <row r="3" customFormat="false" ht="15" hidden="false" customHeight="false" outlineLevel="0" collapsed="false">
      <c r="A3" s="60" t="s">
        <v>1221</v>
      </c>
      <c r="R3" s="60" t="s">
        <v>1222</v>
      </c>
      <c r="S3" s="60" t="s">
        <v>1222</v>
      </c>
      <c r="T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65" t="s">
        <v>1223</v>
      </c>
    </row>
    <row r="5" customFormat="false" ht="15" hidden="false" customHeight="false" outlineLevel="0" collapsed="false">
      <c r="A5" s="60" t="s">
        <v>913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83" t="str">
        <f aca="false">INDEX(Arch!$C$4:$E$4,R7)</f>
        <v>Sol（中層）</v>
      </c>
      <c r="S5" s="83" t="str">
        <f aca="false">INDEX(Arch!$C$4:$E$4,S7)</f>
        <v>Astra（頂層）</v>
      </c>
      <c r="T5" s="65" t="s">
        <v>1224</v>
      </c>
    </row>
    <row r="6" customFormat="false" ht="15" hidden="false" customHeight="false" outlineLevel="0" collapsed="false">
      <c r="A6" s="60" t="s">
        <v>494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  <c r="R6" s="68" t="n">
        <v>4</v>
      </c>
      <c r="S6" s="68" t="n">
        <v>4</v>
      </c>
    </row>
    <row r="7" customFormat="false" ht="15" hidden="false" customHeight="false" outlineLevel="0" collapsed="false">
      <c r="A7" s="60" t="s">
        <v>915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  <c r="R7" s="68" t="n">
        <v>2</v>
      </c>
      <c r="S7" s="68" t="n">
        <v>3</v>
      </c>
    </row>
    <row r="9" customFormat="false" ht="15" hidden="false" customHeight="false" outlineLevel="0" collapsed="false">
      <c r="A9" s="77" t="s">
        <v>916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917</v>
      </c>
      <c r="B10" s="62" t="s">
        <v>132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918</v>
      </c>
      <c r="B11" s="62" t="s">
        <v>132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919</v>
      </c>
      <c r="B12" s="62" t="s">
        <v>132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65" t="s">
        <v>1225</v>
      </c>
    </row>
    <row r="13" customFormat="false" ht="15" hidden="false" customHeight="false" outlineLevel="0" collapsed="false">
      <c r="A13" s="77" t="s">
        <v>920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customFormat="false" ht="15" hidden="false" customHeight="false" outlineLevel="0" collapsed="false">
      <c r="A14" s="61" t="s">
        <v>525</v>
      </c>
      <c r="B14" s="62" t="s">
        <v>526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528</v>
      </c>
      <c r="B15" s="62" t="s">
        <v>921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531</v>
      </c>
      <c r="B16" s="62" t="s">
        <v>402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922</v>
      </c>
      <c r="B17" s="62" t="s">
        <v>402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262</v>
      </c>
      <c r="B18" s="62" t="s">
        <v>725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923</v>
      </c>
      <c r="B19" s="62" t="s">
        <v>311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924</v>
      </c>
      <c r="B20" s="62" t="s">
        <v>311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2" t="n">
        <v>1</v>
      </c>
      <c r="S20" s="82" t="n">
        <v>1</v>
      </c>
    </row>
    <row r="21" customFormat="false" ht="15" hidden="false" customHeight="false" outlineLevel="0" collapsed="false">
      <c r="A21" s="61" t="s">
        <v>925</v>
      </c>
      <c r="B21" s="62" t="s">
        <v>725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213</v>
      </c>
      <c r="B22" s="61" t="s">
        <v>926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5" t="s">
        <v>1226</v>
      </c>
    </row>
    <row r="23" customFormat="false" ht="15" hidden="false" customHeight="false" outlineLevel="0" collapsed="false">
      <c r="A23" s="62" t="s">
        <v>927</v>
      </c>
      <c r="B23" s="62" t="s">
        <v>928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  <c r="T23" s="65" t="s">
        <v>1227</v>
      </c>
    </row>
    <row r="24" customFormat="false" ht="15" hidden="false" customHeight="false" outlineLevel="0" collapsed="false">
      <c r="A24" s="62" t="s">
        <v>929</v>
      </c>
      <c r="B24" s="62" t="s">
        <v>930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  <c r="T24" s="65" t="s">
        <v>1228</v>
      </c>
    </row>
    <row r="25" customFormat="false" ht="15" hidden="false" customHeight="false" outlineLevel="0" collapsed="false">
      <c r="A25" s="61" t="s">
        <v>931</v>
      </c>
      <c r="B25" s="61" t="s">
        <v>932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  <c r="T25" s="65" t="s">
        <v>1229</v>
      </c>
    </row>
    <row r="26" customFormat="false" ht="15" hidden="false" customHeight="false" outlineLevel="0" collapsed="false">
      <c r="A26" s="61" t="s">
        <v>933</v>
      </c>
      <c r="B26" s="62" t="s">
        <v>934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  <c r="T26" s="65" t="s">
        <v>1230</v>
      </c>
    </row>
    <row r="27" customFormat="false" ht="15" hidden="false" customHeight="false" outlineLevel="0" collapsed="false">
      <c r="A27" s="77" t="s">
        <v>935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1" t="s">
        <v>313</v>
      </c>
      <c r="B28" s="62" t="s">
        <v>311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315</v>
      </c>
      <c r="B29" s="61" t="s">
        <v>316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318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936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547</v>
      </c>
      <c r="B32" s="62" t="s">
        <v>311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353</v>
      </c>
      <c r="B33" s="62" t="s">
        <v>311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937</v>
      </c>
      <c r="B34" s="62" t="s">
        <v>311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552</v>
      </c>
      <c r="B35" s="62" t="s">
        <v>355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330</v>
      </c>
      <c r="B36" s="62" t="s">
        <v>127</v>
      </c>
      <c r="C36" s="66" t="n">
        <f aca="false">INDEX(Arch!$C$16:$E$16,C$7)</f>
        <v>0.512</v>
      </c>
      <c r="D36" s="66" t="n">
        <f aca="false">INDEX(Arch!$C$16:$E$16,D$7)</f>
        <v>0.492</v>
      </c>
      <c r="E36" s="66" t="n">
        <f aca="false">INDEX(Arch!$C$16:$E$16,E$7)</f>
        <v>1</v>
      </c>
      <c r="F36" s="66" t="n">
        <f aca="false">INDEX(Arch!$C$16:$E$16,F$7)</f>
        <v>0.512</v>
      </c>
      <c r="G36" s="66" t="n">
        <f aca="false">INDEX(Arch!$C$16:$E$16,G$7)</f>
        <v>0.492</v>
      </c>
      <c r="H36" s="66" t="n">
        <f aca="false">INDEX(Arch!$C$16:$E$16,H$7)</f>
        <v>1</v>
      </c>
      <c r="I36" s="66" t="n">
        <f aca="false">INDEX(Arch!$C$16:$E$16,I$7)</f>
        <v>0.512</v>
      </c>
      <c r="J36" s="66" t="n">
        <f aca="false">INDEX(Arch!$C$16:$E$16,J$7)</f>
        <v>0.492</v>
      </c>
      <c r="K36" s="66" t="n">
        <f aca="false">INDEX(Arch!$C$16:$E$16,K$7)</f>
        <v>1</v>
      </c>
      <c r="L36" s="66" t="n">
        <f aca="false">INDEX(Arch!$C$16:$E$16,L$7)</f>
        <v>0.512</v>
      </c>
      <c r="M36" s="66" t="n">
        <f aca="false">INDEX(Arch!$C$16:$E$16,M$7)</f>
        <v>0.492</v>
      </c>
      <c r="N36" s="66" t="n">
        <f aca="false">INDEX(Arch!$C$16:$E$16,N$7)</f>
        <v>1</v>
      </c>
      <c r="O36" s="66" t="n">
        <f aca="false">INDEX(Arch!$C$16:$E$16,O$7)</f>
        <v>0.512</v>
      </c>
      <c r="P36" s="66" t="n">
        <f aca="false">INDEX(Arch!$C$16:$E$16,P$7)</f>
        <v>0.492</v>
      </c>
      <c r="Q36" s="66" t="n">
        <f aca="false">INDEX(Arch!$C$16:$E$16,Q$7)</f>
        <v>1</v>
      </c>
      <c r="R36" s="66" t="n">
        <f aca="false">INDEX(Arch!$C$16:$E$16,R$7)</f>
        <v>0.492</v>
      </c>
      <c r="S36" s="66" t="n">
        <f aca="false">INDEX(Arch!$C$16:$E$16,S$7)</f>
        <v>1</v>
      </c>
    </row>
    <row r="37" customFormat="false" ht="15" hidden="false" customHeight="false" outlineLevel="0" collapsed="false">
      <c r="A37" s="61" t="s">
        <v>938</v>
      </c>
      <c r="B37" s="62" t="s">
        <v>333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335</v>
      </c>
      <c r="B38" s="62" t="s">
        <v>132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337</v>
      </c>
      <c r="B39" s="62" t="s">
        <v>333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7" t="s">
        <v>939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</row>
    <row r="41" customFormat="false" ht="15" hidden="false" customHeight="false" outlineLevel="0" collapsed="false">
      <c r="A41" s="62" t="s">
        <v>413</v>
      </c>
      <c r="B41" s="62" t="s">
        <v>414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940</v>
      </c>
      <c r="B42" s="62" t="s">
        <v>417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941</v>
      </c>
      <c r="B43" s="62" t="s">
        <v>333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420</v>
      </c>
      <c r="B44" s="62" t="s">
        <v>333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561</v>
      </c>
      <c r="B45" s="62" t="s">
        <v>333</v>
      </c>
      <c r="C45" s="69" t="n">
        <f aca="false">C43+C44/2</f>
        <v>8192</v>
      </c>
      <c r="D45" s="69" t="n">
        <f aca="false">D43+D44/2</f>
        <v>16384</v>
      </c>
      <c r="E45" s="69" t="n">
        <f aca="false">E43+E44/2</f>
        <v>32768</v>
      </c>
      <c r="F45" s="69" t="n">
        <f aca="false">F43+F44/2</f>
        <v>8192</v>
      </c>
      <c r="G45" s="69" t="n">
        <f aca="false">G43+G44/2</f>
        <v>16384</v>
      </c>
      <c r="H45" s="69" t="n">
        <f aca="false">H43+H44/2</f>
        <v>32768</v>
      </c>
      <c r="I45" s="69" t="n">
        <f aca="false">I43+I44/2</f>
        <v>8192</v>
      </c>
      <c r="J45" s="69" t="n">
        <f aca="false">J43+J44/2</f>
        <v>16384</v>
      </c>
      <c r="K45" s="69" t="n">
        <f aca="false">K43+K44/2</f>
        <v>32768</v>
      </c>
      <c r="L45" s="69" t="n">
        <f aca="false">L43+L44/2</f>
        <v>8192</v>
      </c>
      <c r="M45" s="69" t="n">
        <f aca="false">M43+M44/2</f>
        <v>16384</v>
      </c>
      <c r="N45" s="69" t="n">
        <f aca="false">N43+N44/2</f>
        <v>32768</v>
      </c>
      <c r="O45" s="69" t="n">
        <f aca="false">O43+O44/2</f>
        <v>8192</v>
      </c>
      <c r="P45" s="69" t="n">
        <f aca="false">P43+P44/2</f>
        <v>16384</v>
      </c>
      <c r="Q45" s="69" t="n">
        <f aca="false">Q43+Q44/2</f>
        <v>32768</v>
      </c>
      <c r="R45" s="69" t="n">
        <f aca="false">R43+R44/2</f>
        <v>16384</v>
      </c>
      <c r="S45" s="69" t="n">
        <f aca="false">S43+S44/2</f>
        <v>32768</v>
      </c>
    </row>
    <row r="46" customFormat="false" ht="15" hidden="false" customHeight="false" outlineLevel="0" collapsed="false">
      <c r="A46" s="62" t="s">
        <v>568</v>
      </c>
      <c r="B46" s="62" t="s">
        <v>333</v>
      </c>
      <c r="C46" s="69" t="n">
        <f aca="false">C43/2</f>
        <v>2048</v>
      </c>
      <c r="D46" s="69" t="n">
        <f aca="false">D43/2</f>
        <v>4096</v>
      </c>
      <c r="E46" s="69" t="n">
        <f aca="false">E43/2</f>
        <v>8192</v>
      </c>
      <c r="F46" s="69" t="n">
        <f aca="false">F43/2</f>
        <v>2048</v>
      </c>
      <c r="G46" s="69" t="n">
        <f aca="false">G43/2</f>
        <v>4096</v>
      </c>
      <c r="H46" s="69" t="n">
        <f aca="false">H43/2</f>
        <v>8192</v>
      </c>
      <c r="I46" s="69" t="n">
        <f aca="false">I43/2</f>
        <v>2048</v>
      </c>
      <c r="J46" s="69" t="n">
        <f aca="false">J43/2</f>
        <v>4096</v>
      </c>
      <c r="K46" s="69" t="n">
        <f aca="false">K43/2</f>
        <v>8192</v>
      </c>
      <c r="L46" s="69" t="n">
        <f aca="false">L43/2</f>
        <v>2048</v>
      </c>
      <c r="M46" s="69" t="n">
        <f aca="false">M43/2</f>
        <v>4096</v>
      </c>
      <c r="N46" s="69" t="n">
        <f aca="false">N43/2</f>
        <v>8192</v>
      </c>
      <c r="O46" s="69" t="n">
        <f aca="false">O43/2</f>
        <v>2048</v>
      </c>
      <c r="P46" s="69" t="n">
        <f aca="false">P43/2</f>
        <v>4096</v>
      </c>
      <c r="Q46" s="69" t="n">
        <f aca="false">Q43/2</f>
        <v>8192</v>
      </c>
      <c r="R46" s="69" t="n">
        <f aca="false">R43/2</f>
        <v>4096</v>
      </c>
      <c r="S46" s="69" t="n">
        <f aca="false">S43/2</f>
        <v>8192</v>
      </c>
    </row>
    <row r="47" customFormat="false" ht="15" hidden="false" customHeight="false" outlineLevel="0" collapsed="false">
      <c r="A47" s="62" t="s">
        <v>942</v>
      </c>
      <c r="B47" s="62" t="s">
        <v>333</v>
      </c>
      <c r="C47" s="90" t="n">
        <f aca="false">Serving!$C$6</f>
        <v>3</v>
      </c>
      <c r="D47" s="90" t="n">
        <f aca="false">Serving!$C$6</f>
        <v>3</v>
      </c>
      <c r="E47" s="90" t="n">
        <f aca="false">Serving!$C$6</f>
        <v>3</v>
      </c>
      <c r="F47" s="90" t="n">
        <f aca="false">Serving!$C$6</f>
        <v>3</v>
      </c>
      <c r="G47" s="90" t="n">
        <f aca="false">Serving!$C$6</f>
        <v>3</v>
      </c>
      <c r="H47" s="90" t="n">
        <f aca="false">Serving!$C$6</f>
        <v>3</v>
      </c>
      <c r="I47" s="90" t="n">
        <f aca="false">Serving!$C$6</f>
        <v>3</v>
      </c>
      <c r="J47" s="90" t="n">
        <f aca="false">Serving!$C$6</f>
        <v>3</v>
      </c>
      <c r="K47" s="90" t="n">
        <f aca="false">Serving!$C$6</f>
        <v>3</v>
      </c>
      <c r="L47" s="90" t="n">
        <f aca="false">Serving!$C$6</f>
        <v>3</v>
      </c>
      <c r="M47" s="90" t="n">
        <f aca="false">Serving!$C$6</f>
        <v>3</v>
      </c>
      <c r="N47" s="90" t="n">
        <f aca="false">Serving!$C$6</f>
        <v>3</v>
      </c>
      <c r="O47" s="90" t="n">
        <f aca="false">Serving!$C$6</f>
        <v>3</v>
      </c>
      <c r="P47" s="90" t="n">
        <f aca="false">Serving!$C$6</f>
        <v>3</v>
      </c>
      <c r="Q47" s="90" t="n">
        <f aca="false">Serving!$C$6</f>
        <v>3</v>
      </c>
      <c r="R47" s="90" t="n">
        <f aca="false">Serving!$C$6</f>
        <v>3</v>
      </c>
      <c r="S47" s="90" t="n">
        <f aca="false">Serving!$C$6</f>
        <v>3</v>
      </c>
    </row>
    <row r="48" customFormat="false" ht="15" hidden="false" customHeight="false" outlineLevel="0" collapsed="false">
      <c r="A48" s="61" t="s">
        <v>943</v>
      </c>
      <c r="B48" s="62" t="s">
        <v>127</v>
      </c>
      <c r="C48" s="66" t="n">
        <f aca="false">Serving!$C$7</f>
        <v>0.7</v>
      </c>
      <c r="D48" s="66" t="n">
        <f aca="false">Serving!$C$7</f>
        <v>0.7</v>
      </c>
      <c r="E48" s="66" t="n">
        <f aca="false">Serving!$C$7</f>
        <v>0.7</v>
      </c>
      <c r="F48" s="66" t="n">
        <f aca="false">Serving!$C$7</f>
        <v>0.7</v>
      </c>
      <c r="G48" s="66" t="n">
        <f aca="false">Serving!$C$7</f>
        <v>0.7</v>
      </c>
      <c r="H48" s="66" t="n">
        <f aca="false">Serving!$C$7</f>
        <v>0.7</v>
      </c>
      <c r="I48" s="66" t="n">
        <f aca="false">Serving!$C$7</f>
        <v>0.7</v>
      </c>
      <c r="J48" s="66" t="n">
        <f aca="false">Serving!$C$7</f>
        <v>0.7</v>
      </c>
      <c r="K48" s="66" t="n">
        <f aca="false">Serving!$C$7</f>
        <v>0.7</v>
      </c>
      <c r="L48" s="66" t="n">
        <f aca="false">Serving!$C$7</f>
        <v>0.7</v>
      </c>
      <c r="M48" s="66" t="n">
        <f aca="false">Serving!$C$7</f>
        <v>0.7</v>
      </c>
      <c r="N48" s="66" t="n">
        <f aca="false">Serving!$C$7</f>
        <v>0.7</v>
      </c>
      <c r="O48" s="66" t="n">
        <f aca="false">Serving!$C$7</f>
        <v>0.7</v>
      </c>
      <c r="P48" s="66" t="n">
        <f aca="false">Serving!$C$7</f>
        <v>0.7</v>
      </c>
      <c r="Q48" s="66" t="n">
        <f aca="false">Serving!$C$7</f>
        <v>0.7</v>
      </c>
      <c r="R48" s="66" t="n">
        <f aca="false">Serving!$C$7</f>
        <v>0.7</v>
      </c>
      <c r="S48" s="66" t="n">
        <f aca="false">Serving!$C$7</f>
        <v>0.7</v>
      </c>
    </row>
    <row r="49" customFormat="false" ht="15" hidden="false" customHeight="false" outlineLevel="0" collapsed="false">
      <c r="A49" s="61" t="s">
        <v>944</v>
      </c>
      <c r="B49" s="62" t="s">
        <v>333</v>
      </c>
      <c r="C49" s="78" t="n">
        <f aca="false">(1-C48^(C47+1))/(1-C48)</f>
        <v>2.533</v>
      </c>
      <c r="D49" s="78" t="n">
        <f aca="false">(1-D48^(D47+1))/(1-D48)</f>
        <v>2.533</v>
      </c>
      <c r="E49" s="78" t="n">
        <f aca="false">(1-E48^(E47+1))/(1-E48)</f>
        <v>2.533</v>
      </c>
      <c r="F49" s="78" t="n">
        <f aca="false">(1-F48^(F47+1))/(1-F48)</f>
        <v>2.533</v>
      </c>
      <c r="G49" s="78" t="n">
        <f aca="false">(1-G48^(G47+1))/(1-G48)</f>
        <v>2.533</v>
      </c>
      <c r="H49" s="78" t="n">
        <f aca="false">(1-H48^(H47+1))/(1-H48)</f>
        <v>2.533</v>
      </c>
      <c r="I49" s="78" t="n">
        <f aca="false">(1-I48^(I47+1))/(1-I48)</f>
        <v>2.533</v>
      </c>
      <c r="J49" s="78" t="n">
        <f aca="false">(1-J48^(J47+1))/(1-J48)</f>
        <v>2.533</v>
      </c>
      <c r="K49" s="78" t="n">
        <f aca="false">(1-K48^(K47+1))/(1-K48)</f>
        <v>2.533</v>
      </c>
      <c r="L49" s="78" t="n">
        <f aca="false">(1-L48^(L47+1))/(1-L48)</f>
        <v>2.533</v>
      </c>
      <c r="M49" s="78" t="n">
        <f aca="false">(1-M48^(M47+1))/(1-M48)</f>
        <v>2.533</v>
      </c>
      <c r="N49" s="78" t="n">
        <f aca="false">(1-N48^(N47+1))/(1-N48)</f>
        <v>2.533</v>
      </c>
      <c r="O49" s="78" t="n">
        <f aca="false">(1-O48^(O47+1))/(1-O48)</f>
        <v>2.533</v>
      </c>
      <c r="P49" s="78" t="n">
        <f aca="false">(1-P48^(P47+1))/(1-P48)</f>
        <v>2.533</v>
      </c>
      <c r="Q49" s="78" t="n">
        <f aca="false">(1-Q48^(Q47+1))/(1-Q48)</f>
        <v>2.533</v>
      </c>
      <c r="R49" s="78" t="n">
        <f aca="false">(1-R48^(R47+1))/(1-R48)</f>
        <v>2.533</v>
      </c>
      <c r="S49" s="78" t="n">
        <f aca="false">(1-S48^(S47+1))/(1-S48)</f>
        <v>2.533</v>
      </c>
    </row>
    <row r="50" customFormat="false" ht="15" hidden="false" customHeight="false" outlineLevel="0" collapsed="false">
      <c r="A50" s="61" t="s">
        <v>408</v>
      </c>
      <c r="B50" s="62" t="s">
        <v>132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945</v>
      </c>
      <c r="B51" s="62" t="s">
        <v>127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946</v>
      </c>
      <c r="B52" s="62" t="s">
        <v>132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947</v>
      </c>
      <c r="B53" s="62" t="s">
        <v>127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0.0843818790597254</v>
      </c>
      <c r="G53" s="113" t="n">
        <f aca="false">INDEX(Calib!$C$70:$G$70,G$6)*G52*G50*INDEX(CAL_BatchEtaD,1,G$6)</f>
        <v>0.0843818790597254</v>
      </c>
      <c r="H53" s="113" t="n">
        <f aca="false">INDEX(Calib!$C$70:$G$70,H$6)*H52*H50*INDEX(CAL_BatchEtaD,1,H$6)</f>
        <v>0.0843818790597254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948</v>
      </c>
      <c r="B54" s="62" t="s">
        <v>132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949</v>
      </c>
      <c r="B55" s="62" t="s">
        <v>602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950</v>
      </c>
      <c r="B56" s="62" t="s">
        <v>127</v>
      </c>
      <c r="C56" s="66" t="n">
        <f aca="false">Serving!$C$9</f>
        <v>0.1</v>
      </c>
      <c r="D56" s="66" t="n">
        <f aca="false">Serving!$C$9</f>
        <v>0.1</v>
      </c>
      <c r="E56" s="66" t="n">
        <f aca="false">Serving!$C$9</f>
        <v>0.1</v>
      </c>
      <c r="F56" s="66" t="n">
        <f aca="false">Serving!$C$9</f>
        <v>0.1</v>
      </c>
      <c r="G56" s="66" t="n">
        <f aca="false">Serving!$C$9</f>
        <v>0.1</v>
      </c>
      <c r="H56" s="66" t="n">
        <f aca="false">Serving!$C$9</f>
        <v>0.1</v>
      </c>
      <c r="I56" s="66" t="n">
        <f aca="false">Serving!$C$9</f>
        <v>0.1</v>
      </c>
      <c r="J56" s="66" t="n">
        <f aca="false">Serving!$C$9</f>
        <v>0.1</v>
      </c>
      <c r="K56" s="66" t="n">
        <f aca="false">Serving!$C$9</f>
        <v>0.1</v>
      </c>
      <c r="L56" s="66" t="n">
        <f aca="false">Serving!$C$9</f>
        <v>0.1</v>
      </c>
      <c r="M56" s="66" t="n">
        <f aca="false">Serving!$C$9</f>
        <v>0.1</v>
      </c>
      <c r="N56" s="66" t="n">
        <f aca="false">Serving!$C$9</f>
        <v>0.1</v>
      </c>
      <c r="O56" s="66" t="n">
        <f aca="false">Serving!$C$9</f>
        <v>0.1</v>
      </c>
      <c r="P56" s="66" t="n">
        <f aca="false">Serving!$C$9</f>
        <v>0.1</v>
      </c>
      <c r="Q56" s="66" t="n">
        <f aca="false">Serving!$C$9</f>
        <v>0.1</v>
      </c>
      <c r="R56" s="66" t="n">
        <f aca="false">Serving!$C$9</f>
        <v>0.1</v>
      </c>
      <c r="S56" s="66" t="n">
        <f aca="false">Serving!$C$9</f>
        <v>0.1</v>
      </c>
    </row>
    <row r="57" customFormat="false" ht="15" hidden="false" customHeight="false" outlineLevel="0" collapsed="false">
      <c r="A57" s="61" t="s">
        <v>951</v>
      </c>
      <c r="B57" s="62" t="s">
        <v>127</v>
      </c>
      <c r="C57" s="66" t="n">
        <f aca="false">Serving!$C$10</f>
        <v>0.2</v>
      </c>
      <c r="D57" s="66" t="n">
        <f aca="false">Serving!$C$10</f>
        <v>0.2</v>
      </c>
      <c r="E57" s="66" t="n">
        <f aca="false">Serving!$C$10</f>
        <v>0.2</v>
      </c>
      <c r="F57" s="66" t="n">
        <f aca="false">Serving!$C$10</f>
        <v>0.2</v>
      </c>
      <c r="G57" s="66" t="n">
        <f aca="false">Serving!$C$10</f>
        <v>0.2</v>
      </c>
      <c r="H57" s="66" t="n">
        <f aca="false">Serving!$C$10</f>
        <v>0.2</v>
      </c>
      <c r="I57" s="66" t="n">
        <f aca="false">Serving!$C$10</f>
        <v>0.2</v>
      </c>
      <c r="J57" s="66" t="n">
        <f aca="false">Serving!$C$10</f>
        <v>0.2</v>
      </c>
      <c r="K57" s="66" t="n">
        <f aca="false">Serving!$C$10</f>
        <v>0.2</v>
      </c>
      <c r="L57" s="66" t="n">
        <f aca="false">Serving!$C$10</f>
        <v>0.2</v>
      </c>
      <c r="M57" s="66" t="n">
        <f aca="false">Serving!$C$10</f>
        <v>0.2</v>
      </c>
      <c r="N57" s="66" t="n">
        <f aca="false">Serving!$C$10</f>
        <v>0.2</v>
      </c>
      <c r="O57" s="66" t="n">
        <f aca="false">Serving!$C$10</f>
        <v>0.2</v>
      </c>
      <c r="P57" s="66" t="n">
        <f aca="false">Serving!$C$10</f>
        <v>0.2</v>
      </c>
      <c r="Q57" s="66" t="n">
        <f aca="false">Serving!$C$10</f>
        <v>0.2</v>
      </c>
      <c r="R57" s="66" t="n">
        <f aca="false">Serving!$C$10</f>
        <v>0.2</v>
      </c>
      <c r="S57" s="66" t="n">
        <f aca="false">Serving!$C$10</f>
        <v>0.2</v>
      </c>
    </row>
    <row r="58" customFormat="false" ht="15" hidden="false" customHeight="false" outlineLevel="0" collapsed="false">
      <c r="A58" s="61" t="s">
        <v>952</v>
      </c>
      <c r="B58" s="62" t="s">
        <v>127</v>
      </c>
      <c r="C58" s="66" t="n">
        <f aca="false">Serving!$C$11</f>
        <v>0.4</v>
      </c>
      <c r="D58" s="66" t="n">
        <f aca="false">Serving!$C$11</f>
        <v>0.4</v>
      </c>
      <c r="E58" s="66" t="n">
        <f aca="false">Serving!$C$11</f>
        <v>0.4</v>
      </c>
      <c r="F58" s="66" t="n">
        <f aca="false">Serving!$C$11</f>
        <v>0.4</v>
      </c>
      <c r="G58" s="66" t="n">
        <f aca="false">Serving!$C$11</f>
        <v>0.4</v>
      </c>
      <c r="H58" s="66" t="n">
        <f aca="false">Serving!$C$11</f>
        <v>0.4</v>
      </c>
      <c r="I58" s="66" t="n">
        <f aca="false">Serving!$C$11</f>
        <v>0.4</v>
      </c>
      <c r="J58" s="66" t="n">
        <f aca="false">Serving!$C$11</f>
        <v>0.4</v>
      </c>
      <c r="K58" s="66" t="n">
        <f aca="false">Serving!$C$11</f>
        <v>0.4</v>
      </c>
      <c r="L58" s="66" t="n">
        <f aca="false">Serving!$C$11</f>
        <v>0.4</v>
      </c>
      <c r="M58" s="66" t="n">
        <f aca="false">Serving!$C$11</f>
        <v>0.4</v>
      </c>
      <c r="N58" s="66" t="n">
        <f aca="false">Serving!$C$11</f>
        <v>0.4</v>
      </c>
      <c r="O58" s="66" t="n">
        <f aca="false">Serving!$C$11</f>
        <v>0.4</v>
      </c>
      <c r="P58" s="66" t="n">
        <f aca="false">Serving!$C$11</f>
        <v>0.4</v>
      </c>
      <c r="Q58" s="66" t="n">
        <f aca="false">Serving!$C$11</f>
        <v>0.4</v>
      </c>
      <c r="R58" s="66" t="n">
        <f aca="false">Serving!$C$11</f>
        <v>0.4</v>
      </c>
      <c r="S58" s="66" t="n">
        <f aca="false">Serving!$C$11</f>
        <v>0.4</v>
      </c>
    </row>
    <row r="59" customFormat="false" ht="15" hidden="false" customHeight="false" outlineLevel="0" collapsed="false">
      <c r="A59" s="62" t="s">
        <v>953</v>
      </c>
      <c r="B59" s="62" t="s">
        <v>311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954</v>
      </c>
      <c r="B60" s="62" t="s">
        <v>127</v>
      </c>
      <c r="C60" s="66" t="n">
        <f aca="false">Serving!$C$13</f>
        <v>0.7</v>
      </c>
      <c r="D60" s="66" t="n">
        <f aca="false">Serving!$C$13</f>
        <v>0.7</v>
      </c>
      <c r="E60" s="66" t="n">
        <f aca="false">Serving!$C$13</f>
        <v>0.7</v>
      </c>
      <c r="F60" s="66" t="n">
        <f aca="false">Serving!$C$13</f>
        <v>0.7</v>
      </c>
      <c r="G60" s="66" t="n">
        <f aca="false">Serving!$C$13</f>
        <v>0.7</v>
      </c>
      <c r="H60" s="66" t="n">
        <f aca="false">Serving!$C$13</f>
        <v>0.7</v>
      </c>
      <c r="I60" s="66" t="n">
        <f aca="false">Serving!$C$13</f>
        <v>0.7</v>
      </c>
      <c r="J60" s="66" t="n">
        <f aca="false">Serving!$C$13</f>
        <v>0.7</v>
      </c>
      <c r="K60" s="66" t="n">
        <f aca="false">Serving!$C$13</f>
        <v>0.7</v>
      </c>
      <c r="L60" s="66" t="n">
        <f aca="false">Serving!$C$13</f>
        <v>0.7</v>
      </c>
      <c r="M60" s="66" t="n">
        <f aca="false">Serving!$C$13</f>
        <v>0.7</v>
      </c>
      <c r="N60" s="66" t="n">
        <f aca="false">Serving!$C$13</f>
        <v>0.7</v>
      </c>
      <c r="O60" s="66" t="n">
        <f aca="false">Serving!$C$13</f>
        <v>0.7</v>
      </c>
      <c r="P60" s="66" t="n">
        <f aca="false">Serving!$C$13</f>
        <v>0.7</v>
      </c>
      <c r="Q60" s="66" t="n">
        <f aca="false">Serving!$C$13</f>
        <v>0.7</v>
      </c>
      <c r="R60" s="66" t="n">
        <f aca="false">Serving!$C$13</f>
        <v>0.7</v>
      </c>
      <c r="S60" s="66" t="n">
        <f aca="false">Serving!$C$13</f>
        <v>0.7</v>
      </c>
    </row>
    <row r="61" customFormat="false" ht="15" hidden="false" customHeight="false" outlineLevel="0" collapsed="false">
      <c r="A61" s="62" t="s">
        <v>955</v>
      </c>
      <c r="B61" s="62" t="s">
        <v>127</v>
      </c>
      <c r="C61" s="66" t="n">
        <f aca="false">Serving!$C$14</f>
        <v>0.7</v>
      </c>
      <c r="D61" s="66" t="n">
        <f aca="false">Serving!$C$14</f>
        <v>0.7</v>
      </c>
      <c r="E61" s="66" t="n">
        <f aca="false">Serving!$C$14</f>
        <v>0.7</v>
      </c>
      <c r="F61" s="66" t="n">
        <f aca="false">Serving!$C$14</f>
        <v>0.7</v>
      </c>
      <c r="G61" s="66" t="n">
        <f aca="false">Serving!$C$14</f>
        <v>0.7</v>
      </c>
      <c r="H61" s="66" t="n">
        <f aca="false">Serving!$C$14</f>
        <v>0.7</v>
      </c>
      <c r="I61" s="66" t="n">
        <f aca="false">Serving!$C$14</f>
        <v>0.7</v>
      </c>
      <c r="J61" s="66" t="n">
        <f aca="false">Serving!$C$14</f>
        <v>0.7</v>
      </c>
      <c r="K61" s="66" t="n">
        <f aca="false">Serving!$C$14</f>
        <v>0.7</v>
      </c>
      <c r="L61" s="66" t="n">
        <f aca="false">Serving!$C$14</f>
        <v>0.7</v>
      </c>
      <c r="M61" s="66" t="n">
        <f aca="false">Serving!$C$14</f>
        <v>0.7</v>
      </c>
      <c r="N61" s="66" t="n">
        <f aca="false">Serving!$C$14</f>
        <v>0.7</v>
      </c>
      <c r="O61" s="66" t="n">
        <f aca="false">Serving!$C$14</f>
        <v>0.7</v>
      </c>
      <c r="P61" s="66" t="n">
        <f aca="false">Serving!$C$14</f>
        <v>0.7</v>
      </c>
      <c r="Q61" s="66" t="n">
        <f aca="false">Serving!$C$14</f>
        <v>0.7</v>
      </c>
      <c r="R61" s="66" t="n">
        <f aca="false">Serving!$C$14</f>
        <v>0.7</v>
      </c>
      <c r="S61" s="66" t="n">
        <f aca="false">Serving!$C$14</f>
        <v>0.7</v>
      </c>
    </row>
    <row r="62" customFormat="false" ht="15" hidden="false" customHeight="false" outlineLevel="0" collapsed="false">
      <c r="A62" s="61" t="s">
        <v>956</v>
      </c>
      <c r="B62" s="62" t="s">
        <v>532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65" t="s">
        <v>1231</v>
      </c>
    </row>
    <row r="63" customFormat="false" ht="15" hidden="false" customHeight="false" outlineLevel="0" collapsed="false">
      <c r="A63" s="77" t="s">
        <v>957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15" hidden="false" customHeight="false" outlineLevel="0" collapsed="false">
      <c r="A64" s="62" t="s">
        <v>958</v>
      </c>
      <c r="B64" s="62" t="s">
        <v>333</v>
      </c>
      <c r="C64" s="69" t="n">
        <f aca="false">C36*IF(C37=0,C45,MIN(C45,C37))+(1-C36)*(C45/C38+C39)</f>
        <v>2256.384</v>
      </c>
      <c r="D64" s="69" t="n">
        <f aca="false">D36*IF(D37=0,D45,MIN(D45,D37))+(1-D36)*(D45/D38+D39)</f>
        <v>2208.256</v>
      </c>
      <c r="E64" s="69" t="n">
        <f aca="false">E36*IF(E37=0,E45,MIN(E45,E37))+(1-E36)*(E45/E38+E39)</f>
        <v>32768</v>
      </c>
      <c r="F64" s="69" t="n">
        <f aca="false">F36*IF(F37=0,F45,MIN(F45,F37))+(1-F36)*(F45/F38+F39)</f>
        <v>2256.384</v>
      </c>
      <c r="G64" s="69" t="n">
        <f aca="false">G36*IF(G37=0,G45,MIN(G45,G37))+(1-G36)*(G45/G38+G39)</f>
        <v>2208.256</v>
      </c>
      <c r="H64" s="69" t="n">
        <f aca="false">H36*IF(H37=0,H45,MIN(H45,H37))+(1-H36)*(H45/H38+H39)</f>
        <v>32768</v>
      </c>
      <c r="I64" s="69" t="n">
        <f aca="false">I36*IF(I37=0,I45,MIN(I45,I37))+(1-I36)*(I45/I38+I39)</f>
        <v>2256.384</v>
      </c>
      <c r="J64" s="69" t="n">
        <f aca="false">J36*IF(J37=0,J45,MIN(J45,J37))+(1-J36)*(J45/J38+J39)</f>
        <v>2208.256</v>
      </c>
      <c r="K64" s="69" t="n">
        <f aca="false">K36*IF(K37=0,K45,MIN(K45,K37))+(1-K36)*(K45/K38+K39)</f>
        <v>32768</v>
      </c>
      <c r="L64" s="69" t="n">
        <f aca="false">L36*IF(L37=0,L45,MIN(L45,L37))+(1-L36)*(L45/L38+L39)</f>
        <v>2256.384</v>
      </c>
      <c r="M64" s="69" t="n">
        <f aca="false">M36*IF(M37=0,M45,MIN(M45,M37))+(1-M36)*(M45/M38+M39)</f>
        <v>2208.256</v>
      </c>
      <c r="N64" s="69" t="n">
        <f aca="false">N36*IF(N37=0,N45,MIN(N45,N37))+(1-N36)*(N45/N38+N39)</f>
        <v>32768</v>
      </c>
      <c r="O64" s="69" t="n">
        <f aca="false">O36*IF(O37=0,O45,MIN(O45,O37))+(1-O36)*(O45/O38+O39)</f>
        <v>2256.384</v>
      </c>
      <c r="P64" s="69" t="n">
        <f aca="false">P36*IF(P37=0,P45,MIN(P45,P37))+(1-P36)*(P45/P38+P39)</f>
        <v>2208.256</v>
      </c>
      <c r="Q64" s="69" t="n">
        <f aca="false">Q36*IF(Q37=0,Q45,MIN(Q45,Q37))+(1-Q36)*(Q45/Q38+Q39)</f>
        <v>32768</v>
      </c>
      <c r="R64" s="69" t="n">
        <f aca="false">R36*IF(R37=0,R45,MIN(R45,R37))+(1-R36)*(R45/R38+R39)</f>
        <v>2208.256</v>
      </c>
      <c r="S64" s="69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565</v>
      </c>
      <c r="B65" s="62" t="s">
        <v>566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65" t="s">
        <v>1232</v>
      </c>
    </row>
    <row r="66" customFormat="false" ht="15" hidden="false" customHeight="false" outlineLevel="0" collapsed="false">
      <c r="A66" s="62" t="s">
        <v>959</v>
      </c>
      <c r="B66" s="62" t="s">
        <v>333</v>
      </c>
      <c r="C66" s="69" t="n">
        <f aca="false">C36*IF(C37=0,C46,MIN(C46,C37))+(1-C36)*(C46/C38+C39)</f>
        <v>1118.848</v>
      </c>
      <c r="D66" s="69" t="n">
        <f aca="false">D36*IF(D37=0,D46,MIN(D46,D37))+(1-D36)*(D46/D38+D39)</f>
        <v>2096.512</v>
      </c>
      <c r="E66" s="69" t="n">
        <f aca="false">E36*IF(E37=0,E46,MIN(E46,E37))+(1-E36)*(E46/E38+E39)</f>
        <v>8192</v>
      </c>
      <c r="F66" s="69" t="n">
        <f aca="false">F36*IF(F37=0,F46,MIN(F46,F37))+(1-F36)*(F46/F38+F39)</f>
        <v>1118.848</v>
      </c>
      <c r="G66" s="69" t="n">
        <f aca="false">G36*IF(G37=0,G46,MIN(G46,G37))+(1-G36)*(G46/G38+G39)</f>
        <v>2096.512</v>
      </c>
      <c r="H66" s="69" t="n">
        <f aca="false">H36*IF(H37=0,H46,MIN(H46,H37))+(1-H36)*(H46/H38+H39)</f>
        <v>8192</v>
      </c>
      <c r="I66" s="69" t="n">
        <f aca="false">I36*IF(I37=0,I46,MIN(I46,I37))+(1-I36)*(I46/I38+I39)</f>
        <v>1118.848</v>
      </c>
      <c r="J66" s="69" t="n">
        <f aca="false">J36*IF(J37=0,J46,MIN(J46,J37))+(1-J36)*(J46/J38+J39)</f>
        <v>2096.512</v>
      </c>
      <c r="K66" s="69" t="n">
        <f aca="false">K36*IF(K37=0,K46,MIN(K46,K37))+(1-K36)*(K46/K38+K39)</f>
        <v>8192</v>
      </c>
      <c r="L66" s="69" t="n">
        <f aca="false">L36*IF(L37=0,L46,MIN(L46,L37))+(1-L36)*(L46/L38+L39)</f>
        <v>1118.848</v>
      </c>
      <c r="M66" s="69" t="n">
        <f aca="false">M36*IF(M37=0,M46,MIN(M46,M37))+(1-M36)*(M46/M38+M39)</f>
        <v>2096.512</v>
      </c>
      <c r="N66" s="69" t="n">
        <f aca="false">N36*IF(N37=0,N46,MIN(N46,N37))+(1-N36)*(N46/N38+N39)</f>
        <v>8192</v>
      </c>
      <c r="O66" s="69" t="n">
        <f aca="false">O36*IF(O37=0,O46,MIN(O46,O37))+(1-O36)*(O46/O38+O39)</f>
        <v>1118.848</v>
      </c>
      <c r="P66" s="69" t="n">
        <f aca="false">P36*IF(P37=0,P46,MIN(P46,P37))+(1-P36)*(P46/P38+P39)</f>
        <v>2096.512</v>
      </c>
      <c r="Q66" s="69" t="n">
        <f aca="false">Q36*IF(Q37=0,Q46,MIN(Q46,Q37))+(1-Q36)*(Q46/Q38+Q39)</f>
        <v>8192</v>
      </c>
      <c r="R66" s="69" t="n">
        <f aca="false">R36*IF(R37=0,R46,MIN(R46,R37))+(1-R36)*(R46/R38+R39)</f>
        <v>2096.512</v>
      </c>
      <c r="S66" s="69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572</v>
      </c>
      <c r="B67" s="62" t="s">
        <v>566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65" t="s">
        <v>1233</v>
      </c>
    </row>
    <row r="68" customFormat="false" ht="15" hidden="false" customHeight="false" outlineLevel="0" collapsed="false">
      <c r="A68" s="77" t="s">
        <v>960</v>
      </c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</row>
    <row r="69" customFormat="false" ht="15" hidden="false" customHeight="false" outlineLevel="0" collapsed="false">
      <c r="A69" s="61" t="s">
        <v>574</v>
      </c>
      <c r="B69" s="62" t="s">
        <v>529</v>
      </c>
      <c r="C69" s="69" t="n">
        <f aca="false">C15*(1-C56)</f>
        <v>72</v>
      </c>
      <c r="D69" s="69" t="n">
        <f aca="false">D15*(1-D56)</f>
        <v>72</v>
      </c>
      <c r="E69" s="69" t="n">
        <f aca="false">E15*(1-E56)</f>
        <v>72</v>
      </c>
      <c r="F69" s="69" t="n">
        <f aca="false">F15*(1-F56)</f>
        <v>167.4</v>
      </c>
      <c r="G69" s="69" t="n">
        <f aca="false">G15*(1-G56)</f>
        <v>167.4</v>
      </c>
      <c r="H69" s="69" t="n">
        <f aca="false">H15*(1-H56)</f>
        <v>167.4</v>
      </c>
      <c r="I69" s="69" t="n">
        <f aca="false">I15*(1-I56)</f>
        <v>259.2</v>
      </c>
      <c r="J69" s="69" t="n">
        <f aca="false">J15*(1-J56)</f>
        <v>259.2</v>
      </c>
      <c r="K69" s="69" t="n">
        <f aca="false">K15*(1-K56)</f>
        <v>259.2</v>
      </c>
      <c r="L69" s="69" t="n">
        <f aca="false">L15*(1-L56)</f>
        <v>259.2</v>
      </c>
      <c r="M69" s="69" t="n">
        <f aca="false">M15*(1-M56)</f>
        <v>259.2</v>
      </c>
      <c r="N69" s="69" t="n">
        <f aca="false">N15*(1-N56)</f>
        <v>259.2</v>
      </c>
      <c r="O69" s="69" t="n">
        <f aca="false">O15*(1-O56)</f>
        <v>921.6</v>
      </c>
      <c r="P69" s="69" t="n">
        <f aca="false">P15*(1-P56)</f>
        <v>921.6</v>
      </c>
      <c r="Q69" s="69" t="n">
        <f aca="false">Q15*(1-Q56)</f>
        <v>921.6</v>
      </c>
      <c r="R69" s="69" t="n">
        <f aca="false">R15*(1-R56)</f>
        <v>259.2</v>
      </c>
      <c r="S69" s="69" t="n">
        <f aca="false">S15*(1-S56)</f>
        <v>259.2</v>
      </c>
    </row>
    <row r="70" customFormat="false" ht="15" hidden="false" customHeight="false" outlineLevel="0" collapsed="false">
      <c r="A70" s="61" t="s">
        <v>961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962</v>
      </c>
      <c r="B71" s="62" t="s">
        <v>725</v>
      </c>
      <c r="C71" s="69" t="n">
        <f aca="false">MAX(C18,CEILING(C33*C19/(C58*C69),1))</f>
        <v>64</v>
      </c>
      <c r="D71" s="69" t="n">
        <f aca="false">MAX(D18,CEILING(D33*D19/(D58*D69),1))</f>
        <v>64</v>
      </c>
      <c r="E71" s="69" t="n">
        <f aca="false">MAX(E18,CEILING(E33*E19/(E58*E69),1))</f>
        <v>138</v>
      </c>
      <c r="F71" s="69" t="n">
        <f aca="false">MAX(F18,CEILING(F33*F19/(F58*F69),1))</f>
        <v>32</v>
      </c>
      <c r="G71" s="69" t="n">
        <f aca="false">MAX(G18,CEILING(G33*G19/(G58*G69),1))</f>
        <v>32</v>
      </c>
      <c r="H71" s="69" t="n">
        <f aca="false">MAX(H18,CEILING(H33*H19/(H58*H69),1))</f>
        <v>34</v>
      </c>
      <c r="I71" s="69" t="n">
        <f aca="false">MAX(I18,CEILING(I33*I19/(I58*I69),1))</f>
        <v>32</v>
      </c>
      <c r="J71" s="69" t="n">
        <f aca="false">MAX(J18,CEILING(J33*J19/(J58*J69),1))</f>
        <v>32</v>
      </c>
      <c r="K71" s="69" t="n">
        <f aca="false">MAX(K18,CEILING(K33*K19/(K58*K69),1))</f>
        <v>32</v>
      </c>
      <c r="L71" s="69" t="n">
        <f aca="false">MAX(L18,CEILING(L33*L19/(L58*L69),1))</f>
        <v>32</v>
      </c>
      <c r="M71" s="69" t="n">
        <f aca="false">MAX(M18,CEILING(M33*M19/(M58*M69),1))</f>
        <v>32</v>
      </c>
      <c r="N71" s="69" t="n">
        <f aca="false">MAX(N18,CEILING(N33*N19/(N58*N69),1))</f>
        <v>32</v>
      </c>
      <c r="O71" s="69" t="n">
        <f aca="false">MAX(O18,CEILING(O33*O19/(O58*O69),1))</f>
        <v>64</v>
      </c>
      <c r="P71" s="69" t="n">
        <f aca="false">MAX(P18,CEILING(P33*P19/(P58*P69),1))</f>
        <v>64</v>
      </c>
      <c r="Q71" s="69" t="n">
        <f aca="false">MAX(Q18,CEILING(Q33*Q19/(Q58*Q69),1))</f>
        <v>64</v>
      </c>
      <c r="R71" s="69" t="n">
        <f aca="false">MAX(R18,CEILING(R33*R19/(R58*R69),1))</f>
        <v>32</v>
      </c>
      <c r="S71" s="69" t="n">
        <f aca="false">MAX(S18,CEILING(S33*S19/(S58*S69),1))</f>
        <v>39</v>
      </c>
    </row>
    <row r="72" customFormat="false" ht="15" hidden="false" customHeight="false" outlineLevel="0" collapsed="false">
      <c r="A72" s="61" t="s">
        <v>580</v>
      </c>
      <c r="B72" s="62" t="s">
        <v>529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963</v>
      </c>
      <c r="B73" s="62" t="s">
        <v>127</v>
      </c>
      <c r="C73" s="86" t="n">
        <f aca="false">C72/C69</f>
        <v>0.135624131944444</v>
      </c>
      <c r="D73" s="86" t="n">
        <f aca="false">D72/D69</f>
        <v>0.48363956404321</v>
      </c>
      <c r="E73" s="86" t="n">
        <f aca="false">E72/E69</f>
        <v>0.568028527738819</v>
      </c>
      <c r="F73" s="86" t="n">
        <f aca="false">F72/F69</f>
        <v>0.0615833613351255</v>
      </c>
      <c r="G73" s="86" t="n">
        <f aca="false">G72/G69</f>
        <v>0.287015128227466</v>
      </c>
      <c r="H73" s="86" t="n">
        <f aca="false">H72/H69</f>
        <v>0.537042403604406</v>
      </c>
      <c r="I73" s="86" t="n">
        <f aca="false">I72/I69</f>
        <v>0.0397725875289352</v>
      </c>
      <c r="J73" s="86" t="n">
        <f aca="false">J72/J69</f>
        <v>0.185363936980238</v>
      </c>
      <c r="K73" s="86" t="n">
        <f aca="false">K72/K69</f>
        <v>0.45726264154517</v>
      </c>
      <c r="L73" s="86" t="n">
        <f aca="false">L72/L69</f>
        <v>0.0397725875289352</v>
      </c>
      <c r="M73" s="86" t="n">
        <f aca="false">M72/M69</f>
        <v>0.185363936980238</v>
      </c>
      <c r="N73" s="86" t="n">
        <f aca="false">N72/N69</f>
        <v>0.45726264154517</v>
      </c>
      <c r="O73" s="86" t="n">
        <f aca="false">O72/O69</f>
        <v>0.00852921803792318</v>
      </c>
      <c r="P73" s="86" t="n">
        <f aca="false">P72/P69</f>
        <v>0.0370682021717966</v>
      </c>
      <c r="Q73" s="86" t="n">
        <f aca="false">Q72/Q69</f>
        <v>0.0909261378763397</v>
      </c>
      <c r="R73" s="86" t="n">
        <f aca="false">R72/R69</f>
        <v>0.268688646690672</v>
      </c>
      <c r="S73" s="86" t="n">
        <f aca="false">S72/S69</f>
        <v>0.580163626198573</v>
      </c>
      <c r="T73" s="65" t="s">
        <v>1234</v>
      </c>
    </row>
    <row r="74" customFormat="false" ht="15" hidden="false" customHeight="false" outlineLevel="0" collapsed="false">
      <c r="A74" s="77" t="s">
        <v>965</v>
      </c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</row>
    <row r="75" customFormat="false" ht="15" hidden="false" customHeight="false" outlineLevel="0" collapsed="false">
      <c r="A75" s="62" t="s">
        <v>966</v>
      </c>
      <c r="B75" s="62" t="s">
        <v>414</v>
      </c>
      <c r="C75" s="69" t="n">
        <f aca="false">C51*C14*1000000000000000/(C67*1000000000)</f>
        <v>9184.07105108283</v>
      </c>
      <c r="D75" s="69" t="n">
        <f aca="false">D51*D14*1000000000000000/(D67*1000000000)</f>
        <v>2255.8471167441</v>
      </c>
      <c r="E75" s="69" t="n">
        <f aca="false">E51*E14*1000000000000000/(E67*1000000000)</f>
        <v>741.258326317187</v>
      </c>
      <c r="F75" s="69" t="n">
        <f aca="false">F51*F14*1000000000000000/(F67*1000000000)</f>
        <v>92862.1946520003</v>
      </c>
      <c r="G75" s="69" t="n">
        <f aca="false">G51*G14*1000000000000000/(G67*1000000000)</f>
        <v>22809.3742845713</v>
      </c>
      <c r="H75" s="69" t="n">
        <f aca="false">H51*H14*1000000000000000/(H67*1000000000)</f>
        <v>7495.02857752464</v>
      </c>
      <c r="I75" s="69" t="n">
        <f aca="false">I51*I14*1000000000000000/(I67*1000000000)</f>
        <v>139293.291978</v>
      </c>
      <c r="J75" s="69" t="n">
        <f aca="false">J51*J14*1000000000000000/(J67*1000000000)</f>
        <v>34214.061426857</v>
      </c>
      <c r="K75" s="69" t="n">
        <f aca="false">K51*K14*1000000000000000/(K67*1000000000)</f>
        <v>11242.542866287</v>
      </c>
      <c r="L75" s="69" t="n">
        <f aca="false">L51*L14*1000000000000000/(L67*1000000000)</f>
        <v>325017.681282001</v>
      </c>
      <c r="M75" s="69" t="n">
        <f aca="false">M51*M14*1000000000000000/(M67*1000000000)</f>
        <v>79832.8099959996</v>
      </c>
      <c r="N75" s="69" t="n">
        <f aca="false">N51*N14*1000000000000000/(N67*1000000000)</f>
        <v>26232.6000213363</v>
      </c>
      <c r="O75" s="69" t="n">
        <f aca="false">O51*O14*1000000000000000/(O67*1000000000)</f>
        <v>650035.362564002</v>
      </c>
      <c r="P75" s="69" t="n">
        <f aca="false">P51*P14*1000000000000000/(P67*1000000000)</f>
        <v>159665.619991999</v>
      </c>
      <c r="Q75" s="69" t="n">
        <f aca="false">Q51*Q14*1000000000000000/(Q67*1000000000)</f>
        <v>52465.2000426725</v>
      </c>
      <c r="R75" s="69" t="n">
        <f aca="false">R51*R14*1000000000000000/(R67*1000000000)</f>
        <v>39916.4049979998</v>
      </c>
      <c r="S75" s="69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1235</v>
      </c>
      <c r="B76" s="62" t="s">
        <v>417</v>
      </c>
      <c r="C76" s="78" t="n">
        <f aca="false">C43*C67*1000000000/(C51*C14*1000000000000000*C21)</f>
        <v>0.055748697625726</v>
      </c>
      <c r="D76" s="78" t="n">
        <f aca="false">D43*D67*1000000000/(D51*D14*1000000000000000*D21)</f>
        <v>0.453931470975726</v>
      </c>
      <c r="E76" s="78" t="n">
        <f aca="false">E43*E67*1000000000/(E51*E14*1000000000000000*E21)</f>
        <v>2.76286947112639</v>
      </c>
      <c r="F76" s="78" t="n">
        <f aca="false">F43*F67*1000000000/(F51*F14*1000000000000000*F21)</f>
        <v>0.0110270923903686</v>
      </c>
      <c r="G76" s="78" t="n">
        <f aca="false">G43*G67*1000000000/(G51*G14*1000000000000000*G21)</f>
        <v>0.0897876449589985</v>
      </c>
      <c r="H76" s="78" t="n">
        <f aca="false">H43*H67*1000000000/(H51*H14*1000000000000000*H21)</f>
        <v>0.5464955813888</v>
      </c>
      <c r="I76" s="78" t="n">
        <f aca="false">I43*I67*1000000000/(I51*I14*1000000000000000*I21)</f>
        <v>0.0073513949269124</v>
      </c>
      <c r="J76" s="78" t="n">
        <f aca="false">J43*J67*1000000000/(J51*J14*1000000000000000*J21)</f>
        <v>0.0598584299726657</v>
      </c>
      <c r="K76" s="78" t="n">
        <f aca="false">K43*K67*1000000000/(K51*K14*1000000000000000*K21)</f>
        <v>0.364330387592533</v>
      </c>
      <c r="L76" s="78" t="n">
        <f aca="false">L43*L67*1000000000/(L51*L14*1000000000000000*L21)</f>
        <v>0.0031505978258196</v>
      </c>
      <c r="M76" s="78" t="n">
        <f aca="false">M43*M67*1000000000/(M51*M14*1000000000000000*M21)</f>
        <v>0.0256536128454282</v>
      </c>
      <c r="N76" s="78" t="n">
        <f aca="false">N43*N67*1000000000/(N51*N14*1000000000000000*N21)</f>
        <v>0.156141594682514</v>
      </c>
      <c r="O76" s="78" t="n">
        <f aca="false">O43*O67*1000000000/(O51*O14*1000000000000000*O21)</f>
        <v>0.0007876494564549</v>
      </c>
      <c r="P76" s="78" t="n">
        <f aca="false">P43*P67*1000000000/(P51*P14*1000000000000000*P21)</f>
        <v>0.00641340321135704</v>
      </c>
      <c r="Q76" s="78" t="n">
        <f aca="false">Q43*Q67*1000000000/(Q51*Q14*1000000000000000*Q21)</f>
        <v>0.0390353986706286</v>
      </c>
      <c r="R76" s="78" t="n">
        <f aca="false">R43*R67*1000000000/(R51*R14*1000000000000000*R21)</f>
        <v>0.0513072256908563</v>
      </c>
      <c r="S76" s="78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968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7" t="s">
        <v>969</v>
      </c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</row>
    <row r="79" customFormat="false" ht="15" hidden="false" customHeight="false" outlineLevel="0" collapsed="false">
      <c r="A79" s="61" t="s">
        <v>970</v>
      </c>
      <c r="B79" s="62" t="s">
        <v>589</v>
      </c>
      <c r="C79" s="73" t="n">
        <f aca="false">C72/C16+(C29+C47)*C55/1000</f>
        <v>14.0366950476431</v>
      </c>
      <c r="D79" s="73" t="n">
        <f aca="false">D72/D16+(D29+D47)*D55/1000</f>
        <v>25.8684338372861</v>
      </c>
      <c r="E79" s="73" t="n">
        <f aca="false">E72/E16+(E29+E47)*E55/1000</f>
        <v>37.1115090691772</v>
      </c>
      <c r="F79" s="73" t="n">
        <f aca="false">F72/F16+(F29+F47)*F55/1000</f>
        <v>8.70315739008759</v>
      </c>
      <c r="G79" s="73" t="n">
        <f aca="false">G72/G16+(G29+G47)*G55/1000</f>
        <v>16.3216531987164</v>
      </c>
      <c r="H79" s="73" t="n">
        <f aca="false">H72/H16+(H29+H47)*H55/1000</f>
        <v>27.8397021231931</v>
      </c>
      <c r="I79" s="73" t="n">
        <f aca="false">I72/I16+(I29+I47)*I55/1000</f>
        <v>8.70315739008759</v>
      </c>
      <c r="J79" s="73" t="n">
        <f aca="false">J72/J16+(J29+J47)*J55/1000</f>
        <v>16.3216531987164</v>
      </c>
      <c r="K79" s="73" t="n">
        <f aca="false">K72/K16+(K29+K47)*K55/1000</f>
        <v>31.4173994138344</v>
      </c>
      <c r="L79" s="73" t="n">
        <f aca="false">L72/L16+(L29+L47)*L55/1000</f>
        <v>7.88311894903646</v>
      </c>
      <c r="M79" s="73" t="n">
        <f aca="false">M72/M16+(M29+M47)*M55/1000</f>
        <v>12.4997858435238</v>
      </c>
      <c r="N79" s="73" t="n">
        <f aca="false">N72/N16+(N29+N47)*N55/1000</f>
        <v>21.989475131794</v>
      </c>
      <c r="O79" s="73" t="n">
        <f aca="false">O72/O16+(O29+O47)*O55/1000</f>
        <v>7.66016703364228</v>
      </c>
      <c r="P79" s="73" t="n">
        <f aca="false">P72/P16+(P29+P47)*P55/1000</f>
        <v>11.3834258631044</v>
      </c>
      <c r="Q79" s="73" t="n">
        <f aca="false">Q72/Q16+(Q29+Q47)*Q55/1000</f>
        <v>19.2207625986094</v>
      </c>
      <c r="R79" s="73" t="n">
        <f aca="false">R72/R16+(R29+R47)*R55/1000</f>
        <v>13.4815024233849</v>
      </c>
      <c r="S79" s="73" t="n">
        <f aca="false">S72/S16+(S29+S47)*S55/1000</f>
        <v>23.4374721873468</v>
      </c>
    </row>
    <row r="80" customFormat="false" ht="15" hidden="false" customHeight="false" outlineLevel="0" collapsed="false">
      <c r="A80" s="61" t="s">
        <v>971</v>
      </c>
      <c r="B80" s="62" t="s">
        <v>589</v>
      </c>
      <c r="C80" s="74" t="n">
        <f aca="false">(C47+1)*C65/(C14*C53)/1000</f>
        <v>1.82389430895692</v>
      </c>
      <c r="D80" s="74" t="n">
        <f aca="false">(D47+1)*D65/(D14*D53)/1000</f>
        <v>6.28006550998833</v>
      </c>
      <c r="E80" s="74" t="n">
        <f aca="false">(E47+1)*E65/(E14*E53)/1000</f>
        <v>24.546216389096</v>
      </c>
      <c r="F80" s="74" t="n">
        <f aca="false">(F47+1)*F65/(F14*F53)/1000</f>
        <v>0.183533229021648</v>
      </c>
      <c r="G80" s="74" t="n">
        <f aca="false">(G47+1)*G65/(G14*G53)/1000</f>
        <v>0.631944897166114</v>
      </c>
      <c r="H80" s="74" t="n">
        <f aca="false">(H47+1)*H65/(H14*H53)/1000</f>
        <v>2.47001502884852</v>
      </c>
      <c r="I80" s="74" t="n">
        <f aca="false">(I47+1)*I65/(I14*I53)/1000</f>
        <v>0.28875894699406</v>
      </c>
      <c r="J80" s="74" t="n">
        <f aca="false">(J47+1)*J65/(J14*J53)/1000</f>
        <v>0.994259971541353</v>
      </c>
      <c r="K80" s="74" t="n">
        <f aca="false">(K47+1)*K65/(K14*K53)/1000</f>
        <v>3.88615697872167</v>
      </c>
      <c r="L80" s="74" t="n">
        <f aca="false">(L47+1)*L65/(L14*L53)/1000</f>
        <v>0.165005112568034</v>
      </c>
      <c r="M80" s="74" t="n">
        <f aca="false">(M47+1)*M65/(M14*M53)/1000</f>
        <v>0.568148555166487</v>
      </c>
      <c r="N80" s="74" t="n">
        <f aca="false">(N47+1)*N65/(N14*N53)/1000</f>
        <v>2.2206611306981</v>
      </c>
      <c r="O80" s="74" t="n">
        <f aca="false">(O47+1)*O65/(O14*O53)/1000</f>
        <v>0.0618769172130129</v>
      </c>
      <c r="P80" s="74" t="n">
        <f aca="false">(P47+1)*P65/(P14*P53)/1000</f>
        <v>0.213055708187433</v>
      </c>
      <c r="Q80" s="74" t="n">
        <f aca="false">(Q47+1)*Q65/(Q14*Q53)/1000</f>
        <v>0.832747924011788</v>
      </c>
      <c r="R80" s="74" t="n">
        <f aca="false">(R47+1)*R65/(R14*R53)/1000</f>
        <v>0.852222832749731</v>
      </c>
      <c r="S80" s="74" t="n">
        <f aca="false">(S47+1)*S65/(S14*S53)/1000</f>
        <v>3.33099169604715</v>
      </c>
    </row>
    <row r="81" customFormat="false" ht="15" hidden="false" customHeight="false" outlineLevel="0" collapsed="false">
      <c r="A81" s="61" t="s">
        <v>972</v>
      </c>
      <c r="B81" s="62" t="s">
        <v>589</v>
      </c>
      <c r="C81" s="74" t="n">
        <f aca="false">C34*C45/(C16*C60)/1000000000</f>
        <v>0.00976402558635395</v>
      </c>
      <c r="D81" s="74" t="n">
        <f aca="false">D34*D45/(D16*D60)/1000000000</f>
        <v>0.0277025842217484</v>
      </c>
      <c r="E81" s="74" t="n">
        <f aca="false">E34*E45/(E16*E60)/1000000000</f>
        <v>0.80487710021322</v>
      </c>
      <c r="F81" s="74" t="n">
        <f aca="false">F34*F45/(F16*F60)/1000000000</f>
        <v>0.00408868571428572</v>
      </c>
      <c r="G81" s="74" t="n">
        <f aca="false">G34*G45/(G16*G60)/1000000000</f>
        <v>0.0116004571428571</v>
      </c>
      <c r="H81" s="74" t="n">
        <f aca="false">H34*H45/(H16*H60)/1000000000</f>
        <v>0.337042285714286</v>
      </c>
      <c r="I81" s="74" t="n">
        <f aca="false">I34*I45/(I16*I60)/1000000000</f>
        <v>0.00408868571428572</v>
      </c>
      <c r="J81" s="74" t="n">
        <f aca="false">J34*J45/(J16*J60)/1000000000</f>
        <v>0.0116004571428571</v>
      </c>
      <c r="K81" s="74" t="n">
        <f aca="false">K34*K45/(K16*K60)/1000000000</f>
        <v>0.337042285714286</v>
      </c>
      <c r="L81" s="74" t="n">
        <f aca="false">L34*L45/(L16*L60)/1000000000</f>
        <v>0.00148679480519481</v>
      </c>
      <c r="M81" s="74" t="n">
        <f aca="false">M34*M45/(M16*M60)/1000000000</f>
        <v>0.00421834805194805</v>
      </c>
      <c r="N81" s="74" t="n">
        <f aca="false">N34*N45/(N16*N60)/1000000000</f>
        <v>0.122560831168831</v>
      </c>
      <c r="O81" s="74" t="n">
        <f aca="false">O34*O45/(O16*O60)/1000000000</f>
        <v>0.00102217142857143</v>
      </c>
      <c r="P81" s="74" t="n">
        <f aca="false">P34*P45/(P16*P60)/1000000000</f>
        <v>0.00290011428571429</v>
      </c>
      <c r="Q81" s="74" t="n">
        <f aca="false">Q34*Q45/(Q16*Q60)/1000000000</f>
        <v>0.0842605714285714</v>
      </c>
      <c r="R81" s="74" t="n">
        <f aca="false">R34*R45/(R16*R60)/1000000000</f>
        <v>0.00421834805194805</v>
      </c>
      <c r="S81" s="74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973</v>
      </c>
      <c r="B82" s="62" t="s">
        <v>589</v>
      </c>
      <c r="C82" s="74" t="n">
        <f aca="false">(C47+1)*C29*C31*C30*C59*(C71-1)/C71/(C17*C61)/1000000000</f>
        <v>0.3566592</v>
      </c>
      <c r="D82" s="74" t="n">
        <f aca="false">(D47+1)*D29*D31*D30*D59*(D71-1)/D71/(D17*D61)/1000000000</f>
        <v>0.8854272</v>
      </c>
      <c r="E82" s="74" t="n">
        <f aca="false">(E47+1)*E29*E31*E30*E59*(E71-1)/E71/(E17*E61)/1000000000</f>
        <v>6.69199900621118</v>
      </c>
      <c r="F82" s="74" t="n">
        <f aca="false">(F47+1)*F29*F31*F30*F59*(F71-1)/F71/(F17*F61)/1000000000</f>
        <v>0.0194998857142857</v>
      </c>
      <c r="G82" s="74" t="n">
        <f aca="false">(G47+1)*G29*G31*G30*G59*(G71-1)/G71/(G17*G61)/1000000000</f>
        <v>0.0484096</v>
      </c>
      <c r="H82" s="74" t="n">
        <f aca="false">(H47+1)*H29*H31*H30*H59*(H71-1)/H71/(H17*H61)/1000000000</f>
        <v>0.363476974789916</v>
      </c>
      <c r="I82" s="74" t="n">
        <f aca="false">(I47+1)*I29*I31*I30*I59*(I71-1)/I71/(I17*I61)/1000000000</f>
        <v>0.0194998857142857</v>
      </c>
      <c r="J82" s="74" t="n">
        <f aca="false">(J47+1)*J29*J31*J30*J59*(J71-1)/J71/(J17*J61)/1000000000</f>
        <v>0.0484096</v>
      </c>
      <c r="K82" s="74" t="n">
        <f aca="false">(K47+1)*K29*K31*K30*K59*(K71-1)/K71/(K17*K61)/1000000000</f>
        <v>0.362788571428571</v>
      </c>
      <c r="L82" s="74" t="n">
        <f aca="false">(L47+1)*L29*L31*L30*L59*(L71-1)/L71/(L17*L61)/1000000000</f>
        <v>0.00974994285714286</v>
      </c>
      <c r="M82" s="74" t="n">
        <f aca="false">(M47+1)*M29*M31*M30*M59*(M71-1)/M71/(M17*M61)/1000000000</f>
        <v>0.0242048</v>
      </c>
      <c r="N82" s="74" t="n">
        <f aca="false">(N47+1)*N29*N31*N30*N59*(N71-1)/N71/(N17*N61)/1000000000</f>
        <v>0.181394285714286</v>
      </c>
      <c r="O82" s="74" t="n">
        <f aca="false">(O47+1)*O29*O31*O30*O59*(O71-1)/O71/(O17*O61)/1000000000</f>
        <v>0.0099072</v>
      </c>
      <c r="P82" s="74" t="n">
        <f aca="false">(P47+1)*P29*P31*P30*P59*(P71-1)/P71/(P17*P61)/1000000000</f>
        <v>0.0245952</v>
      </c>
      <c r="Q82" s="74" t="n">
        <f aca="false">(Q47+1)*Q29*Q31*Q30*Q59*(Q71-1)/Q71/(Q17*Q61)/1000000000</f>
        <v>0.18432</v>
      </c>
      <c r="R82" s="74" t="n">
        <f aca="false">(R47+1)*R29*R31*R30*R59*(R71-1)/R71/(R17*R61)/1000000000</f>
        <v>0.0242048</v>
      </c>
      <c r="S82" s="74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974</v>
      </c>
      <c r="B83" s="62" t="s">
        <v>589</v>
      </c>
      <c r="C83" s="74" t="n">
        <f aca="false">MAX(C80,C81,C82)</f>
        <v>1.82389430895692</v>
      </c>
      <c r="D83" s="74" t="n">
        <f aca="false">MAX(D80,D81,D82)</f>
        <v>6.28006550998833</v>
      </c>
      <c r="E83" s="74" t="n">
        <f aca="false">MAX(E80,E81,E82)</f>
        <v>24.546216389096</v>
      </c>
      <c r="F83" s="74" t="n">
        <f aca="false">MAX(F80,F81,F82)</f>
        <v>0.183533229021648</v>
      </c>
      <c r="G83" s="74" t="n">
        <f aca="false">MAX(G80,G81,G82)</f>
        <v>0.631944897166114</v>
      </c>
      <c r="H83" s="74" t="n">
        <f aca="false">MAX(H80,H81,H82)</f>
        <v>2.47001502884852</v>
      </c>
      <c r="I83" s="74" t="n">
        <f aca="false">MAX(I80,I81,I82)</f>
        <v>0.28875894699406</v>
      </c>
      <c r="J83" s="74" t="n">
        <f aca="false">MAX(J80,J81,J82)</f>
        <v>0.994259971541353</v>
      </c>
      <c r="K83" s="74" t="n">
        <f aca="false">MAX(K80,K81,K82)</f>
        <v>3.88615697872167</v>
      </c>
      <c r="L83" s="74" t="n">
        <f aca="false">MAX(L80,L81,L82)</f>
        <v>0.165005112568034</v>
      </c>
      <c r="M83" s="74" t="n">
        <f aca="false">MAX(M80,M81,M82)</f>
        <v>0.568148555166487</v>
      </c>
      <c r="N83" s="74" t="n">
        <f aca="false">MAX(N80,N81,N82)</f>
        <v>2.2206611306981</v>
      </c>
      <c r="O83" s="74" t="n">
        <f aca="false">MAX(O80,O81,O82)</f>
        <v>0.0618769172130129</v>
      </c>
      <c r="P83" s="74" t="n">
        <f aca="false">MAX(P80,P81,P82)</f>
        <v>0.213055708187433</v>
      </c>
      <c r="Q83" s="74" t="n">
        <f aca="false">MAX(Q80,Q81,Q82)</f>
        <v>0.832747924011788</v>
      </c>
      <c r="R83" s="74" t="n">
        <f aca="false">MAX(R80,R81,R82)</f>
        <v>0.852222832749731</v>
      </c>
      <c r="S83" s="74" t="n">
        <f aca="false">MAX(S80,S81,S82)</f>
        <v>3.33099169604715</v>
      </c>
    </row>
    <row r="84" customFormat="false" ht="15" hidden="false" customHeight="false" outlineLevel="0" collapsed="false">
      <c r="A84" s="61" t="s">
        <v>975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5" t="s">
        <v>1236</v>
      </c>
    </row>
    <row r="85" customFormat="false" ht="15" hidden="false" customHeight="false" outlineLevel="0" collapsed="false">
      <c r="A85" s="62" t="s">
        <v>976</v>
      </c>
      <c r="B85" s="61" t="s">
        <v>595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642.64571183456</v>
      </c>
      <c r="G85" s="75" t="n">
        <f aca="false">(1000*G49/G41-G79)/G83</f>
        <v>174.585390745362</v>
      </c>
      <c r="H85" s="75" t="n">
        <f aca="false">(1000*H49/H41-H79)/H83</f>
        <v>40.0039257748446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977</v>
      </c>
      <c r="B86" s="61" t="s">
        <v>595</v>
      </c>
      <c r="C86" s="69" t="n">
        <f aca="false">(C69-C72)*1000000000/(C34*C45)</f>
        <v>2718.08712981468</v>
      </c>
      <c r="D86" s="69" t="n">
        <f aca="false">(D69-D72)*1000000000/(D34*D45)</f>
        <v>572.29812662692</v>
      </c>
      <c r="E86" s="69" t="n">
        <f aca="false">(E69-E72)*1000000000/(E34*E45)</f>
        <v>16.4784039406273</v>
      </c>
      <c r="F86" s="69" t="n">
        <f aca="false">(F69-F72)*1000000000/(F34*F45)</f>
        <v>6860.87326841406</v>
      </c>
      <c r="G86" s="69" t="n">
        <f aca="false">(G69-G72)*1000000000/(G34*G45)</f>
        <v>1837.26853644195</v>
      </c>
      <c r="H86" s="69" t="n">
        <f aca="false">(H69-H72)*1000000000/(H34*H45)</f>
        <v>41.0605015418913</v>
      </c>
      <c r="I86" s="69" t="n">
        <f aca="false">(I69-I72)*1000000000/(I34*I45)</f>
        <v>10870.1951601851</v>
      </c>
      <c r="J86" s="69" t="n">
        <f aca="false">(J69-J72)*1000000000/(J34*J45)</f>
        <v>3250.39018682026</v>
      </c>
      <c r="K86" s="69" t="n">
        <f aca="false">(K69-K72)*1000000000/(K34*K45)</f>
        <v>74.5336338210063</v>
      </c>
      <c r="L86" s="69" t="n">
        <f aca="false">(L69-L72)*1000000000/(L34*L45)</f>
        <v>10870.1951601851</v>
      </c>
      <c r="M86" s="69" t="n">
        <f aca="false">(M69-M72)*1000000000/(M34*M45)</f>
        <v>3250.39018682026</v>
      </c>
      <c r="N86" s="69" t="n">
        <f aca="false">(N69-N72)*1000000000/(N34*N45)</f>
        <v>74.5336338210063</v>
      </c>
      <c r="O86" s="69" t="n">
        <f aca="false">(O69-O72)*1000000000/(O34*O45)</f>
        <v>39907.1423866668</v>
      </c>
      <c r="P86" s="69" t="n">
        <f aca="false">(P69-P72)*1000000000/(P34*P45)</f>
        <v>13660.7600574619</v>
      </c>
      <c r="Q86" s="69" t="n">
        <f aca="false">(Q69-Q72)*1000000000/(Q34*Q45)</f>
        <v>443.883721740069</v>
      </c>
      <c r="R86" s="69" t="n">
        <f aca="false">(R69-R72)*1000000000/(R34*R45)</f>
        <v>2917.92538314035</v>
      </c>
      <c r="S86" s="69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978</v>
      </c>
      <c r="B87" s="61" t="s">
        <v>595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642.64571183456</v>
      </c>
      <c r="G87" s="114" t="n">
        <f aca="false">MAX(0,MIN(G85,G86))</f>
        <v>174.585390745362</v>
      </c>
      <c r="H87" s="114" t="n">
        <f aca="false">MAX(0,MIN(H85,H86))</f>
        <v>40.0039257748446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979</v>
      </c>
      <c r="B88" s="62" t="s">
        <v>414</v>
      </c>
      <c r="C88" s="72" t="n">
        <f aca="false">IF(C87&gt;0,C87*C49/((C79+C87*C83)/1000),0)</f>
        <v>1234.86656435438</v>
      </c>
      <c r="D88" s="72" t="n">
        <f aca="false">IF(D87&gt;0,D87*D49/((D79+D87*D83)/1000),0)</f>
        <v>320.957053719974</v>
      </c>
      <c r="E88" s="72" t="n">
        <f aca="false">IF(E87&gt;0,E87*E49/((E79+E87*E83)/1000),0)</f>
        <v>72.9550245231261</v>
      </c>
      <c r="F88" s="72" t="n">
        <f aca="false">IF(F87&gt;0,F87*F49/((F79+F87*F83)/1000),0)</f>
        <v>12852.9142366912</v>
      </c>
      <c r="G88" s="72" t="n">
        <f aca="false">IF(G87&gt;0,G87*G49/((G79+G87*G83)/1000),0)</f>
        <v>3491.70781490724</v>
      </c>
      <c r="H88" s="72" t="n">
        <f aca="false">IF(H87&gt;0,H87*H49/((H79+H87*H83)/1000),0)</f>
        <v>800.078515496892</v>
      </c>
      <c r="I88" s="72" t="n">
        <f aca="false">IF(I87&gt;0,I87*I49/((I79+I87*I83)/1000),0)</f>
        <v>8169.22515043932</v>
      </c>
      <c r="J88" s="72" t="n">
        <f aca="false">IF(J87&gt;0,J87*J49/((J79+J87*J83)/1000),0)</f>
        <v>2219.30581455969</v>
      </c>
      <c r="K88" s="72" t="n">
        <f aca="false">IF(K87&gt;0,K87*K49/((K79+K87*K83)/1000),0)</f>
        <v>490.111959489046</v>
      </c>
      <c r="L88" s="72" t="n">
        <f aca="false">IF(L87&gt;0,L87*L49/((L79+L87*L83)/1000),0)</f>
        <v>14395.539532388</v>
      </c>
      <c r="M88" s="72" t="n">
        <f aca="false">IF(M87&gt;0,M87*M49/((M79+M87*M83)/1000),0)</f>
        <v>4018.32278260485</v>
      </c>
      <c r="N88" s="72" t="n">
        <f aca="false">IF(N87&gt;0,N87*N49/((N79+N87*N83)/1000),0)</f>
        <v>942.606896850618</v>
      </c>
      <c r="O88" s="72" t="n">
        <f aca="false">IF(O87&gt;0,O87*O49/((O79+O87*O83)/1000),0)</f>
        <v>38460.1684523914</v>
      </c>
      <c r="P88" s="72" t="n">
        <f aca="false">IF(P87&gt;0,P87*P49/((P79+P87*P83)/1000),0)</f>
        <v>10820.3225454529</v>
      </c>
      <c r="Q88" s="72" t="n">
        <f aca="false">IF(Q87&gt;0,Q87*Q49/((Q79+Q87*Q83)/1000),0)</f>
        <v>2580.11420512097</v>
      </c>
      <c r="R88" s="69" t="n">
        <f aca="false">IF(R87&gt;0,R87*R49/((R79+R87*R83)/1000),0)</f>
        <v>2655.8428905612</v>
      </c>
      <c r="S88" s="69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980</v>
      </c>
      <c r="B89" s="62" t="s">
        <v>414</v>
      </c>
      <c r="C89" s="69" t="n">
        <f aca="false">IF(C87&gt;0,C49/((C79+C87*C83)/1000),0)</f>
        <v>20</v>
      </c>
      <c r="D89" s="69" t="n">
        <f aca="false">IF(D87&gt;0,D49/((D79+D87*D83)/1000),0)</f>
        <v>20</v>
      </c>
      <c r="E89" s="69" t="n">
        <f aca="false">IF(E87&gt;0,E49/((E79+E87*E83)/1000),0)</f>
        <v>20</v>
      </c>
      <c r="F89" s="69" t="n">
        <f aca="false">IF(F87&gt;0,F49/((F79+F87*F83)/1000),0)</f>
        <v>20</v>
      </c>
      <c r="G89" s="69" t="n">
        <f aca="false">IF(G87&gt;0,G49/((G79+G87*G83)/1000),0)</f>
        <v>20</v>
      </c>
      <c r="H89" s="69" t="n">
        <f aca="false">IF(H87&gt;0,H49/((H79+H87*H83)/1000),0)</f>
        <v>20</v>
      </c>
      <c r="I89" s="69" t="n">
        <f aca="false">IF(I87&gt;0,I49/((I79+I87*I83)/1000),0)</f>
        <v>20</v>
      </c>
      <c r="J89" s="69" t="n">
        <f aca="false">IF(J87&gt;0,J49/((J79+J87*J83)/1000),0)</f>
        <v>20</v>
      </c>
      <c r="K89" s="69" t="n">
        <f aca="false">IF(K87&gt;0,K49/((K79+K87*K83)/1000),0)</f>
        <v>20</v>
      </c>
      <c r="L89" s="69" t="n">
        <f aca="false">IF(L87&gt;0,L49/((L79+L87*L83)/1000),0)</f>
        <v>20</v>
      </c>
      <c r="M89" s="69" t="n">
        <f aca="false">IF(M87&gt;0,M49/((M79+M87*M83)/1000),0)</f>
        <v>20</v>
      </c>
      <c r="N89" s="69" t="n">
        <f aca="false">IF(N87&gt;0,N49/((N79+N87*N83)/1000),0)</f>
        <v>20</v>
      </c>
      <c r="O89" s="69" t="n">
        <f aca="false">IF(O87&gt;0,O49/((O79+O87*O83)/1000),0)</f>
        <v>20</v>
      </c>
      <c r="P89" s="69" t="n">
        <f aca="false">IF(P87&gt;0,P49/((P79+P87*P83)/1000),0)</f>
        <v>20</v>
      </c>
      <c r="Q89" s="69" t="n">
        <f aca="false">IF(Q87&gt;0,Q49/((Q79+Q87*Q83)/1000),0)</f>
        <v>20</v>
      </c>
      <c r="R89" s="69" t="n">
        <f aca="false">IF(R87&gt;0,R49/((R79+R87*R83)/1000),0)</f>
        <v>20</v>
      </c>
      <c r="S89" s="69" t="n">
        <f aca="false">IF(S87&gt;0,S49/((S79+S87*S83)/1000),0)</f>
        <v>20</v>
      </c>
    </row>
    <row r="90" customFormat="false" ht="15" hidden="false" customHeight="false" outlineLevel="0" collapsed="false">
      <c r="A90" s="61" t="s">
        <v>981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  <c r="T90" s="65" t="s">
        <v>1237</v>
      </c>
    </row>
    <row r="91" customFormat="false" ht="15" hidden="false" customHeight="false" outlineLevel="0" collapsed="false">
      <c r="A91" s="62" t="s">
        <v>982</v>
      </c>
      <c r="B91" s="62" t="s">
        <v>127</v>
      </c>
      <c r="C91" s="86" t="n">
        <f aca="false">C87*C34*C45/1000000000/C69</f>
        <v>0.0196349272028188</v>
      </c>
      <c r="D91" s="86" t="n">
        <f aca="false">D87*D34*D45/1000000000/D69</f>
        <v>0.0144792999025743</v>
      </c>
      <c r="E91" s="86" t="n">
        <f aca="false">E87*E34*E45/1000000000/E69</f>
        <v>0.0956236097429518</v>
      </c>
      <c r="F91" s="86" t="n">
        <f aca="false">F87*F34*F45/1000000000/F69</f>
        <v>0.0878998059224591</v>
      </c>
      <c r="G91" s="86" t="n">
        <f aca="false">G87*G34*G45/1000000000/G69</f>
        <v>0.0677509792199464</v>
      </c>
      <c r="H91" s="86" t="n">
        <f aca="false">H87*H34*H45/1000000000/H69</f>
        <v>0.451044693261112</v>
      </c>
      <c r="I91" s="86" t="n">
        <f aca="false">I87*I34*I45/1000000000/I69</f>
        <v>0.0360817529607552</v>
      </c>
      <c r="J91" s="86" t="n">
        <f aca="false">J87*J34*J45/1000000000/J69</f>
        <v>0.0278109157285267</v>
      </c>
      <c r="K91" s="86" t="n">
        <f aca="false">K87*K34*K45/1000000000/K69</f>
        <v>0.178444318761523</v>
      </c>
      <c r="L91" s="86" t="n">
        <f aca="false">L87*L34*L45/1000000000/L69</f>
        <v>0.0635820768284831</v>
      </c>
      <c r="M91" s="86" t="n">
        <f aca="false">M87*M34*M45/1000000000/M69</f>
        <v>0.0503550414475954</v>
      </c>
      <c r="N91" s="86" t="n">
        <f aca="false">N87*N34*N45/1000000000/N69</f>
        <v>0.343192697733345</v>
      </c>
      <c r="O91" s="86" t="n">
        <f aca="false">O87*O34*O45/1000000000/O69</f>
        <v>0.0477760759219707</v>
      </c>
      <c r="P91" s="86" t="n">
        <f aca="false">P87*P34*P45/1000000000/P69</f>
        <v>0.0381356256824184</v>
      </c>
      <c r="Q91" s="86" t="n">
        <f aca="false">Q87*Q34*Q45/1000000000/Q69</f>
        <v>0.264203694604387</v>
      </c>
      <c r="R91" s="86" t="n">
        <f aca="false">R87*R34*R45/1000000000/R69</f>
        <v>0.0332813181189536</v>
      </c>
      <c r="S91" s="86" t="n">
        <f aca="false">S87*S34*S45/1000000000/S69</f>
        <v>0.225629710307092</v>
      </c>
      <c r="T91" s="65" t="s">
        <v>1238</v>
      </c>
    </row>
    <row r="92" customFormat="false" ht="15" hidden="false" customHeight="false" outlineLevel="0" collapsed="false">
      <c r="A92" s="77" t="s">
        <v>984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1239</v>
      </c>
      <c r="B93" s="62" t="s">
        <v>986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0.681473549873214</v>
      </c>
      <c r="G93" s="107" t="n">
        <f aca="false">IF(ISNUMBER(G88),IF(G88&gt;0,IF(G77="是",G43/G75+G44/G88,"TTFT 不可達"),"SLO 不可達"),"SLO 不可達")</f>
        <v>5.051410318767</v>
      </c>
      <c r="H93" s="107" t="n">
        <f aca="false">IF(ISNUMBER(H88),IF(H88&gt;0,IF(H77="是",H43/H75+H44/H88,"TTFT 不可達"),"SLO 不可達"),"SLO 不可達")</f>
        <v>43.1419627266153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  <c r="T93" s="65" t="s">
        <v>1240</v>
      </c>
    </row>
    <row r="94" customFormat="false" ht="15" hidden="false" customHeight="false" outlineLevel="0" collapsed="false">
      <c r="A94" s="62" t="s">
        <v>987</v>
      </c>
      <c r="B94" s="62" t="s">
        <v>127</v>
      </c>
      <c r="C94" s="86" t="n">
        <f aca="false">IF(ISNUMBER(C93),IF(C93&gt;0,(C43/C75)/C93,0),C93)</f>
        <v>0.0629937263897356</v>
      </c>
      <c r="D94" s="86" t="n">
        <f aca="false">IF(ISNUMBER(D93),IF(D93&gt;0,(D43/D75)/D93,0),D93)</f>
        <v>0.0664142795838659</v>
      </c>
      <c r="E94" s="86" t="n">
        <f aca="false">IF(ISNUMBER(E93),IF(E93&gt;0,(E43/E75)/E93,0),E93)</f>
        <v>0.0469021876736744</v>
      </c>
      <c r="F94" s="86" t="n">
        <f aca="false">IF(ISNUMBER(F93),IF(F93&gt;0,(F43/F75)/F93,0),F93)</f>
        <v>0.0647249912629487</v>
      </c>
      <c r="G94" s="86" t="n">
        <f aca="false">IF(ISNUMBER(G93),IF(G93&gt;0,(G43/G75)/G93,0),G93)</f>
        <v>0.0710990707885435</v>
      </c>
      <c r="H94" s="86" t="n">
        <f aca="false">IF(ISNUMBER(H93),IF(H93&gt;0,(H43/H75)/H93,0),H93)</f>
        <v>0.0506695149547893</v>
      </c>
      <c r="I94" s="86" t="n">
        <f aca="false">IF(ISNUMBER(I93),IF(I93&gt;0,(I43/I75)/I93,0),I93)</f>
        <v>0.0284884382147146</v>
      </c>
      <c r="J94" s="86" t="n">
        <f aca="false">IF(ISNUMBER(J93),IF(J93&gt;0,(J43/J75)/J93,0),J93)</f>
        <v>0.0314138229287931</v>
      </c>
      <c r="K94" s="86" t="n">
        <f aca="false">IF(ISNUMBER(K93),IF(K93&gt;0,(K43/K75)/K93,0),K93)</f>
        <v>0.0213322194680554</v>
      </c>
      <c r="L94" s="86" t="n">
        <f aca="false">IF(ISNUMBER(L93),IF(L93&gt;0,(L43/L75)/L93,0),L93)</f>
        <v>0.0216659693084227</v>
      </c>
      <c r="M94" s="86" t="n">
        <f aca="false">IF(ISNUMBER(M93),IF(M93&gt;0,(M43/M75)/M93,0),M93)</f>
        <v>0.0245492790220612</v>
      </c>
      <c r="N94" s="86" t="n">
        <f aca="false">IF(ISNUMBER(N93),IF(N93&gt;0,(N43/N75)/N93,0),N93)</f>
        <v>0.0176492342761422</v>
      </c>
      <c r="O94" s="86" t="n">
        <f aca="false">IF(ISNUMBER(O93),IF(O93&gt;0,(O43/O75)/O93,0),O93)</f>
        <v>0.0287331197485592</v>
      </c>
      <c r="P94" s="86" t="n">
        <f aca="false">IF(ISNUMBER(P93),IF(P93&gt;0,(P43/P75)/P93,0),P93)</f>
        <v>0.0327738038328614</v>
      </c>
      <c r="Q94" s="86" t="n">
        <f aca="false">IF(ISNUMBER(Q93),IF(Q93&gt;0,(Q43/Q75)/Q93,0),Q93)</f>
        <v>0.0239987151224127</v>
      </c>
      <c r="R94" s="86" t="n">
        <f aca="false">IF(ISNUMBER(R93),IF(R93&gt;0,(R43/R75)/R93,0),R93)</f>
        <v>0.0321964633634343</v>
      </c>
      <c r="S94" s="86" t="n">
        <f aca="false">IF(ISNUMBER(S93),IF(S93&gt;0,(S43/S75)/S93,0),S93)</f>
        <v>0.0230784798711275</v>
      </c>
      <c r="T94" s="65" t="s">
        <v>1241</v>
      </c>
    </row>
    <row r="95" customFormat="false" ht="15" hidden="false" customHeight="false" outlineLevel="0" collapsed="false">
      <c r="A95" s="61" t="s">
        <v>989</v>
      </c>
      <c r="B95" s="62" t="s">
        <v>414</v>
      </c>
      <c r="C95" s="72" t="n">
        <f aca="false">IF(ISNUMBER(C93),IF(C93&gt;0,C22*(C43+C44)/C93,0),C93)</f>
        <v>55539.7304578371</v>
      </c>
      <c r="D95" s="72" t="n">
        <f aca="false">IF(ISNUMBER(D93),IF(D93&gt;0,D22*(D43+D44)/D93,0),D93)</f>
        <v>14382.7642665505</v>
      </c>
      <c r="E95" s="72" t="n">
        <f aca="false">IF(ISNUMBER(E93),IF(E93&gt;0,E22*(E43+E44)/E93,0),E93)</f>
        <v>3337.59716501784</v>
      </c>
      <c r="F95" s="72" t="n">
        <f aca="false">IF(ISNUMBER(F93),IF(F93&gt;0,F22*(F43+F44)/F93,0),F93)</f>
        <v>1298269.02330194</v>
      </c>
      <c r="G95" s="72" t="n">
        <f aca="false">IF(ISNUMBER(G93),IF(G93&gt;0,G22*(G43+G44)/G93,0),G93)</f>
        <v>350292.668450642</v>
      </c>
      <c r="H95" s="72" t="n">
        <f aca="false">IF(ISNUMBER(H93),IF(H93&gt;0,H22*(H43+H44)/H93,0),H93)</f>
        <v>82030.203920619</v>
      </c>
      <c r="I95" s="72" t="n">
        <f aca="false">IF(ISNUMBER(I93),IF(I93&gt;0,I22*(I43+I44)/I93,0),I93)</f>
        <v>857141.641923725</v>
      </c>
      <c r="J95" s="72" t="n">
        <f aca="false">IF(ISNUMBER(J93),IF(J93&gt;0,J22*(J43+J44)/J93,0),J93)</f>
        <v>232155.604945037</v>
      </c>
      <c r="K95" s="72" t="n">
        <f aca="false">IF(ISNUMBER(K93),IF(K93&gt;0,K22*(K43+K44)/K93,0),K93)</f>
        <v>51802.9326293732</v>
      </c>
      <c r="L95" s="72" t="n">
        <f aca="false">IF(ISNUMBER(L93),IF(L93&gt;0,L22*(L43+L44)/L93,0),L93)</f>
        <v>1521033.79118772</v>
      </c>
      <c r="M95" s="72" t="n">
        <f aca="false">IF(ISNUMBER(M93),IF(M93&gt;0,M22*(M43+M44)/M93,0),M93)</f>
        <v>423324.992384709</v>
      </c>
      <c r="N95" s="72" t="n">
        <f aca="false">IF(ISNUMBER(N93),IF(N93&gt;0,N22*(N43+N44)/N93,0),N93)</f>
        <v>100004.825544962</v>
      </c>
      <c r="O95" s="72" t="n">
        <f aca="false">IF(ISNUMBER(O93),IF(O93&gt;0,O22*(O43+O44)/O93,0),O93)</f>
        <v>4034349.4852835</v>
      </c>
      <c r="P95" s="72" t="n">
        <f aca="false">IF(ISNUMBER(P93),IF(P93&gt;0,P22*(P43+P44)/P93,0),P93)</f>
        <v>1130295.53702951</v>
      </c>
      <c r="Q95" s="72" t="n">
        <f aca="false">IF(ISNUMBER(Q93),IF(Q93&gt;0,Q22*(Q43+Q44)/Q93,0),Q93)</f>
        <v>271965.03616753</v>
      </c>
      <c r="R95" s="69" t="n">
        <f aca="false">IF(ISNUMBER(R93),IF(R93&gt;0,R22*(R43+R44)/R93,0),R93)</f>
        <v>277596.087361511</v>
      </c>
      <c r="S95" s="69" t="n">
        <f aca="false">IF(ISNUMBER(S93),IF(S93&gt;0,S22*(S43+S44)/S93,0),S93)</f>
        <v>65384.1214084526</v>
      </c>
      <c r="T95" s="65" t="s">
        <v>1242</v>
      </c>
    </row>
    <row r="96" customFormat="false" ht="15" hidden="false" customHeight="false" outlineLevel="0" collapsed="false">
      <c r="A96" s="61" t="s">
        <v>990</v>
      </c>
      <c r="B96" s="62" t="s">
        <v>414</v>
      </c>
      <c r="C96" s="69" t="n">
        <f aca="false">IF(ISNUMBER(C95),C95*C44/(C43+C44),C95)</f>
        <v>37026.4869718914</v>
      </c>
      <c r="D96" s="69" t="n">
        <f aca="false">IF(ISNUMBER(D95),D95*D44/(D43+D44),D95)</f>
        <v>9588.50951103365</v>
      </c>
      <c r="E96" s="69" t="n">
        <f aca="false">IF(ISNUMBER(E95),E95*E44/(E43+E44),E95)</f>
        <v>2225.06477667856</v>
      </c>
      <c r="F96" s="69" t="n">
        <f aca="false">IF(ISNUMBER(F95),F95*F44/(F43+F44),F95)</f>
        <v>865512.682201291</v>
      </c>
      <c r="G96" s="69" t="n">
        <f aca="false">IF(ISNUMBER(G95),G95*G44/(G43+G44),G95)</f>
        <v>233528.445633761</v>
      </c>
      <c r="H96" s="69" t="n">
        <f aca="false">IF(ISNUMBER(H95),H95*H44/(H43+H44),H95)</f>
        <v>54686.802613746</v>
      </c>
      <c r="I96" s="69" t="n">
        <f aca="false">IF(ISNUMBER(I95),I95*I44/(I43+I44),I95)</f>
        <v>571427.761282483</v>
      </c>
      <c r="J96" s="69" t="n">
        <f aca="false">IF(ISNUMBER(J95),J95*J44/(J43+J44),J95)</f>
        <v>154770.403296691</v>
      </c>
      <c r="K96" s="69" t="n">
        <f aca="false">IF(ISNUMBER(K95),K95*K44/(K43+K44),K95)</f>
        <v>34535.2884195821</v>
      </c>
      <c r="L96" s="69" t="n">
        <f aca="false">IF(ISNUMBER(L95),L95*L44/(L43+L44),L95)</f>
        <v>1014022.52745848</v>
      </c>
      <c r="M96" s="69" t="n">
        <f aca="false">IF(ISNUMBER(M95),M95*M44/(M43+M44),M95)</f>
        <v>282216.661589806</v>
      </c>
      <c r="N96" s="69" t="n">
        <f aca="false">IF(ISNUMBER(N95),N95*N44/(N43+N44),N95)</f>
        <v>66669.8836966412</v>
      </c>
      <c r="O96" s="69" t="n">
        <f aca="false">IF(ISNUMBER(O95),O95*O44/(O43+O44),O95)</f>
        <v>2689566.32352234</v>
      </c>
      <c r="P96" s="69" t="n">
        <f aca="false">IF(ISNUMBER(P95),P95*P44/(P43+P44),P95)</f>
        <v>753530.358019676</v>
      </c>
      <c r="Q96" s="69" t="n">
        <f aca="false">IF(ISNUMBER(Q95),Q95*Q44/(Q43+Q44),Q95)</f>
        <v>181310.024111687</v>
      </c>
      <c r="R96" s="69" t="n">
        <f aca="false">IF(ISNUMBER(R95),R95*R44/(R43+R44),R95)</f>
        <v>185064.058241007</v>
      </c>
      <c r="S96" s="69" t="n">
        <f aca="false">IF(ISNUMBER(S95),S95*S44/(S43+S44),S95)</f>
        <v>43589.4142723017</v>
      </c>
      <c r="T96" s="65" t="s">
        <v>1243</v>
      </c>
    </row>
    <row r="97" customFormat="false" ht="15" hidden="false" customHeight="false" outlineLevel="0" collapsed="false">
      <c r="A97" s="61" t="s">
        <v>991</v>
      </c>
      <c r="B97" s="62" t="s">
        <v>414</v>
      </c>
      <c r="C97" s="69" t="n">
        <f aca="false">IF(ISNUMBER(C95),C95-C96,C95)</f>
        <v>18513.2434859457</v>
      </c>
      <c r="D97" s="69" t="n">
        <f aca="false">IF(ISNUMBER(D95),D95-D96,D95)</f>
        <v>4794.25475551682</v>
      </c>
      <c r="E97" s="69" t="n">
        <f aca="false">IF(ISNUMBER(E95),E95-E96,E95)</f>
        <v>1112.53238833928</v>
      </c>
      <c r="F97" s="69" t="n">
        <f aca="false">IF(ISNUMBER(F95),F95-F96,F95)</f>
        <v>432756.341100645</v>
      </c>
      <c r="G97" s="69" t="n">
        <f aca="false">IF(ISNUMBER(G95),G95-G96,G95)</f>
        <v>116764.222816881</v>
      </c>
      <c r="H97" s="69" t="n">
        <f aca="false">IF(ISNUMBER(H95),H95-H96,H95)</f>
        <v>27343.401306873</v>
      </c>
      <c r="I97" s="69" t="n">
        <f aca="false">IF(ISNUMBER(I95),I95-I96,I95)</f>
        <v>285713.880641242</v>
      </c>
      <c r="J97" s="69" t="n">
        <f aca="false">IF(ISNUMBER(J95),J95-J96,J95)</f>
        <v>77385.2016483456</v>
      </c>
      <c r="K97" s="69" t="n">
        <f aca="false">IF(ISNUMBER(K95),K95-K96,K95)</f>
        <v>17267.6442097911</v>
      </c>
      <c r="L97" s="69" t="n">
        <f aca="false">IF(ISNUMBER(L95),L95-L96,L95)</f>
        <v>507011.26372924</v>
      </c>
      <c r="M97" s="69" t="n">
        <f aca="false">IF(ISNUMBER(M95),M95-M96,M95)</f>
        <v>141108.330794903</v>
      </c>
      <c r="N97" s="69" t="n">
        <f aca="false">IF(ISNUMBER(N95),N95-N96,N95)</f>
        <v>33334.9418483206</v>
      </c>
      <c r="O97" s="69" t="n">
        <f aca="false">IF(ISNUMBER(O95),O95-O96,O95)</f>
        <v>1344783.16176117</v>
      </c>
      <c r="P97" s="69" t="n">
        <f aca="false">IF(ISNUMBER(P95),P95-P96,P95)</f>
        <v>376765.179009838</v>
      </c>
      <c r="Q97" s="69" t="n">
        <f aca="false">IF(ISNUMBER(Q95),Q95-Q96,Q95)</f>
        <v>90655.0120558433</v>
      </c>
      <c r="R97" s="69" t="n">
        <f aca="false">IF(ISNUMBER(R95),R95-R96,R95)</f>
        <v>92532.0291205036</v>
      </c>
      <c r="S97" s="69" t="n">
        <f aca="false">IF(ISNUMBER(S95),S95-S96,S95)</f>
        <v>21794.7071361509</v>
      </c>
      <c r="T97" s="65" t="s">
        <v>1244</v>
      </c>
    </row>
    <row r="98" customFormat="false" ht="15" hidden="false" customHeight="false" outlineLevel="0" collapsed="false">
      <c r="A98" s="61" t="s">
        <v>992</v>
      </c>
      <c r="B98" s="62" t="s">
        <v>993</v>
      </c>
      <c r="C98" s="72" t="n">
        <f aca="false">IF(ISNUMBER(C95),C95*C25*8760*3600/1000000,C95)</f>
        <v>39301929586.3401</v>
      </c>
      <c r="D98" s="72" t="n">
        <f aca="false">IF(ISNUMBER(D95),D95*D25*8760*3600/1000000,D95)</f>
        <v>10177766146.885</v>
      </c>
      <c r="E98" s="72" t="n">
        <f aca="false">IF(ISNUMBER(E95),E95*E25*8760*3600/1000000,E95)</f>
        <v>2361804922.0941</v>
      </c>
      <c r="F98" s="72" t="n">
        <f aca="false">IF(ISNUMBER(F95),F95*F25*8760*3600/1000000,F95)</f>
        <v>285326274862.465</v>
      </c>
      <c r="G98" s="72" t="n">
        <f aca="false">IF(ISNUMBER(G95),G95*G25*8760*3600/1000000,G95)</f>
        <v>76985355428.456</v>
      </c>
      <c r="H98" s="72" t="n">
        <f aca="false">IF(ISNUMBER(H95),H95*H25*8760*3600/1000000,H95)</f>
        <v>18028137536.0484</v>
      </c>
      <c r="I98" s="72" t="n">
        <f aca="false">IF(ISNUMBER(I95),I95*I25*8760*3600/1000000,I95)</f>
        <v>182836458496.495</v>
      </c>
      <c r="J98" s="72" t="n">
        <f aca="false">IF(ISNUMBER(J95),J95*J25*8760*3600/1000000,J95)</f>
        <v>49520996941.6458</v>
      </c>
      <c r="K98" s="72" t="n">
        <f aca="false">IF(ISNUMBER(K95),K95*K25*8760*3600/1000000,K95)</f>
        <v>11050057864.917</v>
      </c>
      <c r="L98" s="72" t="n">
        <f aca="false">IF(ISNUMBER(L95),L95*L25*8760*3600/1000000,L95)</f>
        <v>194363587280.806</v>
      </c>
      <c r="M98" s="72" t="n">
        <f aca="false">IF(ISNUMBER(M95),M95*M25*8760*3600/1000000,M95)</f>
        <v>54094106641.2887</v>
      </c>
      <c r="N98" s="72" t="n">
        <f aca="false">IF(ISNUMBER(N95),N95*N25*8760*3600/1000000,N95)</f>
        <v>12779003826.8197</v>
      </c>
      <c r="O98" s="72" t="n">
        <f aca="false">IF(ISNUMBER(O95),O95*O25*8760*3600/1000000,O95)</f>
        <v>344149698720.171</v>
      </c>
      <c r="P98" s="72" t="n">
        <f aca="false">IF(ISNUMBER(P95),P95*P25*8760*3600/1000000,P95)</f>
        <v>96419725150.8382</v>
      </c>
      <c r="Q98" s="72" t="n">
        <f aca="false">IF(ISNUMBER(Q95),Q95*Q25*8760*3600/1000000,Q95)</f>
        <v>23199944774.4668</v>
      </c>
      <c r="R98" s="69" t="n">
        <f aca="false">IF(ISNUMBER(R95),R95*R25*8760*3600/1000000,R95)</f>
        <v>35472302895.1041</v>
      </c>
      <c r="S98" s="69" t="n">
        <f aca="false">IF(ISNUMBER(S95),S95*S25*8760*3600/1000000,S95)</f>
        <v>8355036200.89017</v>
      </c>
      <c r="T98" s="65" t="s">
        <v>1245</v>
      </c>
    </row>
    <row r="99" customFormat="false" ht="15" hidden="false" customHeight="false" outlineLevel="0" collapsed="false">
      <c r="A99" s="61" t="s">
        <v>994</v>
      </c>
      <c r="B99" s="62" t="s">
        <v>993</v>
      </c>
      <c r="C99" s="69" t="n">
        <f aca="false">IF(ISNUMBER(C96),C96*C25*8760*3600/1000000,C96)</f>
        <v>26201286390.8934</v>
      </c>
      <c r="D99" s="69" t="n">
        <f aca="false">IF(ISNUMBER(D96),D96*D25*8760*3600/1000000,D96)</f>
        <v>6785177431.2567</v>
      </c>
      <c r="E99" s="69" t="n">
        <f aca="false">IF(ISNUMBER(E96),E96*E25*8760*3600/1000000,E96)</f>
        <v>1574536614.7294</v>
      </c>
      <c r="F99" s="69" t="n">
        <f aca="false">IF(ISNUMBER(F96),F96*F25*8760*3600/1000000,F96)</f>
        <v>190217516574.976</v>
      </c>
      <c r="G99" s="69" t="n">
        <f aca="false">IF(ISNUMBER(G96),G96*G25*8760*3600/1000000,G96)</f>
        <v>51323570285.6374</v>
      </c>
      <c r="H99" s="69" t="n">
        <f aca="false">IF(ISNUMBER(H96),H96*H25*8760*3600/1000000,H96)</f>
        <v>12018758357.3656</v>
      </c>
      <c r="I99" s="69" t="n">
        <f aca="false">IF(ISNUMBER(I96),I96*I25*8760*3600/1000000,I96)</f>
        <v>121890972330.997</v>
      </c>
      <c r="J99" s="69" t="n">
        <f aca="false">IF(ISNUMBER(J96),J96*J25*8760*3600/1000000,J96)</f>
        <v>33013997961.0972</v>
      </c>
      <c r="K99" s="69" t="n">
        <f aca="false">IF(ISNUMBER(K96),K96*K25*8760*3600/1000000,K96)</f>
        <v>7366705243.27801</v>
      </c>
      <c r="L99" s="69" t="n">
        <f aca="false">IF(ISNUMBER(L96),L96*L25*8760*3600/1000000,L96)</f>
        <v>129575724853.871</v>
      </c>
      <c r="M99" s="69" t="n">
        <f aca="false">IF(ISNUMBER(M96),M96*M25*8760*3600/1000000,M96)</f>
        <v>36062737760.8591</v>
      </c>
      <c r="N99" s="69" t="n">
        <f aca="false">IF(ISNUMBER(N96),N96*N25*8760*3600/1000000,N96)</f>
        <v>8519335884.54648</v>
      </c>
      <c r="O99" s="69" t="n">
        <f aca="false">IF(ISNUMBER(O96),O96*O25*8760*3600/1000000,O96)</f>
        <v>229433132480.114</v>
      </c>
      <c r="P99" s="69" t="n">
        <f aca="false">IF(ISNUMBER(P96),P96*P25*8760*3600/1000000,P96)</f>
        <v>64279816767.2255</v>
      </c>
      <c r="Q99" s="69" t="n">
        <f aca="false">IF(ISNUMBER(Q96),Q96*Q25*8760*3600/1000000,Q96)</f>
        <v>15466629849.6445</v>
      </c>
      <c r="R99" s="69" t="n">
        <f aca="false">IF(ISNUMBER(R96),R96*R25*8760*3600/1000000,R96)</f>
        <v>23648201930.0694</v>
      </c>
      <c r="S99" s="69" t="n">
        <f aca="false">IF(ISNUMBER(S96),S96*S25*8760*3600/1000000,S96)</f>
        <v>5570024133.92678</v>
      </c>
      <c r="T99" s="65" t="s">
        <v>1246</v>
      </c>
    </row>
    <row r="100" customFormat="false" ht="15" hidden="false" customHeight="false" outlineLevel="0" collapsed="false">
      <c r="A100" s="77" t="s">
        <v>996</v>
      </c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</row>
    <row r="101" customFormat="false" ht="15" hidden="false" customHeight="false" outlineLevel="0" collapsed="false">
      <c r="A101" s="61" t="s">
        <v>997</v>
      </c>
      <c r="B101" s="62" t="s">
        <v>998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65" t="s">
        <v>1247</v>
      </c>
    </row>
    <row r="102" customFormat="false" ht="15" hidden="false" customHeight="false" outlineLevel="0" collapsed="false">
      <c r="A102" s="61" t="s">
        <v>999</v>
      </c>
      <c r="B102" s="62" t="s">
        <v>998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  <c r="T102" s="65" t="s">
        <v>1248</v>
      </c>
    </row>
    <row r="103" customFormat="false" ht="15" hidden="false" customHeight="false" outlineLevel="0" collapsed="false">
      <c r="A103" s="62" t="s">
        <v>1000</v>
      </c>
      <c r="B103" s="62" t="s">
        <v>998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77.8033667372729</v>
      </c>
      <c r="G103" s="75" t="n">
        <f aca="false">IF(ISNUMBER(G88),IF(G88&gt;0,IF(G77="是",1000000/G88,"TTFT 不可達"),"SLO 不可達"),"SLO 不可達")</f>
        <v>286.392806331238</v>
      </c>
      <c r="H103" s="75" t="n">
        <f aca="false">IF(ISNUMBER(H88),IF(H88&gt;0,IF(H77="是",1000000/H88,"TTFT 不可達"),"SLO 不可達"),"SLO 不可達")</f>
        <v>1249.87733157532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65" t="s">
        <v>1249</v>
      </c>
    </row>
    <row r="104" customFormat="false" ht="15" hidden="false" customHeight="false" outlineLevel="0" collapsed="false">
      <c r="A104" s="65" t="s">
        <v>1001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7" t="s">
        <v>1002</v>
      </c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</row>
    <row r="107" customFormat="false" ht="15" hidden="false" customHeight="false" outlineLevel="0" collapsed="false">
      <c r="A107" s="61" t="s">
        <v>1003</v>
      </c>
      <c r="B107" s="62" t="s">
        <v>1004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  <c r="T107" s="65" t="s">
        <v>1250</v>
      </c>
    </row>
    <row r="108" customFormat="false" ht="15" hidden="false" customHeight="false" outlineLevel="0" collapsed="false">
      <c r="A108" s="62" t="s">
        <v>1005</v>
      </c>
      <c r="B108" s="62" t="s">
        <v>930</v>
      </c>
      <c r="C108" s="90" t="n">
        <f aca="false">IF(C$6=1,Energy!$C$7,Energy!$C$6)</f>
        <v>40</v>
      </c>
      <c r="D108" s="90" t="n">
        <f aca="false">IF(D$6=1,Energy!$C$7,Energy!$C$6)</f>
        <v>40</v>
      </c>
      <c r="E108" s="90" t="n">
        <f aca="false">IF(E$6=1,Energy!$C$7,Energy!$C$6)</f>
        <v>40</v>
      </c>
      <c r="F108" s="90" t="n">
        <f aca="false">IF(F$6=1,Energy!$C$7,Energy!$C$6)</f>
        <v>10</v>
      </c>
      <c r="G108" s="90" t="n">
        <f aca="false">IF(G$6=1,Energy!$C$7,Energy!$C$6)</f>
        <v>10</v>
      </c>
      <c r="H108" s="90" t="n">
        <f aca="false">IF(H$6=1,Energy!$C$7,Energy!$C$6)</f>
        <v>10</v>
      </c>
      <c r="I108" s="90" t="n">
        <f aca="false">IF(I$6=1,Energy!$C$7,Energy!$C$6)</f>
        <v>10</v>
      </c>
      <c r="J108" s="90" t="n">
        <f aca="false">IF(J$6=1,Energy!$C$7,Energy!$C$6)</f>
        <v>10</v>
      </c>
      <c r="K108" s="90" t="n">
        <f aca="false">IF(K$6=1,Energy!$C$7,Energy!$C$6)</f>
        <v>10</v>
      </c>
      <c r="L108" s="90" t="n">
        <f aca="false">IF(L$6=1,Energy!$C$7,Energy!$C$6)</f>
        <v>10</v>
      </c>
      <c r="M108" s="90" t="n">
        <f aca="false">IF(M$6=1,Energy!$C$7,Energy!$C$6)</f>
        <v>10</v>
      </c>
      <c r="N108" s="90" t="n">
        <f aca="false">IF(N$6=1,Energy!$C$7,Energy!$C$6)</f>
        <v>10</v>
      </c>
      <c r="O108" s="90" t="n">
        <f aca="false">IF(O$6=1,Energy!$C$7,Energy!$C$6)</f>
        <v>10</v>
      </c>
      <c r="P108" s="90" t="n">
        <f aca="false">IF(P$6=1,Energy!$C$7,Energy!$C$6)</f>
        <v>10</v>
      </c>
      <c r="Q108" s="90" t="n">
        <f aca="false">IF(Q$6=1,Energy!$C$7,Energy!$C$6)</f>
        <v>10</v>
      </c>
      <c r="R108" s="90" t="n">
        <f aca="false">IF(R$6=1,Energy!$C$7,Energy!$C$6)</f>
        <v>10</v>
      </c>
      <c r="S108" s="90" t="n">
        <f aca="false">IF(S$6=1,Energy!$C$7,Energy!$C$6)</f>
        <v>10</v>
      </c>
      <c r="T108" s="65" t="s">
        <v>1251</v>
      </c>
    </row>
    <row r="109" customFormat="false" ht="15" hidden="false" customHeight="false" outlineLevel="0" collapsed="false">
      <c r="A109" s="62" t="s">
        <v>1006</v>
      </c>
      <c r="B109" s="62" t="s">
        <v>566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  <c r="T109" s="65" t="s">
        <v>1252</v>
      </c>
    </row>
    <row r="110" customFormat="false" ht="15" hidden="false" customHeight="false" outlineLevel="0" collapsed="false">
      <c r="A110" s="62" t="s">
        <v>1007</v>
      </c>
      <c r="B110" s="62" t="s">
        <v>529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0.0153723739642019</v>
      </c>
      <c r="G110" s="107" t="n">
        <f aca="false">IF(G87&gt;0,(G72+G87*G34*G45/1000000000)/(G87*G49),0)</f>
        <v>0.134293343771453</v>
      </c>
      <c r="H110" s="107" t="n">
        <f aca="false">IF(H87&gt;0,(H72+H87*H34*H45/1000000000)/(H87*H49),0)</f>
        <v>1.63234847968924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  <c r="T110" s="65" t="s">
        <v>1253</v>
      </c>
    </row>
    <row r="111" customFormat="false" ht="15" hidden="false" customHeight="false" outlineLevel="0" collapsed="false">
      <c r="A111" s="62" t="s">
        <v>1008</v>
      </c>
      <c r="B111" s="62" t="s">
        <v>529</v>
      </c>
      <c r="C111" s="74" t="n">
        <f aca="false">(C47+1)*C29*C31*C30*C59/C49/1000000000</f>
        <v>0.00500640189498618</v>
      </c>
      <c r="D111" s="74" t="n">
        <f aca="false">(D47+1)*D29*D31*D30*D59/D49/1000000000</f>
        <v>0.0124286837741808</v>
      </c>
      <c r="E111" s="74" t="n">
        <f aca="false">(E47+1)*E29*E31*E30*E59/E49/1000000000</f>
        <v>0.0931423608369523</v>
      </c>
      <c r="F111" s="74" t="n">
        <f aca="false">(F47+1)*F29*F31*F30*F59/F49/1000000000</f>
        <v>0.00500640189498618</v>
      </c>
      <c r="G111" s="74" t="n">
        <f aca="false">(G47+1)*G29*G31*G30*G59/G49/1000000000</f>
        <v>0.0124286837741808</v>
      </c>
      <c r="H111" s="74" t="n">
        <f aca="false">(H47+1)*H29*H31*H30*H59/H49/1000000000</f>
        <v>0.0931423608369523</v>
      </c>
      <c r="I111" s="74" t="n">
        <f aca="false">(I47+1)*I29*I31*I30*I59/I49/1000000000</f>
        <v>0.00500640189498618</v>
      </c>
      <c r="J111" s="74" t="n">
        <f aca="false">(J47+1)*J29*J31*J30*J59/J49/1000000000</f>
        <v>0.0124286837741808</v>
      </c>
      <c r="K111" s="74" t="n">
        <f aca="false">(K47+1)*K29*K31*K30*K59/K49/1000000000</f>
        <v>0.0931423608369523</v>
      </c>
      <c r="L111" s="74" t="n">
        <f aca="false">(L47+1)*L29*L31*L30*L59/L49/1000000000</f>
        <v>0.00500640189498618</v>
      </c>
      <c r="M111" s="74" t="n">
        <f aca="false">(M47+1)*M29*M31*M30*M59/M49/1000000000</f>
        <v>0.0124286837741808</v>
      </c>
      <c r="N111" s="74" t="n">
        <f aca="false">(N47+1)*N29*N31*N30*N59/N49/1000000000</f>
        <v>0.0931423608369523</v>
      </c>
      <c r="O111" s="74" t="n">
        <f aca="false">(O47+1)*O29*O31*O30*O59/O49/1000000000</f>
        <v>0.00500640189498618</v>
      </c>
      <c r="P111" s="74" t="n">
        <f aca="false">(P47+1)*P29*P31*P30*P59/P49/1000000000</f>
        <v>0.0124286837741808</v>
      </c>
      <c r="Q111" s="74" t="n">
        <f aca="false">(Q47+1)*Q29*Q31*Q30*Q59/Q49/1000000000</f>
        <v>0.0931423608369523</v>
      </c>
      <c r="R111" s="74" t="n">
        <f aca="false">(R47+1)*R29*R31*R30*R59/R49/1000000000</f>
        <v>0.0124286837741808</v>
      </c>
      <c r="S111" s="74" t="n">
        <f aca="false">(S47+1)*S29*S31*S30*S59/S49/1000000000</f>
        <v>0.0931423608369523</v>
      </c>
      <c r="T111" s="65" t="s">
        <v>1254</v>
      </c>
    </row>
    <row r="112" customFormat="false" ht="15" hidden="false" customHeight="false" outlineLevel="0" collapsed="false">
      <c r="A112" s="62" t="s">
        <v>1009</v>
      </c>
      <c r="B112" s="62" t="s">
        <v>1010</v>
      </c>
      <c r="C112" s="74" t="n">
        <f aca="false">(C109*C107+C110*C24+C111*C108)/1000</f>
        <v>0.0153917744557886</v>
      </c>
      <c r="D112" s="74" t="n">
        <f aca="false">(D109*D107+D110*D24+D111*D108)/1000</f>
        <v>0.0725265711232064</v>
      </c>
      <c r="E112" s="74" t="n">
        <f aca="false">(E109*E107+E110*E24+E111*E108)/1000</f>
        <v>0.338670033589214</v>
      </c>
      <c r="F112" s="74" t="n">
        <f aca="false">(F109*F107+F110*F24+F111*F108)/1000</f>
        <v>0.0048364865496644</v>
      </c>
      <c r="G112" s="74" t="n">
        <f aca="false">(G109*G107+G110*G24+G111*G108)/1000</f>
        <v>0.0186390552829001</v>
      </c>
      <c r="H112" s="74" t="n">
        <f aca="false">(H109*H107+H110*H24+H111*H108)/1000</f>
        <v>0.100984370419708</v>
      </c>
      <c r="I112" s="74" t="n">
        <f aca="false">(I109*I107+I110*I24+I111*I108)/1000</f>
        <v>0.00394901270930764</v>
      </c>
      <c r="J112" s="74" t="n">
        <f aca="false">(J109*J107+J110*J24+J111*J108)/1000</f>
        <v>0.0168280079931783</v>
      </c>
      <c r="K112" s="74" t="n">
        <f aca="false">(K109*K107+K110*K24+K111*K108)/1000</f>
        <v>0.113374108414868</v>
      </c>
      <c r="L112" s="74" t="n">
        <f aca="false">(L109*L107+L110*L24+L111*L108)/1000</f>
        <v>0.00223055847420251</v>
      </c>
      <c r="M112" s="74" t="n">
        <f aca="false">(M109*M107+M110*M24+M111*M108)/1000</f>
        <v>0.00902142637318648</v>
      </c>
      <c r="N112" s="74" t="n">
        <f aca="false">(N109*N107+N110*N24+N111*N108)/1000</f>
        <v>0.0610807313641472</v>
      </c>
      <c r="O112" s="74" t="n">
        <f aca="false">(O109*O107+O110*O24+O111*O108)/1000</f>
        <v>0.00212843945205932</v>
      </c>
      <c r="P112" s="74" t="n">
        <f aca="false">(P109*P107+P110*P24+P111*P108)/1000</f>
        <v>0.00753068269335203</v>
      </c>
      <c r="Q112" s="74" t="n">
        <f aca="false">(Q109*Q107+Q110*Q24+Q111*Q108)/1000</f>
        <v>0.0443502439344209</v>
      </c>
      <c r="R112" s="74" t="n">
        <f aca="false">(R109*R107+R110*R24+R111*R108)/1000</f>
        <v>0.0177703179988921</v>
      </c>
      <c r="S112" s="74" t="n">
        <f aca="false">(S109*S107+S110*S24+S111*S108)/1000</f>
        <v>0.104934615366301</v>
      </c>
      <c r="T112" s="65" t="s">
        <v>1255</v>
      </c>
    </row>
    <row r="113" customFormat="false" ht="15" hidden="false" customHeight="false" outlineLevel="0" collapsed="false">
      <c r="A113" s="62" t="s">
        <v>1011</v>
      </c>
      <c r="B113" s="62" t="s">
        <v>1010</v>
      </c>
      <c r="C113" s="74" t="n">
        <f aca="false">C67*C107/1000</f>
        <v>0.00685623678105678</v>
      </c>
      <c r="D113" s="74" t="n">
        <f aca="false">D67*D107/1000</f>
        <v>0.0279133125968021</v>
      </c>
      <c r="E113" s="74" t="n">
        <f aca="false">E67*E107/1000</f>
        <v>0.0849476673713997</v>
      </c>
      <c r="F113" s="74" t="n">
        <f aca="false">F67*F107/1000</f>
        <v>0.00232602730109338</v>
      </c>
      <c r="G113" s="74" t="n">
        <f aca="false">G67*G107/1000</f>
        <v>0.00946979067926937</v>
      </c>
      <c r="H113" s="74" t="n">
        <f aca="false">H67*H107/1000</f>
        <v>0.0288191029248</v>
      </c>
      <c r="I113" s="74" t="n">
        <f aca="false">I67*I107/1000</f>
        <v>0.00180913234529485</v>
      </c>
      <c r="J113" s="74" t="n">
        <f aca="false">J67*J107/1000</f>
        <v>0.00736539275054285</v>
      </c>
      <c r="K113" s="74" t="n">
        <f aca="false">K67*K107/1000</f>
        <v>0.0224148578304</v>
      </c>
      <c r="L113" s="74" t="n">
        <f aca="false">L67*L107/1000</f>
        <v>0.000996868843325733</v>
      </c>
      <c r="M113" s="74" t="n">
        <f aca="false">M67*M107/1000</f>
        <v>0.00405848171968688</v>
      </c>
      <c r="N113" s="74" t="n">
        <f aca="false">N67*N107/1000</f>
        <v>0.0123510441106286</v>
      </c>
      <c r="O113" s="74" t="n">
        <f aca="false">O67*O107/1000</f>
        <v>0.000996868843325733</v>
      </c>
      <c r="P113" s="74" t="n">
        <f aca="false">P67*P107/1000</f>
        <v>0.00405848171968688</v>
      </c>
      <c r="Q113" s="74" t="n">
        <f aca="false">Q67*Q107/1000</f>
        <v>0.0123510441106286</v>
      </c>
      <c r="R113" s="74" t="n">
        <f aca="false">R67*R107/1000</f>
        <v>0.00811696343937375</v>
      </c>
      <c r="S113" s="74" t="n">
        <f aca="false">S67*S107/1000</f>
        <v>0.0247020882212571</v>
      </c>
      <c r="T113" s="65" t="s">
        <v>1256</v>
      </c>
    </row>
    <row r="114" customFormat="false" ht="15" hidden="false" customHeight="false" outlineLevel="0" collapsed="false">
      <c r="A114" s="61" t="s">
        <v>1012</v>
      </c>
      <c r="B114" s="62" t="s">
        <v>934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5.19264351015188</v>
      </c>
      <c r="G114" s="75" t="n">
        <f aca="false">IF(ISNUMBER(G95),(G97*G113+G96*G112)/1000,G95)</f>
        <v>5.45848235720084</v>
      </c>
      <c r="H114" s="75" t="n">
        <f aca="false">IF(ISNUMBER(H95),(H97*H113+H96*H112)/1000,H95)</f>
        <v>6.31052462879289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  <c r="T114" s="65" t="s">
        <v>1257</v>
      </c>
    </row>
    <row r="115" customFormat="false" ht="15" hidden="false" customHeight="false" outlineLevel="0" collapsed="false">
      <c r="A115" s="61" t="s">
        <v>1013</v>
      </c>
      <c r="B115" s="62" t="s">
        <v>934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  <c r="T115" s="65" t="s">
        <v>1258</v>
      </c>
    </row>
    <row r="116" customFormat="false" ht="15" hidden="false" customHeight="false" outlineLevel="0" collapsed="false">
      <c r="A116" s="61" t="s">
        <v>1014</v>
      </c>
      <c r="B116" s="62" t="s">
        <v>127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0.0491727605128019</v>
      </c>
      <c r="G116" s="117" t="n">
        <f aca="false">IF(ISNUMBER(G114),IF(G115&gt;0,G114/G115,0),G114)</f>
        <v>0.0516901738371292</v>
      </c>
      <c r="H116" s="117" t="n">
        <f aca="false">IF(ISNUMBER(H114),IF(H115&gt;0,H114/H115,0),H114)</f>
        <v>0.0597587559544781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6" t="n">
        <f aca="false">IF(ISNUMBER(R114),IF(R115&gt;0,R114/R115,0),R114)</f>
        <v>0.022245188669881</v>
      </c>
      <c r="S116" s="86" t="n">
        <f aca="false">IF(ISNUMBER(S114),IF(S115&gt;0,S114/S115,0),S114)</f>
        <v>0.0281520550613435</v>
      </c>
      <c r="T116" s="65" t="s">
        <v>1259</v>
      </c>
    </row>
    <row r="117" customFormat="false" ht="15" hidden="false" customHeight="false" outlineLevel="0" collapsed="false">
      <c r="A117" s="62" t="s">
        <v>1015</v>
      </c>
      <c r="B117" s="62" t="s">
        <v>1016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12.2942142358138</v>
      </c>
      <c r="G117" s="118" t="n">
        <f aca="false">IF(ISNUMBER(G95),G95/(G115*1000),G95)</f>
        <v>3.31716542093411</v>
      </c>
      <c r="H117" s="118" t="n">
        <f aca="false">IF(ISNUMBER(H95),H95/(H115*1000),H95)</f>
        <v>0.77680117349071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3" t="n">
        <f aca="false">IF(ISNUMBER(R95),R95/(R115*1000),R95)</f>
        <v>1.52861281586735</v>
      </c>
      <c r="S117" s="73" t="n">
        <f aca="false">IF(ISNUMBER(S95),S95/(S115*1000),S95)</f>
        <v>0.360044721412184</v>
      </c>
      <c r="T117" s="65" t="s">
        <v>1260</v>
      </c>
    </row>
    <row r="118" customFormat="false" ht="15" hidden="false" customHeight="false" outlineLevel="0" collapsed="false">
      <c r="A118" s="61" t="s">
        <v>1017</v>
      </c>
      <c r="B118" s="62" t="s">
        <v>1010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0.114111604548</v>
      </c>
      <c r="G118" s="107" t="n">
        <f aca="false">IF(ISNUMBER(G96),IF(G96&gt;0,G115*1000*(1-G94)/G96,0),G96)</f>
        <v>0.420042782619149</v>
      </c>
      <c r="H118" s="107" t="n">
        <f aca="false">IF(ISNUMBER(H96),IF(H96&gt;0,H115*1000*(1-H94)/H96,0),H96)</f>
        <v>1.83315341964381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  <c r="T118" s="65" t="s">
        <v>1261</v>
      </c>
    </row>
    <row r="119" customFormat="false" ht="15" hidden="false" customHeight="false" outlineLevel="0" collapsed="false">
      <c r="A119" s="77" t="s">
        <v>1262</v>
      </c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 customFormat="false" ht="15" hidden="false" customHeight="false" outlineLevel="0" collapsed="false">
      <c r="A120" s="62" t="s">
        <v>1263</v>
      </c>
      <c r="B120" s="62" t="s">
        <v>127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0.0497628810429304</v>
      </c>
      <c r="G120" s="103" t="n">
        <f aca="false">IF(G88&gt;0,G88*G65*1000000000/(G14*1000000000000000),0)</f>
        <v>0.0465485660832268</v>
      </c>
      <c r="H120" s="103" t="n">
        <f aca="false">IF(H88&gt;0,H88*H65*1000000000/(H14*1000000000000000),0)</f>
        <v>0.0416889930264808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  <c r="T120" s="65" t="s">
        <v>1264</v>
      </c>
    </row>
    <row r="121" customFormat="false" ht="15" hidden="false" customHeight="false" outlineLevel="0" collapsed="false">
      <c r="A121" s="62" t="s">
        <v>1265</v>
      </c>
      <c r="B121" s="62" t="s">
        <v>127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0.0995257620858609</v>
      </c>
      <c r="G121" s="143" t="n">
        <f aca="false">IF(G88&gt;0,G88*G65*1000000000/(INDEX(Spec_Rack!$C$40:$G$40,G$6)*1000000000000000),0)</f>
        <v>0.0930971321664535</v>
      </c>
      <c r="H121" s="143" t="n">
        <f aca="false">IF(H88&gt;0,H88*H65*1000000000/(INDEX(Spec_Rack!$C$40:$G$40,H$6)*1000000000000000),0)</f>
        <v>0.0833779860529616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  <c r="T121" s="65" t="s">
        <v>1266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1267</v>
      </c>
    </row>
    <row r="2" customFormat="false" ht="15" hidden="false" customHeight="false" outlineLevel="0" collapsed="false">
      <c r="A2" s="65" t="s">
        <v>1268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INDEX(Spec_Rack!$C$4:$G$4,C6)</f>
        <v>Hopper H100</v>
      </c>
      <c r="D4" s="83" t="str">
        <f aca="false">INDEX(Spec_Rack!$C$4:$G$4,D6)</f>
        <v>Hopper H100</v>
      </c>
      <c r="E4" s="83" t="str">
        <f aca="false">INDEX(Spec_Rack!$C$4:$G$4,E6)</f>
        <v>Hopper H100</v>
      </c>
      <c r="F4" s="83" t="str">
        <f aca="false">INDEX(Spec_Rack!$C$4:$G$4,F6)</f>
        <v>GB200 NVL72</v>
      </c>
      <c r="G4" s="83" t="str">
        <f aca="false">INDEX(Spec_Rack!$C$4:$G$4,G6)</f>
        <v>GB200 NVL72</v>
      </c>
      <c r="H4" s="83" t="str">
        <f aca="false">INDEX(Spec_Rack!$C$4:$G$4,H6)</f>
        <v>GB200 NVL72</v>
      </c>
      <c r="I4" s="83" t="str">
        <f aca="false">INDEX(Spec_Rack!$C$4:$G$4,I6)</f>
        <v>GB300 NVL72</v>
      </c>
      <c r="J4" s="83" t="str">
        <f aca="false">INDEX(Spec_Rack!$C$4:$G$4,J6)</f>
        <v>GB300 NVL72</v>
      </c>
      <c r="K4" s="83" t="str">
        <f aca="false">INDEX(Spec_Rack!$C$4:$G$4,K6)</f>
        <v>GB300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Rubin Ultra（MGX NVL 單架，72 GPU）</v>
      </c>
      <c r="P4" s="83" t="str">
        <f aca="false">INDEX(Spec_Rack!$C$4:$G$4,P6)</f>
        <v>Rubin Ultra（MGX NVL 單架，72 GPU）</v>
      </c>
      <c r="Q4" s="83" t="str">
        <f aca="false">INDEX(Spec_Rack!$C$4:$G$4,Q6)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913</v>
      </c>
      <c r="C5" s="83" t="str">
        <f aca="false">INDEX(Arch!$C$4:$E$4,C7)</f>
        <v>Luna（低層）</v>
      </c>
      <c r="D5" s="83" t="str">
        <f aca="false">INDEX(Arch!$C$4:$E$4,D7)</f>
        <v>Sol（中層）</v>
      </c>
      <c r="E5" s="83" t="str">
        <f aca="false">INDEX(Arch!$C$4:$E$4,E7)</f>
        <v>Astra（頂層）</v>
      </c>
      <c r="F5" s="83" t="str">
        <f aca="false">INDEX(Arch!$C$4:$E$4,F7)</f>
        <v>Luna（低層）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Luna（低層）</v>
      </c>
      <c r="J5" s="83" t="str">
        <f aca="false">INDEX(Arch!$C$4:$E$4,J7)</f>
        <v>Sol（中層）</v>
      </c>
      <c r="K5" s="83" t="str">
        <f aca="false">INDEX(Arch!$C$4:$E$4,K7)</f>
        <v>Astra（頂層）</v>
      </c>
      <c r="L5" s="83" t="str">
        <f aca="false">INDEX(Arch!$C$4:$E$4,L7)</f>
        <v>Luna（低層）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Luna（低層）</v>
      </c>
      <c r="P5" s="83" t="str">
        <f aca="false">INDEX(Arch!$C$4:$E$4,P7)</f>
        <v>Sol（中層）</v>
      </c>
      <c r="Q5" s="83" t="str">
        <f aca="false">INDEX(Arch!$C$4:$E$4,Q7)</f>
        <v>Astra（頂層）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68" t="n">
        <v>1</v>
      </c>
      <c r="D6" s="68" t="n">
        <v>1</v>
      </c>
      <c r="E6" s="68" t="n">
        <v>1</v>
      </c>
      <c r="F6" s="68" t="n">
        <v>2</v>
      </c>
      <c r="G6" s="68" t="n">
        <v>2</v>
      </c>
      <c r="H6" s="68" t="n">
        <v>2</v>
      </c>
      <c r="I6" s="68" t="n">
        <v>3</v>
      </c>
      <c r="J6" s="68" t="n">
        <v>3</v>
      </c>
      <c r="K6" s="68" t="n">
        <v>3</v>
      </c>
      <c r="L6" s="68" t="n">
        <v>4</v>
      </c>
      <c r="M6" s="68" t="n">
        <v>4</v>
      </c>
      <c r="N6" s="68" t="n">
        <v>4</v>
      </c>
      <c r="O6" s="68" t="n">
        <v>5</v>
      </c>
      <c r="P6" s="68" t="n">
        <v>5</v>
      </c>
      <c r="Q6" s="68" t="n">
        <v>5</v>
      </c>
    </row>
    <row r="7" customFormat="false" ht="15" hidden="false" customHeight="false" outlineLevel="0" collapsed="false">
      <c r="A7" s="60" t="s">
        <v>915</v>
      </c>
      <c r="C7" s="68" t="n">
        <v>1</v>
      </c>
      <c r="D7" s="68" t="n">
        <v>2</v>
      </c>
      <c r="E7" s="68" t="n">
        <v>3</v>
      </c>
      <c r="F7" s="68" t="n">
        <v>1</v>
      </c>
      <c r="G7" s="68" t="n">
        <v>2</v>
      </c>
      <c r="H7" s="68" t="n">
        <v>3</v>
      </c>
      <c r="I7" s="68" t="n">
        <v>1</v>
      </c>
      <c r="J7" s="68" t="n">
        <v>2</v>
      </c>
      <c r="K7" s="68" t="n">
        <v>3</v>
      </c>
      <c r="L7" s="68" t="n">
        <v>1</v>
      </c>
      <c r="M7" s="68" t="n">
        <v>2</v>
      </c>
      <c r="N7" s="68" t="n">
        <v>3</v>
      </c>
      <c r="O7" s="68" t="n">
        <v>1</v>
      </c>
      <c r="P7" s="68" t="n">
        <v>2</v>
      </c>
      <c r="Q7" s="68" t="n">
        <v>3</v>
      </c>
    </row>
    <row r="9" customFormat="false" ht="15" hidden="false" customHeight="false" outlineLevel="0" collapsed="false">
      <c r="A9" s="77" t="s">
        <v>1269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2" t="s">
        <v>1270</v>
      </c>
      <c r="B10" s="62" t="s">
        <v>526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1271</v>
      </c>
      <c r="B11" s="62" t="s">
        <v>132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1272</v>
      </c>
      <c r="B12" s="62" t="s">
        <v>526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1273</v>
      </c>
      <c r="B13" s="62" t="s">
        <v>127</v>
      </c>
      <c r="C13" s="66" t="n">
        <f aca="false">Train_In!$C$6</f>
        <v>0.25</v>
      </c>
      <c r="D13" s="66" t="n">
        <f aca="false">Train_In!$C$6</f>
        <v>0.25</v>
      </c>
      <c r="E13" s="66" t="n">
        <f aca="false">Train_In!$C$6</f>
        <v>0.25</v>
      </c>
      <c r="F13" s="66" t="n">
        <f aca="false">Train_In!$C$6</f>
        <v>0.25</v>
      </c>
      <c r="G13" s="66" t="n">
        <f aca="false">Train_In!$C$6</f>
        <v>0.25</v>
      </c>
      <c r="H13" s="66" t="n">
        <f aca="false">Train_In!$C$6</f>
        <v>0.25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</row>
    <row r="14" customFormat="false" ht="15" hidden="false" customHeight="false" outlineLevel="0" collapsed="false">
      <c r="A14" s="62" t="s">
        <v>1274</v>
      </c>
      <c r="B14" s="62" t="s">
        <v>132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1275</v>
      </c>
      <c r="B15" s="62" t="s">
        <v>132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1276</v>
      </c>
      <c r="B16" s="62" t="s">
        <v>127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1277</v>
      </c>
      <c r="B17" s="62" t="s">
        <v>127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</row>
    <row r="18" customFormat="false" ht="15" hidden="false" customHeight="false" outlineLevel="0" collapsed="false">
      <c r="A18" s="61" t="s">
        <v>1278</v>
      </c>
      <c r="B18" s="61" t="s">
        <v>926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1279</v>
      </c>
      <c r="B19" s="62" t="s">
        <v>1049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  <c r="R19" s="65" t="s">
        <v>1280</v>
      </c>
    </row>
    <row r="20" customFormat="false" ht="15" hidden="false" customHeight="false" outlineLevel="0" collapsed="false">
      <c r="A20" s="61" t="s">
        <v>1281</v>
      </c>
      <c r="B20" s="62" t="s">
        <v>1049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  <c r="R20" s="65" t="s">
        <v>1282</v>
      </c>
    </row>
    <row r="21" customFormat="false" ht="15" hidden="false" customHeight="false" outlineLevel="0" collapsed="false">
      <c r="A21" s="77" t="s">
        <v>1283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1" t="s">
        <v>313</v>
      </c>
      <c r="B22" s="62" t="s">
        <v>311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552</v>
      </c>
      <c r="B23" s="62" t="s">
        <v>355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330</v>
      </c>
      <c r="B24" s="62" t="s">
        <v>127</v>
      </c>
      <c r="C24" s="66" t="n">
        <f aca="false">INDEX(Arch!$C$16:$E$16,C$7)</f>
        <v>0.512</v>
      </c>
      <c r="D24" s="66" t="n">
        <f aca="false">INDEX(Arch!$C$16:$E$16,D$7)</f>
        <v>0.492</v>
      </c>
      <c r="E24" s="66" t="n">
        <f aca="false">INDEX(Arch!$C$16:$E$16,E$7)</f>
        <v>1</v>
      </c>
      <c r="F24" s="66" t="n">
        <f aca="false">INDEX(Arch!$C$16:$E$16,F$7)</f>
        <v>0.512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0.512</v>
      </c>
      <c r="J24" s="66" t="n">
        <f aca="false">INDEX(Arch!$C$16:$E$16,J$7)</f>
        <v>0.492</v>
      </c>
      <c r="K24" s="66" t="n">
        <f aca="false">INDEX(Arch!$C$16:$E$16,K$7)</f>
        <v>1</v>
      </c>
      <c r="L24" s="66" t="n">
        <f aca="false">INDEX(Arch!$C$16:$E$16,L$7)</f>
        <v>0.512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0.512</v>
      </c>
      <c r="P24" s="66" t="n">
        <f aca="false">INDEX(Arch!$C$16:$E$16,P$7)</f>
        <v>0.492</v>
      </c>
      <c r="Q24" s="66" t="n">
        <f aca="false">INDEX(Arch!$C$16:$E$16,Q$7)</f>
        <v>1</v>
      </c>
    </row>
    <row r="25" customFormat="false" ht="15" hidden="false" customHeight="false" outlineLevel="0" collapsed="false">
      <c r="A25" s="61" t="s">
        <v>938</v>
      </c>
      <c r="B25" s="62" t="s">
        <v>333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335</v>
      </c>
      <c r="B26" s="62" t="s">
        <v>132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337</v>
      </c>
      <c r="B27" s="62" t="s">
        <v>333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917</v>
      </c>
      <c r="B28" s="62" t="s">
        <v>132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7" t="s">
        <v>1284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</row>
    <row r="30" customFormat="false" ht="15" hidden="false" customHeight="false" outlineLevel="0" collapsed="false">
      <c r="A30" s="61" t="s">
        <v>1285</v>
      </c>
      <c r="B30" s="62" t="s">
        <v>132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1174</v>
      </c>
      <c r="B31" s="62" t="s">
        <v>1175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1286</v>
      </c>
      <c r="B32" s="62" t="s">
        <v>333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1287</v>
      </c>
      <c r="B33" s="62" t="s">
        <v>333</v>
      </c>
      <c r="C33" s="69" t="n">
        <f aca="false">C32/2</f>
        <v>2048</v>
      </c>
      <c r="D33" s="69" t="n">
        <f aca="false">D32/2</f>
        <v>2048</v>
      </c>
      <c r="E33" s="69" t="n">
        <f aca="false">E32/2</f>
        <v>4096</v>
      </c>
      <c r="F33" s="69" t="n">
        <f aca="false">F32/2</f>
        <v>2048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2048</v>
      </c>
      <c r="K33" s="69" t="n">
        <f aca="false">K32/2</f>
        <v>4096</v>
      </c>
      <c r="L33" s="69" t="n">
        <f aca="false">L32/2</f>
        <v>2048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2048</v>
      </c>
      <c r="Q33" s="69" t="n">
        <f aca="false">Q32/2</f>
        <v>4096</v>
      </c>
    </row>
    <row r="34" customFormat="false" ht="17.15" hidden="false" customHeight="false" outlineLevel="0" collapsed="false">
      <c r="A34" s="61" t="s">
        <v>1288</v>
      </c>
      <c r="B34" s="62" t="s">
        <v>566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  <c r="R34" s="76" t="s">
        <v>1289</v>
      </c>
    </row>
    <row r="35" customFormat="false" ht="15" hidden="false" customHeight="false" outlineLevel="0" collapsed="false">
      <c r="A35" s="61" t="s">
        <v>1290</v>
      </c>
      <c r="B35" s="62" t="s">
        <v>355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1291</v>
      </c>
      <c r="B36" s="62" t="s">
        <v>1292</v>
      </c>
      <c r="C36" s="72" t="n">
        <f aca="false">C35/(C12*1000000000000000*C16*1*C17)/3600</f>
        <v>2248361.8502723</v>
      </c>
      <c r="D36" s="72" t="n">
        <f aca="false">D35/(D12*1000000000000000*D16*1*D17)/3600</f>
        <v>8075011.96986132</v>
      </c>
      <c r="E36" s="72" t="n">
        <f aca="false">E35/(E12*1000000000000000*E16*1*E17)/3600</f>
        <v>42685156.2742126</v>
      </c>
      <c r="F36" s="72" t="n">
        <f aca="false">F35/(F12*1000000000000000*F16*1*F17)/3600</f>
        <v>889901.620337778</v>
      </c>
      <c r="G36" s="72" t="n">
        <f aca="false">G35/(G12*1000000000000000*G16*1*G17)/3600</f>
        <v>3196089.73767111</v>
      </c>
      <c r="H36" s="72" t="n">
        <f aca="false">H35/(H12*1000000000000000*H16*1*H17)/3600</f>
        <v>16894784.8533333</v>
      </c>
      <c r="I36" s="72" t="n">
        <f aca="false">I35/(I12*1000000000000000*I16*1*I17)/3600</f>
        <v>889901.620337778</v>
      </c>
      <c r="J36" s="72" t="n">
        <f aca="false">J35/(J12*1000000000000000*J16*1*J17)/3600</f>
        <v>3196089.73767111</v>
      </c>
      <c r="K36" s="72" t="n">
        <f aca="false">K35/(K12*1000000000000000*K16*1*K17)/3600</f>
        <v>16894784.8533333</v>
      </c>
      <c r="L36" s="72" t="n">
        <f aca="false">L35/(L12*1000000000000000*L16*1*L17)/3600</f>
        <v>282508.450900882</v>
      </c>
      <c r="M36" s="72" t="n">
        <f aca="false">M35/(M12*1000000000000000*M16*1*M17)/3600</f>
        <v>1014631.66275273</v>
      </c>
      <c r="N36" s="72" t="n">
        <f aca="false">N35/(N12*1000000000000000*N16*1*N17)/3600</f>
        <v>5363423.76296296</v>
      </c>
      <c r="O36" s="72" t="n">
        <f aca="false">O35/(O12*1000000000000000*O16*1*O17)/3600</f>
        <v>141254.225450441</v>
      </c>
      <c r="P36" s="72" t="n">
        <f aca="false">P35/(P12*1000000000000000*P16*1*P17)/3600</f>
        <v>507315.831376367</v>
      </c>
      <c r="Q36" s="72" t="n">
        <f aca="false">Q35/(Q12*1000000000000000*Q16*1*Q17)/3600</f>
        <v>2681711.88148148</v>
      </c>
    </row>
    <row r="37" customFormat="false" ht="15" hidden="false" customHeight="false" outlineLevel="0" collapsed="false">
      <c r="A37" s="77" t="s">
        <v>1293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1" t="s">
        <v>1294</v>
      </c>
      <c r="B38" s="62" t="s">
        <v>1175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1286</v>
      </c>
      <c r="B39" s="62" t="s">
        <v>333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1295</v>
      </c>
      <c r="B40" s="62" t="s">
        <v>333</v>
      </c>
      <c r="C40" s="69" t="n">
        <f aca="false">C24*IF(C25=0,C39/2,MIN(C39/2,C25))+(1-C24)*(C39/2/C26+C27)</f>
        <v>2475.008</v>
      </c>
      <c r="D40" s="69" t="n">
        <f aca="false">D24*IF(D25=0,D39/2,MIN(D39/2,D25))+(1-D24)*(D39/2/D26+D27)</f>
        <v>2403.328</v>
      </c>
      <c r="E40" s="69" t="n">
        <f aca="false">E24*IF(E25=0,E39/2,MIN(E39/2,E25))+(1-E24)*(E39/2/E26+E27)</f>
        <v>65536</v>
      </c>
      <c r="F40" s="69" t="n">
        <f aca="false">F24*IF(F25=0,F39/2,MIN(F39/2,F25))+(1-F24)*(F39/2/F26+F27)</f>
        <v>2475.008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2475.008</v>
      </c>
      <c r="J40" s="69" t="n">
        <f aca="false">J24*IF(J25=0,J39/2,MIN(J39/2,J25))+(1-J24)*(J39/2/J26+J27)</f>
        <v>2403.328</v>
      </c>
      <c r="K40" s="69" t="n">
        <f aca="false">K24*IF(K25=0,K39/2,MIN(K39/2,K25))+(1-K24)*(K39/2/K26+K27)</f>
        <v>65536</v>
      </c>
      <c r="L40" s="69" t="n">
        <f aca="false">L24*IF(L25=0,L39/2,MIN(L39/2,L25))+(1-L24)*(L39/2/L26+L27)</f>
        <v>2475.008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2475.008</v>
      </c>
      <c r="P40" s="69" t="n">
        <f aca="false">P24*IF(P25=0,P39/2,MIN(P39/2,P25))+(1-P24)*(P39/2/P26+P27)</f>
        <v>2403.328</v>
      </c>
      <c r="Q40" s="69" t="n">
        <f aca="false">Q24*IF(Q25=0,Q39/2,MIN(Q39/2,Q25))+(1-Q24)*(Q39/2/Q26+Q27)</f>
        <v>65536</v>
      </c>
    </row>
    <row r="41" customFormat="false" ht="17.15" hidden="false" customHeight="false" outlineLevel="0" collapsed="false">
      <c r="A41" s="61" t="s">
        <v>1288</v>
      </c>
      <c r="B41" s="62" t="s">
        <v>566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  <c r="R41" s="76" t="s">
        <v>1296</v>
      </c>
    </row>
    <row r="42" customFormat="false" ht="15" hidden="false" customHeight="false" outlineLevel="0" collapsed="false">
      <c r="A42" s="61" t="s">
        <v>1297</v>
      </c>
      <c r="B42" s="62" t="s">
        <v>355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1298</v>
      </c>
      <c r="B43" s="62" t="s">
        <v>1292</v>
      </c>
      <c r="C43" s="69" t="n">
        <f aca="false">C42/(C12*1000000000000000*C16*1*C17)/3600</f>
        <v>74765.3747473809</v>
      </c>
      <c r="D43" s="69" t="n">
        <f aca="false">D42/(D12*1000000000000000*D16*1*D17)/3600</f>
        <v>255331.160386188</v>
      </c>
      <c r="E43" s="69" t="n">
        <f aca="false">E42/(E12*1000000000000000*E16*1*E17)/3600</f>
        <v>2553188.28139914</v>
      </c>
      <c r="F43" s="69" t="n">
        <f aca="false">F42/(F12*1000000000000000*F16*1*F17)/3600</f>
        <v>29592.1353250133</v>
      </c>
      <c r="G43" s="69" t="n">
        <f aca="false">G42/(G12*1000000000000000*G16*1*G17)/3600</f>
        <v>101060.073280853</v>
      </c>
      <c r="H43" s="69" t="n">
        <f aca="false">H42/(H12*1000000000000000*H16*1*H17)/3600</f>
        <v>1010551.92177778</v>
      </c>
      <c r="I43" s="69" t="n">
        <f aca="false">I42/(I12*1000000000000000*I16*1*I17)/3600</f>
        <v>29592.1353250133</v>
      </c>
      <c r="J43" s="69" t="n">
        <f aca="false">J42/(J12*1000000000000000*J16*1*J17)/3600</f>
        <v>101060.073280853</v>
      </c>
      <c r="K43" s="69" t="n">
        <f aca="false">K42/(K12*1000000000000000*K16*1*K17)/3600</f>
        <v>1010551.92177778</v>
      </c>
      <c r="L43" s="69" t="n">
        <f aca="false">L42/(L12*1000000000000000*L16*1*L17)/3600</f>
        <v>9394.32867460741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4697.16433730371</v>
      </c>
      <c r="P43" s="69" t="n">
        <f aca="false">P42/(P12*1000000000000000*P16*1*P17)/3600</f>
        <v>16041.2814731513</v>
      </c>
      <c r="Q43" s="69" t="n">
        <f aca="false">Q42/(Q12*1000000000000000*Q16*1*Q17)/3600</f>
        <v>160405.066948854</v>
      </c>
    </row>
    <row r="44" customFormat="false" ht="15" hidden="false" customHeight="false" outlineLevel="0" collapsed="false">
      <c r="A44" s="77" t="s">
        <v>1299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</row>
    <row r="45" customFormat="false" ht="15" hidden="false" customHeight="false" outlineLevel="0" collapsed="false">
      <c r="A45" s="62" t="s">
        <v>1182</v>
      </c>
      <c r="B45" s="62" t="s">
        <v>1175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1286</v>
      </c>
      <c r="B46" s="62" t="s">
        <v>333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1295</v>
      </c>
      <c r="B47" s="62" t="s">
        <v>333</v>
      </c>
      <c r="C47" s="69" t="n">
        <f aca="false">C24*IF(C25=0,C46/2,MIN(C46/2,C25))+(1-C24)*(C46/2/C26+C27)</f>
        <v>2256.384</v>
      </c>
      <c r="D47" s="69" t="n">
        <f aca="false">D24*IF(D25=0,D46/2,MIN(D46/2,D25))+(1-D24)*(D46/2/D26+D27)</f>
        <v>2175.744</v>
      </c>
      <c r="E47" s="69" t="n">
        <f aca="false">E24*IF(E25=0,E46/2,MIN(E46/2,E25))+(1-E24)*(E46/2/E26+E27)</f>
        <v>8192</v>
      </c>
      <c r="F47" s="69" t="n">
        <f aca="false">F24*IF(F25=0,F46/2,MIN(F46/2,F25))+(1-F24)*(F46/2/F26+F27)</f>
        <v>2256.384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2256.384</v>
      </c>
      <c r="J47" s="69" t="n">
        <f aca="false">J24*IF(J25=0,J46/2,MIN(J46/2,J25))+(1-J24)*(J46/2/J26+J27)</f>
        <v>2175.744</v>
      </c>
      <c r="K47" s="69" t="n">
        <f aca="false">K24*IF(K25=0,K46/2,MIN(K46/2,K25))+(1-K24)*(K46/2/K26+K27)</f>
        <v>8192</v>
      </c>
      <c r="L47" s="69" t="n">
        <f aca="false">L24*IF(L25=0,L46/2,MIN(L46/2,L25))+(1-L24)*(L46/2/L26+L27)</f>
        <v>2256.384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2256.384</v>
      </c>
      <c r="P47" s="69" t="n">
        <f aca="false">P24*IF(P25=0,P46/2,MIN(P46/2,P25))+(1-P24)*(P46/2/P26+P27)</f>
        <v>2175.744</v>
      </c>
      <c r="Q47" s="69" t="n">
        <f aca="false">Q24*IF(Q25=0,Q46/2,MIN(Q46/2,Q25))+(1-Q24)*(Q46/2/Q26+Q27)</f>
        <v>8192</v>
      </c>
    </row>
    <row r="48" customFormat="false" ht="17.15" hidden="false" customHeight="false" outlineLevel="0" collapsed="false">
      <c r="A48" s="61" t="s">
        <v>1288</v>
      </c>
      <c r="B48" s="62" t="s">
        <v>566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  <c r="R48" s="76" t="s">
        <v>1296</v>
      </c>
    </row>
    <row r="49" customFormat="false" ht="15" hidden="false" customHeight="false" outlineLevel="0" collapsed="false">
      <c r="A49" s="62" t="s">
        <v>1300</v>
      </c>
      <c r="B49" s="62" t="s">
        <v>355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1301</v>
      </c>
      <c r="B50" s="62" t="s">
        <v>132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1302</v>
      </c>
      <c r="B51" s="62" t="s">
        <v>1292</v>
      </c>
      <c r="C51" s="69" t="n">
        <f aca="false">C49/(C12*1000000000000000*C16*C50*C17)/3600</f>
        <v>4528.70848034735</v>
      </c>
      <c r="D51" s="69" t="n">
        <f aca="false">D49/(D12*1000000000000000*D16*D50*D17)/3600</f>
        <v>15532.5188019688</v>
      </c>
      <c r="E51" s="69" t="n">
        <f aca="false">E49/(E12*1000000000000000*E16*E50*E17)/3600</f>
        <v>93637.1994834653</v>
      </c>
      <c r="F51" s="69" t="n">
        <f aca="false">F49/(F12*1000000000000000*F16*F50*F17)/3600</f>
        <v>1792.46281652148</v>
      </c>
      <c r="G51" s="69" t="n">
        <f aca="false">G49/(G12*1000000000000000*G16*G50*G17)/3600</f>
        <v>6147.77094181926</v>
      </c>
      <c r="H51" s="69" t="n">
        <f aca="false">H49/(H12*1000000000000000*H16*H50*H17)/3600</f>
        <v>37061.6035555556</v>
      </c>
      <c r="I51" s="69" t="n">
        <f aca="false">I49/(I12*1000000000000000*I16*I50*I17)/3600</f>
        <v>1792.46281652148</v>
      </c>
      <c r="J51" s="69" t="n">
        <f aca="false">J49/(J12*1000000000000000*J16*J50*J17)/3600</f>
        <v>6147.77094181926</v>
      </c>
      <c r="K51" s="69" t="n">
        <f aca="false">K49/(K12*1000000000000000*K16*K50*K17)/3600</f>
        <v>37061.6035555556</v>
      </c>
      <c r="L51" s="69" t="n">
        <f aca="false">L49/(L12*1000000000000000*L16*L50*L17)/3600</f>
        <v>569.035814768724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284.517907384362</v>
      </c>
      <c r="P51" s="69" t="n">
        <f aca="false">P49/(P12*1000000000000000*P16*P50*P17)/3600</f>
        <v>975.836657431629</v>
      </c>
      <c r="Q51" s="69" t="n">
        <f aca="false">Q49/(Q12*1000000000000000*Q16*Q50*Q17)/3600</f>
        <v>5882.79421516755</v>
      </c>
    </row>
    <row r="52" customFormat="false" ht="15" hidden="false" customHeight="false" outlineLevel="0" collapsed="false">
      <c r="A52" s="77" t="s">
        <v>1303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</row>
    <row r="53" customFormat="false" ht="15" hidden="false" customHeight="false" outlineLevel="0" collapsed="false">
      <c r="A53" s="62" t="s">
        <v>1304</v>
      </c>
      <c r="B53" s="62" t="s">
        <v>1175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1305</v>
      </c>
      <c r="B54" s="62" t="s">
        <v>333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1306</v>
      </c>
      <c r="B55" s="62" t="s">
        <v>333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1307</v>
      </c>
      <c r="B56" s="61" t="s">
        <v>370</v>
      </c>
      <c r="C56" s="69" t="n">
        <f aca="false">C53*1000000000000/C55</f>
        <v>288085937.5</v>
      </c>
      <c r="D56" s="69" t="n">
        <f aca="false">D53*1000000000000/D55</f>
        <v>144042968.75</v>
      </c>
      <c r="E56" s="69" t="n">
        <f aca="false">E53*1000000000000/E55</f>
        <v>292968750</v>
      </c>
      <c r="F56" s="69" t="n">
        <f aca="false">F53*1000000000000/F55</f>
        <v>288085937.5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288085937.5</v>
      </c>
      <c r="J56" s="69" t="n">
        <f aca="false">J53*1000000000000/J55</f>
        <v>144042968.75</v>
      </c>
      <c r="K56" s="69" t="n">
        <f aca="false">K53*1000000000000/K55</f>
        <v>292968750</v>
      </c>
      <c r="L56" s="69" t="n">
        <f aca="false">L53*1000000000000/L55</f>
        <v>288085937.5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288085937.5</v>
      </c>
      <c r="P56" s="69" t="n">
        <f aca="false">P53*1000000000000/P55</f>
        <v>144042968.75</v>
      </c>
      <c r="Q56" s="69" t="n">
        <f aca="false">Q53*1000000000000/Q55</f>
        <v>292968750</v>
      </c>
    </row>
    <row r="57" customFormat="false" ht="15" hidden="false" customHeight="false" outlineLevel="0" collapsed="false">
      <c r="A57" s="62" t="s">
        <v>1308</v>
      </c>
      <c r="B57" s="61" t="s">
        <v>370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</row>
    <row r="58" customFormat="false" ht="15" hidden="false" customHeight="false" outlineLevel="0" collapsed="false">
      <c r="A58" s="61" t="s">
        <v>1309</v>
      </c>
      <c r="B58" s="62" t="s">
        <v>1175</v>
      </c>
      <c r="C58" s="73" t="n">
        <f aca="false">C56*C54/C57/1000000000000</f>
        <v>0.07375</v>
      </c>
      <c r="D58" s="73" t="n">
        <f aca="false">D56*D54/D57/1000000000000</f>
        <v>0.07375</v>
      </c>
      <c r="E58" s="73" t="n">
        <f aca="false">E56*E54/E57/1000000000000</f>
        <v>0.3</v>
      </c>
      <c r="F58" s="73" t="n">
        <f aca="false">F56*F54/F57/1000000000000</f>
        <v>0.07375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0.07375</v>
      </c>
      <c r="K58" s="73" t="n">
        <f aca="false">K56*K54/K57/1000000000000</f>
        <v>0.3</v>
      </c>
      <c r="L58" s="73" t="n">
        <f aca="false">L56*L54/L57/1000000000000</f>
        <v>0.07375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0.07375</v>
      </c>
      <c r="P58" s="73" t="n">
        <f aca="false">P56*P54/P57/1000000000000</f>
        <v>0.07375</v>
      </c>
      <c r="Q58" s="73" t="n">
        <f aca="false">Q56*Q54/Q57/1000000000000</f>
        <v>0.3</v>
      </c>
    </row>
    <row r="59" customFormat="false" ht="15" hidden="false" customHeight="false" outlineLevel="0" collapsed="false">
      <c r="A59" s="62" t="s">
        <v>1310</v>
      </c>
      <c r="B59" s="62" t="s">
        <v>998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77.8033667372729</v>
      </c>
      <c r="G59" s="98" t="n">
        <f aca="false">INDEX(Perf_Batch!$C$103:$Q$103,3*(G$6-1)+G$7)</f>
        <v>286.392806331238</v>
      </c>
      <c r="H59" s="98" t="n">
        <f aca="false">INDEX(Perf_Batch!$C$103:$Q$103,3*(H$6-1)+H$7)</f>
        <v>1249.87733157532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1311</v>
      </c>
      <c r="B60" s="62" t="s">
        <v>998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1312</v>
      </c>
      <c r="B61" s="62" t="s">
        <v>566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1313</v>
      </c>
      <c r="B62" s="62" t="s">
        <v>566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1314</v>
      </c>
      <c r="B63" s="62" t="s">
        <v>132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1315</v>
      </c>
      <c r="B64" s="62" t="s">
        <v>127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</row>
    <row r="65" customFormat="false" ht="15" hidden="false" customHeight="false" outlineLevel="0" collapsed="false">
      <c r="A65" s="62" t="s">
        <v>1316</v>
      </c>
      <c r="B65" s="62" t="s">
        <v>1292</v>
      </c>
      <c r="C65" s="69" t="n">
        <f aca="false">IF(AND(ISNUMBER(C59)),(C53*1000000*C59+C58*1000000*C60)/3600/C64,"SLO 不可達")</f>
        <v>627179.042802979</v>
      </c>
      <c r="D65" s="69" t="n">
        <f aca="false">IF(AND(ISNUMBER(D59)),(D53*1000000*D59+D58*1000000*D60)/3600/D64,"SLO 不可達")</f>
        <v>2413627.93869041</v>
      </c>
      <c r="E65" s="69" t="n">
        <f aca="false">IF(AND(ISNUMBER(E59)),(E53*1000000*E59+E58*1000000*E60)/3600/E64,"SLO 不可達")</f>
        <v>43134849.0717908</v>
      </c>
      <c r="F65" s="69" t="n">
        <f aca="false">IF(AND(ISNUMBER(F59)),(F53*1000000*F59+F58*1000000*F60)/3600/F64,"SLO 不可達")</f>
        <v>60264.7493667512</v>
      </c>
      <c r="G65" s="69" t="n">
        <f aca="false">IF(AND(ISNUMBER(G59)),(G53*1000000*G59+G58*1000000*G60)/3600/G64,"SLO 不可達")</f>
        <v>221934.752508485</v>
      </c>
      <c r="H65" s="69" t="n">
        <f aca="false">IF(AND(ISNUMBER(H59)),(H53*1000000*H59+H58*1000000*H60)/3600/H64,"SLO 不可達")</f>
        <v>3934264.35129513</v>
      </c>
      <c r="I65" s="69" t="n">
        <f aca="false">IF(AND(ISNUMBER(I59)),(I53*1000000*I59+I58*1000000*I60)/3600/I64,"SLO 不可達")</f>
        <v>94581.224170416</v>
      </c>
      <c r="J65" s="69" t="n">
        <f aca="false">IF(AND(ISNUMBER(J59)),(J53*1000000*J59+J58*1000000*J60)/3600/J64,"SLO 不可達")</f>
        <v>348219.323284685</v>
      </c>
      <c r="K65" s="69" t="n">
        <f aca="false">IF(AND(ISNUMBER(K59)),(K53*1000000*K59+K58*1000000*K60)/3600/K64,"SLO 不可達")</f>
        <v>6409818.82271434</v>
      </c>
      <c r="L65" s="69" t="n">
        <f aca="false">IF(AND(ISNUMBER(L59)),(L53*1000000*L59+L58*1000000*L60)/3600/L64,"SLO 不可達")</f>
        <v>53649.2093802251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20090.0787914024</v>
      </c>
      <c r="P65" s="69" t="n">
        <f aca="false">IF(AND(ISNUMBER(P59)),(P53*1000000*P59+P58*1000000*P60)/3600/P64,"SLO 不可達")</f>
        <v>71428.1057448491</v>
      </c>
      <c r="Q65" s="69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1317</v>
      </c>
      <c r="B66" s="62" t="s">
        <v>355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1318</v>
      </c>
      <c r="B67" s="62" t="s">
        <v>1175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1319</v>
      </c>
      <c r="B68" s="62" t="s">
        <v>333</v>
      </c>
      <c r="C68" s="69" t="n">
        <f aca="false">C24*IF(C25=0,(C54+C55)/2,MIN((C54+C55)/2,C25))+(1-C24)*((C54+C55)/2/C26+C27)</f>
        <v>2248.576</v>
      </c>
      <c r="D68" s="69" t="n">
        <f aca="false">D24*IF(D25=0,(D54+D55)/2,MIN((D54+D55)/2,D25))+(1-D24)*((D54+D55)/2/D26+D27)</f>
        <v>2192</v>
      </c>
      <c r="E68" s="69" t="n">
        <f aca="false">E24*IF(E25=0,(E54+E55)/2,MIN((E54+E55)/2,E25))+(1-E24)*((E54+E55)/2/E26+E27)</f>
        <v>24576</v>
      </c>
      <c r="F68" s="69" t="n">
        <f aca="false">F24*IF(F25=0,(F54+F55)/2,MIN((F54+F55)/2,F25))+(1-F24)*((F54+F55)/2/F26+F27)</f>
        <v>2248.576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2248.576</v>
      </c>
      <c r="J68" s="69" t="n">
        <f aca="false">J24*IF(J25=0,(J54+J55)/2,MIN((J54+J55)/2,J25))+(1-J24)*((J54+J55)/2/J26+J27)</f>
        <v>2192</v>
      </c>
      <c r="K68" s="69" t="n">
        <f aca="false">K24*IF(K25=0,(K54+K55)/2,MIN((K54+K55)/2,K25))+(1-K24)*((K54+K55)/2/K26+K27)</f>
        <v>24576</v>
      </c>
      <c r="L68" s="69" t="n">
        <f aca="false">L24*IF(L25=0,(L54+L55)/2,MIN((L54+L55)/2,L25))+(1-L24)*((L54+L55)/2/L26+L27)</f>
        <v>2248.576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2248.576</v>
      </c>
      <c r="P68" s="69" t="n">
        <f aca="false">P24*IF(P25=0,(P54+P55)/2,MIN((P54+P55)/2,P25))+(1-P24)*((P54+P55)/2/P26+P27)</f>
        <v>2192</v>
      </c>
      <c r="Q68" s="69" t="n">
        <f aca="false">Q24*IF(Q25=0,(Q54+Q55)/2,MIN((Q54+Q55)/2,Q25))+(1-Q24)*((Q54+Q55)/2/Q26+Q27)</f>
        <v>24576</v>
      </c>
    </row>
    <row r="69" customFormat="false" ht="17.15" hidden="false" customHeight="false" outlineLevel="0" collapsed="false">
      <c r="A69" s="62" t="s">
        <v>1320</v>
      </c>
      <c r="B69" s="62" t="s">
        <v>566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  <c r="R69" s="76" t="s">
        <v>1296</v>
      </c>
    </row>
    <row r="70" customFormat="false" ht="15" hidden="false" customHeight="false" outlineLevel="0" collapsed="false">
      <c r="A70" s="62" t="s">
        <v>1321</v>
      </c>
      <c r="B70" s="62" t="s">
        <v>355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1322</v>
      </c>
      <c r="B71" s="62" t="s">
        <v>132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1323</v>
      </c>
      <c r="B72" s="62" t="s">
        <v>1292</v>
      </c>
      <c r="C72" s="69" t="n">
        <f aca="false">C70/(C12*1000000000000000*C16*C71*C17)/3600</f>
        <v>427024.165171049</v>
      </c>
      <c r="D72" s="69" t="n">
        <f aca="false">D70/(D12*1000000000000000*D16*D71*D17)/3600</f>
        <v>1469140.06571819</v>
      </c>
      <c r="E72" s="69" t="n">
        <f aca="false">E70/(E12*1000000000000000*E16*E71*E17)/3600</f>
        <v>21595461.4653866</v>
      </c>
      <c r="F72" s="69" t="n">
        <f aca="false">F70/(F12*1000000000000000*F16*F71*F17)/3600</f>
        <v>169016.164574701</v>
      </c>
      <c r="G72" s="69" t="n">
        <f aca="false">G70/(G12*1000000000000000*G16*G71*G17)/3600</f>
        <v>581485.638011259</v>
      </c>
      <c r="H72" s="69" t="n">
        <f aca="false">H70/(H12*1000000000000000*H16*H71*H17)/3600</f>
        <v>8547483.648</v>
      </c>
      <c r="I72" s="69" t="n">
        <f aca="false">I70/(I12*1000000000000000*I16*I71*I17)/3600</f>
        <v>169016.164574701</v>
      </c>
      <c r="J72" s="69" t="n">
        <f aca="false">J70/(J12*1000000000000000*J16*J71*J17)/3600</f>
        <v>581485.638011259</v>
      </c>
      <c r="K72" s="69" t="n">
        <f aca="false">K70/(K12*1000000000000000*K16*K71*K17)/3600</f>
        <v>8547483.648</v>
      </c>
      <c r="L72" s="69" t="n">
        <f aca="false">L70/(L12*1000000000000000*L16*L71*L17)/3600</f>
        <v>53655.9252618099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26827.9626309049</v>
      </c>
      <c r="P72" s="69" t="n">
        <f aca="false">P70/(P12*1000000000000000*P16*P71*P17)/3600</f>
        <v>92299.3076208348</v>
      </c>
      <c r="Q72" s="69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1324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</row>
    <row r="74" customFormat="false" ht="17.15" hidden="false" customHeight="false" outlineLevel="0" collapsed="false">
      <c r="A74" s="61" t="s">
        <v>1325</v>
      </c>
      <c r="B74" s="62" t="s">
        <v>1292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76" t="s">
        <v>1326</v>
      </c>
    </row>
    <row r="75" customFormat="false" ht="15" hidden="false" customHeight="false" outlineLevel="0" collapsed="false">
      <c r="A75" s="62" t="s">
        <v>1327</v>
      </c>
      <c r="B75" s="62" t="s">
        <v>1292</v>
      </c>
      <c r="C75" s="72" t="n">
        <f aca="false">IF(AND(ISNUMBER(C65)),C65+C72+C74,"SLO 不可達")</f>
        <v>1054203.20797403</v>
      </c>
      <c r="D75" s="72" t="n">
        <f aca="false">IF(AND(ISNUMBER(D65)),D65+D72+D74,"SLO 不可達")</f>
        <v>3882768.0044086</v>
      </c>
      <c r="E75" s="72" t="n">
        <f aca="false">IF(AND(ISNUMBER(E65)),E65+E72+E74,"SLO 不可達")</f>
        <v>64730310.5371774</v>
      </c>
      <c r="F75" s="72" t="n">
        <f aca="false">IF(AND(ISNUMBER(F65)),F65+F72+F74,"SLO 不可達")</f>
        <v>229280.913941452</v>
      </c>
      <c r="G75" s="72" t="n">
        <f aca="false">IF(AND(ISNUMBER(G65)),G65+G72+G74,"SLO 不可達")</f>
        <v>803420.390519744</v>
      </c>
      <c r="H75" s="72" t="n">
        <f aca="false">IF(AND(ISNUMBER(H65)),H65+H72+H74,"SLO 不可達")</f>
        <v>12481747.9992951</v>
      </c>
      <c r="I75" s="72" t="n">
        <f aca="false">IF(AND(ISNUMBER(I65)),I65+I72+I74,"SLO 不可達")</f>
        <v>263597.388745117</v>
      </c>
      <c r="J75" s="72" t="n">
        <f aca="false">IF(AND(ISNUMBER(J65)),J65+J72+J74,"SLO 不可達")</f>
        <v>929704.961295945</v>
      </c>
      <c r="K75" s="72" t="n">
        <f aca="false">IF(AND(ISNUMBER(K65)),K65+K72+K74,"SLO 不可達")</f>
        <v>14957302.4707143</v>
      </c>
      <c r="L75" s="72" t="n">
        <f aca="false">IF(AND(ISNUMBER(L65)),L65+L72+L74,"SLO 不可達")</f>
        <v>107305.134642035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46918.0414223073</v>
      </c>
      <c r="P75" s="72" t="n">
        <f aca="false">IF(AND(ISNUMBER(P65)),P65+P72+P74,"SLO 不可達")</f>
        <v>163727.413365684</v>
      </c>
      <c r="Q75" s="72" t="n">
        <f aca="false">IF(AND(ISNUMBER(Q65)),Q65+Q72+Q74,"SLO 不可達")</f>
        <v>2574548.53645185</v>
      </c>
    </row>
    <row r="76" customFormat="false" ht="17.15" hidden="false" customHeight="false" outlineLevel="0" collapsed="false">
      <c r="A76" s="62" t="s">
        <v>1328</v>
      </c>
      <c r="B76" s="62" t="s">
        <v>355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  <c r="R76" s="76" t="s">
        <v>1326</v>
      </c>
    </row>
    <row r="77" customFormat="false" ht="15" hidden="false" customHeight="false" outlineLevel="0" collapsed="false">
      <c r="A77" s="62" t="s">
        <v>1329</v>
      </c>
      <c r="B77" s="62" t="s">
        <v>127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0.12223346909218</v>
      </c>
      <c r="G77" s="101" t="n">
        <f aca="false">IF(AND(ISNUMBER(G75)),G76/(G75*3600*G12*1000000000000000),"SLO 不可達")</f>
        <v>0.120133991950214</v>
      </c>
      <c r="H77" s="101" t="n">
        <f aca="false">IF(AND(ISNUMBER(H75)),H76/(H75*3600*H12*1000000000000000),"SLO 不可達")</f>
        <v>0.11524673684497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1330</v>
      </c>
      <c r="B78" s="62" t="s">
        <v>132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0.257647484510057</v>
      </c>
      <c r="G78" s="104" t="n">
        <f aca="false">IF(AND(ISNUMBER(G75)),G75/G36,"SLO 不可達")</f>
        <v>0.251376042746901</v>
      </c>
      <c r="H78" s="104" t="n">
        <f aca="false">IF(AND(ISNUMBER(H75)),H75/H36,"SLO 不可達")</f>
        <v>0.738792953426245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1331</v>
      </c>
      <c r="B79" s="62" t="s">
        <v>132</v>
      </c>
      <c r="C79" s="78" t="n">
        <f aca="false">C76/C35</f>
        <v>0.139969537042391</v>
      </c>
      <c r="D79" s="78" t="n">
        <f aca="false">D76/D35</f>
        <v>0.134216922203702</v>
      </c>
      <c r="E79" s="78" t="n">
        <f aca="false">E76/E35</f>
        <v>0.37841545371748</v>
      </c>
      <c r="F79" s="78" t="n">
        <f aca="false">F76/F35</f>
        <v>0.139969537042391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0.139969537042391</v>
      </c>
      <c r="J79" s="78" t="n">
        <f aca="false">J76/J35</f>
        <v>0.134216922203702</v>
      </c>
      <c r="K79" s="78" t="n">
        <f aca="false">K76/K35</f>
        <v>0.37841545371748</v>
      </c>
      <c r="L79" s="78" t="n">
        <f aca="false">L76/L35</f>
        <v>0.139969537042391</v>
      </c>
      <c r="M79" s="78" t="n">
        <f aca="false">M76/M35</f>
        <v>0.134216922203702</v>
      </c>
      <c r="N79" s="78" t="n">
        <f aca="false">N76/N35</f>
        <v>0.37841545371748</v>
      </c>
      <c r="O79" s="78" t="n">
        <f aca="false">O76/O35</f>
        <v>0.139969537042391</v>
      </c>
      <c r="P79" s="78" t="n">
        <f aca="false">P76/P35</f>
        <v>0.134216922203702</v>
      </c>
      <c r="Q79" s="78" t="n">
        <f aca="false">Q76/Q35</f>
        <v>0.37841545371748</v>
      </c>
      <c r="R79" s="65" t="s">
        <v>1332</v>
      </c>
    </row>
    <row r="80" customFormat="false" ht="15" hidden="false" customHeight="false" outlineLevel="0" collapsed="false">
      <c r="A80" s="77" t="s">
        <v>1333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</row>
    <row r="81" customFormat="false" ht="15" hidden="false" customHeight="false" outlineLevel="0" collapsed="false">
      <c r="A81" s="61" t="s">
        <v>1334</v>
      </c>
      <c r="B81" s="62" t="s">
        <v>1175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1335</v>
      </c>
      <c r="B82" s="61"/>
      <c r="C82" s="90" t="n">
        <f aca="false">INDEX(Train_In!$C$36:$E$36,C$7)</f>
        <v>1</v>
      </c>
      <c r="D82" s="90" t="n">
        <f aca="false">INDEX(Train_In!$C$36:$E$36,D$7)</f>
        <v>2</v>
      </c>
      <c r="E82" s="90" t="n">
        <f aca="false">INDEX(Train_In!$C$36:$E$36,E$7)</f>
        <v>3</v>
      </c>
      <c r="F82" s="90" t="n">
        <f aca="false">INDEX(Train_In!$C$36:$E$36,F$7)</f>
        <v>1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1</v>
      </c>
      <c r="J82" s="90" t="n">
        <f aca="false">INDEX(Train_In!$C$36:$E$36,J$7)</f>
        <v>2</v>
      </c>
      <c r="K82" s="90" t="n">
        <f aca="false">INDEX(Train_In!$C$36:$E$36,K$7)</f>
        <v>3</v>
      </c>
      <c r="L82" s="90" t="n">
        <f aca="false">INDEX(Train_In!$C$36:$E$36,L$7)</f>
        <v>1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1</v>
      </c>
      <c r="P82" s="90" t="n">
        <f aca="false">INDEX(Train_In!$C$36:$E$36,P$7)</f>
        <v>2</v>
      </c>
      <c r="Q82" s="90" t="n">
        <f aca="false">INDEX(Train_In!$C$36:$E$36,Q$7)</f>
        <v>3</v>
      </c>
    </row>
    <row r="83" customFormat="false" ht="15" hidden="false" customHeight="false" outlineLevel="0" collapsed="false">
      <c r="A83" s="61" t="s">
        <v>1336</v>
      </c>
      <c r="B83" s="62" t="s">
        <v>1175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1337</v>
      </c>
      <c r="B84" s="62" t="s">
        <v>998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1338</v>
      </c>
      <c r="B85" s="62" t="s">
        <v>566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1339</v>
      </c>
      <c r="B86" s="62" t="s">
        <v>1292</v>
      </c>
      <c r="C86" s="69" t="n">
        <f aca="false">IF(AND(ISNUMBER(C59)),C81*1000000*C59/3600/C64,"SLO 不可達")</f>
        <v>52928.3721908486</v>
      </c>
      <c r="D86" s="69" t="n">
        <f aca="false">IF(AND(ISNUMBER(D59)),D81*1000000*D59/3600/D64,"SLO 不可達")</f>
        <v>203639.32297686</v>
      </c>
      <c r="E86" s="69" t="n">
        <f aca="false">IF(AND(ISNUMBER(E59)),E81*1000000*E59/3600/E64,"SLO 不可達")</f>
        <v>895887.261383411</v>
      </c>
      <c r="F86" s="69" t="n">
        <f aca="false">IF(AND(ISNUMBER(F59)),F81*1000000*F59/3600/F64,"SLO 不可達")</f>
        <v>5085.18736844921</v>
      </c>
      <c r="G86" s="69" t="n">
        <f aca="false">IF(AND(ISNUMBER(G59)),G81*1000000*G59/3600/G64,"SLO 不可達")</f>
        <v>18718.4840739371</v>
      </c>
      <c r="H86" s="69" t="n">
        <f aca="false">IF(AND(ISNUMBER(H59)),H81*1000000*H59/3600/H64,"SLO 不可達")</f>
        <v>81691.3288611321</v>
      </c>
      <c r="I86" s="69" t="n">
        <f aca="false">IF(AND(ISNUMBER(I59)),I81*1000000*I59/3600/I64,"SLO 不可達")</f>
        <v>8000.69479302675</v>
      </c>
      <c r="J86" s="69" t="n">
        <f aca="false">IF(AND(ISNUMBER(J59)),J81*1000000*J59/3600/J64,"SLO 不可達")</f>
        <v>29450.4149429944</v>
      </c>
      <c r="K86" s="69" t="n">
        <f aca="false">IF(AND(ISNUMBER(K59)),K81*1000000*K59/3600/K64,"SLO 不可達")</f>
        <v>133356.217612649</v>
      </c>
      <c r="L86" s="69" t="n">
        <f aca="false">IF(AND(ISNUMBER(L59)),L81*1000000*L59/3600/L64,"SLO 不可達")</f>
        <v>4540.25894459413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1699.40693850807</v>
      </c>
      <c r="P86" s="69" t="n">
        <f aca="false">IF(AND(ISNUMBER(P59)),P81*1000000*P59/3600/P64,"SLO 不可達")</f>
        <v>6040.43704331619</v>
      </c>
      <c r="Q86" s="69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1340</v>
      </c>
      <c r="B87" s="62" t="s">
        <v>1292</v>
      </c>
      <c r="C87" s="69" t="n">
        <f aca="false">C83*1000000*C84/3600</f>
        <v>9073.68125418717</v>
      </c>
      <c r="D87" s="69" t="n">
        <f aca="false">D83*1000000*D84/3600</f>
        <v>36941.037677061</v>
      </c>
      <c r="E87" s="69" t="n">
        <f aca="false">E83*1000000*E84/3600</f>
        <v>112421.446579036</v>
      </c>
      <c r="F87" s="69" t="n">
        <f aca="false">F83*1000000*F84/3600</f>
        <v>897.387076039111</v>
      </c>
      <c r="G87" s="69" t="n">
        <f aca="false">G83*1000000*G84/3600</f>
        <v>3653.46862626133</v>
      </c>
      <c r="H87" s="69" t="n">
        <f aca="false">H83*1000000*H84/3600</f>
        <v>11118.4810666667</v>
      </c>
      <c r="I87" s="69" t="n">
        <f aca="false">I83*1000000*I84/3600</f>
        <v>598.258050692741</v>
      </c>
      <c r="J87" s="69" t="n">
        <f aca="false">J83*1000000*J84/3600</f>
        <v>2435.64575084089</v>
      </c>
      <c r="K87" s="69" t="n">
        <f aca="false">K83*1000000*K84/3600</f>
        <v>7412.32071111111</v>
      </c>
      <c r="L87" s="69" t="n">
        <f aca="false">L83*1000000*L84/3600</f>
        <v>256.396307439746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128.198153719873</v>
      </c>
      <c r="P87" s="69" t="n">
        <f aca="false">P83*1000000*P84/3600</f>
        <v>521.924089465905</v>
      </c>
      <c r="Q87" s="69" t="n">
        <f aca="false">Q83*1000000*Q84/3600</f>
        <v>1588.35443809524</v>
      </c>
    </row>
    <row r="88" customFormat="false" ht="15" hidden="false" customHeight="false" outlineLevel="0" collapsed="false">
      <c r="A88" s="61" t="s">
        <v>1341</v>
      </c>
      <c r="B88" s="62" t="s">
        <v>355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1342</v>
      </c>
      <c r="B89" s="62" t="s">
        <v>1292</v>
      </c>
      <c r="C89" s="69" t="n">
        <f aca="false">C88/(C12*1000000000000000*C16*C71*C17)/3600</f>
        <v>36188.4885738177</v>
      </c>
      <c r="D89" s="69" t="n">
        <f aca="false">D88/(D12*1000000000000000*D16*D71*D17)/3600</f>
        <v>124503.395399847</v>
      </c>
      <c r="E89" s="69" t="n">
        <f aca="false">E88/(E12*1000000000000000*E16*E71*E17)/3600</f>
        <v>449905.447195553</v>
      </c>
      <c r="F89" s="69" t="n">
        <f aca="false">F88/(F12*1000000000000000*F16*F71*F17)/3600</f>
        <v>14323.403777517</v>
      </c>
      <c r="G89" s="69" t="n">
        <f aca="false">G88/(G12*1000000000000000*G16*G71*G17)/3600</f>
        <v>49278.4438992593</v>
      </c>
      <c r="H89" s="69" t="n">
        <f aca="false">H88/(H12*1000000000000000*H16*H71*H17)/3600</f>
        <v>178072.576</v>
      </c>
      <c r="I89" s="69" t="n">
        <f aca="false">I88/(I12*1000000000000000*I16*I71*I17)/3600</f>
        <v>14323.403777517</v>
      </c>
      <c r="J89" s="69" t="n">
        <f aca="false">J88/(J12*1000000000000000*J16*J71*J17)/3600</f>
        <v>49278.4438992593</v>
      </c>
      <c r="K89" s="69" t="n">
        <f aca="false">K88/(K12*1000000000000000*K16*K71*K17)/3600</f>
        <v>178072.576</v>
      </c>
      <c r="L89" s="69" t="n">
        <f aca="false">L88/(L12*1000000000000000*L16*L71*L17)/3600</f>
        <v>4547.11231032287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2273.55615516143</v>
      </c>
      <c r="P89" s="69" t="n">
        <f aca="false">P88/(P12*1000000000000000*P16*P71*P17)/3600</f>
        <v>7821.97522210464</v>
      </c>
      <c r="Q89" s="69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1343</v>
      </c>
      <c r="B90" s="62" t="s">
        <v>1292</v>
      </c>
      <c r="C90" s="69" t="n">
        <f aca="false">IF(AND(ISNUMBER(C86)),C86+C87+C89,"SLO 不可達")</f>
        <v>98190.5420188534</v>
      </c>
      <c r="D90" s="69" t="n">
        <f aca="false">IF(AND(ISNUMBER(D86)),D86+D87+D89,"SLO 不可達")</f>
        <v>365083.756053767</v>
      </c>
      <c r="E90" s="69" t="n">
        <f aca="false">IF(AND(ISNUMBER(E86)),E86+E87+E89,"SLO 不可達")</f>
        <v>1458214.155158</v>
      </c>
      <c r="F90" s="69" t="n">
        <f aca="false">IF(AND(ISNUMBER(F86)),F86+F87+F89,"SLO 不可達")</f>
        <v>20305.9782220054</v>
      </c>
      <c r="G90" s="69" t="n">
        <f aca="false">IF(AND(ISNUMBER(G86)),G86+G87+G89,"SLO 不可達")</f>
        <v>71650.3965994577</v>
      </c>
      <c r="H90" s="69" t="n">
        <f aca="false">IF(AND(ISNUMBER(H86)),H86+H87+H89,"SLO 不可達")</f>
        <v>270882.385927799</v>
      </c>
      <c r="I90" s="69" t="n">
        <f aca="false">IF(AND(ISNUMBER(I86)),I86+I87+I89,"SLO 不可達")</f>
        <v>22922.3566212365</v>
      </c>
      <c r="J90" s="69" t="n">
        <f aca="false">IF(AND(ISNUMBER(J86)),J86+J87+J89,"SLO 不可達")</f>
        <v>81164.5045930946</v>
      </c>
      <c r="K90" s="69" t="n">
        <f aca="false">IF(AND(ISNUMBER(K86)),K86+K87+K89,"SLO 不可達")</f>
        <v>318841.11432376</v>
      </c>
      <c r="L90" s="69" t="n">
        <f aca="false">IF(AND(ISNUMBER(L86)),L86+L87+L89,"SLO 不可達")</f>
        <v>9343.76756235674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4101.16124738937</v>
      </c>
      <c r="P90" s="69" t="n">
        <f aca="false">IF(AND(ISNUMBER(P86)),P86+P87+P89,"SLO 不可達")</f>
        <v>14384.3363548867</v>
      </c>
      <c r="Q90" s="69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1344</v>
      </c>
      <c r="B91" s="62" t="s">
        <v>355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7" t="s">
        <v>1345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</row>
    <row r="93" customFormat="false" ht="15" hidden="false" customHeight="false" outlineLevel="0" collapsed="false">
      <c r="A93" s="61" t="s">
        <v>1346</v>
      </c>
      <c r="B93" s="62" t="s">
        <v>1175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1347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</row>
    <row r="95" customFormat="false" ht="15" hidden="false" customHeight="false" outlineLevel="0" collapsed="false">
      <c r="A95" s="61" t="s">
        <v>1348</v>
      </c>
      <c r="B95" s="62" t="s">
        <v>998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1249.87733157532</v>
      </c>
      <c r="G95" s="98" t="n">
        <f aca="false">INDEX(Perf_Batch!$C$103:$Q$103,3*(G$6-1)+G94)</f>
        <v>1249.87733157532</v>
      </c>
      <c r="H95" s="98" t="n">
        <f aca="false">INDEX(Perf_Batch!$C$103:$Q$103,3*(H$6-1)+H94)</f>
        <v>1249.87733157532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1349</v>
      </c>
      <c r="B96" s="62" t="s">
        <v>566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1350</v>
      </c>
      <c r="B97" s="62" t="s">
        <v>1292</v>
      </c>
      <c r="C97" s="69" t="n">
        <f aca="false">IF(AND(ISNUMBER(C95)),C93*1000000*C95/3600,"SLO 不可達")</f>
        <v>3807520.8608795</v>
      </c>
      <c r="D97" s="69" t="n">
        <f aca="false">IF(AND(ISNUMBER(D95)),D93*1000000*D95/3600,"SLO 不可達")</f>
        <v>7615041.72175899</v>
      </c>
      <c r="E97" s="69" t="n">
        <f aca="false">IF(AND(ISNUMBER(E95)),E93*1000000*E95/3600,"SLO 不可達")</f>
        <v>11422562.5826385</v>
      </c>
      <c r="F97" s="69" t="n">
        <f aca="false">IF(AND(ISNUMBER(F95)),F93*1000000*F95/3600,"SLO 不可達")</f>
        <v>347188.147659812</v>
      </c>
      <c r="G97" s="69" t="n">
        <f aca="false">IF(AND(ISNUMBER(G95)),G93*1000000*G95/3600,"SLO 不可達")</f>
        <v>694376.295319623</v>
      </c>
      <c r="H97" s="69" t="n">
        <f aca="false">IF(AND(ISNUMBER(H95)),H93*1000000*H95/3600,"SLO 不可達")</f>
        <v>1041564.44297943</v>
      </c>
      <c r="I97" s="69" t="n">
        <f aca="false">IF(AND(ISNUMBER(I95)),I93*1000000*I95/3600,"SLO 不可達")</f>
        <v>566763.924853758</v>
      </c>
      <c r="J97" s="69" t="n">
        <f aca="false">IF(AND(ISNUMBER(J95)),J93*1000000*J95/3600,"SLO 不可達")</f>
        <v>1133527.84970752</v>
      </c>
      <c r="K97" s="69" t="n">
        <f aca="false">IF(AND(ISNUMBER(K95)),K93*1000000*K95/3600,"SLO 不可達")</f>
        <v>1700291.77456127</v>
      </c>
      <c r="L97" s="69" t="n">
        <f aca="false">IF(AND(ISNUMBER(L95)),L93*1000000*L95/3600,"SLO 不可達")</f>
        <v>294691.009270007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107661.039665007</v>
      </c>
      <c r="P97" s="69" t="n">
        <f aca="false">IF(AND(ISNUMBER(P95)),P93*1000000*P95/3600,"SLO 不可達")</f>
        <v>215322.079330015</v>
      </c>
      <c r="Q97" s="69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1351</v>
      </c>
      <c r="B98" s="62" t="s">
        <v>355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1198</v>
      </c>
      <c r="B99" s="62" t="s">
        <v>1175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1" t="s">
        <v>1352</v>
      </c>
      <c r="B100" s="62" t="s">
        <v>1292</v>
      </c>
      <c r="C100" s="69" t="n">
        <f aca="false">IF(AND(ISNUMBER(C59)),C99*1000000*C59/3600,"SLO 不可達")</f>
        <v>4498.91163622213</v>
      </c>
      <c r="D100" s="69" t="n">
        <f aca="false">IF(AND(ISNUMBER(D59)),D99*1000000*D59/3600,"SLO 不可達")</f>
        <v>43273.3561325827</v>
      </c>
      <c r="E100" s="69" t="n">
        <f aca="false">IF(AND(ISNUMBER(E59)),E99*1000000*E59/3600,"SLO 不可達")</f>
        <v>380752.08608795</v>
      </c>
      <c r="F100" s="69" t="n">
        <f aca="false">IF(AND(ISNUMBER(F59)),F99*1000000*F59/3600,"SLO 不可達")</f>
        <v>432.240926318183</v>
      </c>
      <c r="G100" s="69" t="n">
        <f aca="false">IF(AND(ISNUMBER(G59)),G99*1000000*G59/3600,"SLO 不可達")</f>
        <v>3977.67786571164</v>
      </c>
      <c r="H100" s="69" t="n">
        <f aca="false">IF(AND(ISNUMBER(H59)),H99*1000000*H59/3600,"SLO 不可達")</f>
        <v>34718.8147659812</v>
      </c>
      <c r="I100" s="69" t="n">
        <f aca="false">IF(AND(ISNUMBER(I59)),I99*1000000*I59/3600,"SLO 不可達")</f>
        <v>680.059057407274</v>
      </c>
      <c r="J100" s="69" t="n">
        <f aca="false">IF(AND(ISNUMBER(J59)),J99*1000000*J59/3600,"SLO 不可達")</f>
        <v>6258.21317538632</v>
      </c>
      <c r="K100" s="69" t="n">
        <f aca="false">IF(AND(ISNUMBER(K59)),K99*1000000*K59/3600,"SLO 不可達")</f>
        <v>56676.3924853758</v>
      </c>
      <c r="L100" s="69" t="n">
        <f aca="false">IF(AND(ISNUMBER(L59)),L99*1000000*L59/3600,"SLO 不可達")</f>
        <v>385.922010290501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144.449589773186</v>
      </c>
      <c r="P100" s="69" t="n">
        <f aca="false">IF(AND(ISNUMBER(P59)),P99*1000000*P59/3600,"SLO 不可達")</f>
        <v>1283.59287170469</v>
      </c>
      <c r="Q100" s="69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1353</v>
      </c>
      <c r="B101" s="62" t="s">
        <v>355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7" t="s">
        <v>1354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</row>
    <row r="103" customFormat="false" ht="15" hidden="false" customHeight="false" outlineLevel="0" collapsed="false">
      <c r="A103" s="61" t="s">
        <v>1355</v>
      </c>
      <c r="B103" s="62" t="s">
        <v>1292</v>
      </c>
      <c r="C103" s="69" t="n">
        <f aca="false">C36+C43</f>
        <v>2323127.22501969</v>
      </c>
      <c r="D103" s="69" t="n">
        <f aca="false">D36+D43</f>
        <v>8330343.13024751</v>
      </c>
      <c r="E103" s="69" t="n">
        <f aca="false">E36+E43</f>
        <v>45238344.5556117</v>
      </c>
      <c r="F103" s="69" t="n">
        <f aca="false">F36+F43</f>
        <v>919493.755662791</v>
      </c>
      <c r="G103" s="69" t="n">
        <f aca="false">G36+G43</f>
        <v>3297149.81095196</v>
      </c>
      <c r="H103" s="69" t="n">
        <f aca="false">H36+H43</f>
        <v>17905336.7751111</v>
      </c>
      <c r="I103" s="69" t="n">
        <f aca="false">I36+I43</f>
        <v>919493.755662791</v>
      </c>
      <c r="J103" s="69" t="n">
        <f aca="false">J36+J43</f>
        <v>3297149.81095196</v>
      </c>
      <c r="K103" s="69" t="n">
        <f aca="false">K36+K43</f>
        <v>17905336.7751111</v>
      </c>
      <c r="L103" s="69" t="n">
        <f aca="false">L36+L43</f>
        <v>291902.779575489</v>
      </c>
      <c r="M103" s="69" t="n">
        <f aca="false">M36+M43</f>
        <v>1046714.22569904</v>
      </c>
      <c r="N103" s="69" t="n">
        <f aca="false">N36+N43</f>
        <v>5684233.89686067</v>
      </c>
      <c r="O103" s="69" t="n">
        <f aca="false">O36+O43</f>
        <v>145951.389787745</v>
      </c>
      <c r="P103" s="69" t="n">
        <f aca="false">P36+P43</f>
        <v>523357.112849518</v>
      </c>
      <c r="Q103" s="69" t="n">
        <f aca="false">Q36+Q43</f>
        <v>2842116.94843034</v>
      </c>
    </row>
    <row r="104" customFormat="false" ht="15" hidden="false" customHeight="false" outlineLevel="0" collapsed="false">
      <c r="A104" s="61" t="s">
        <v>1356</v>
      </c>
      <c r="B104" s="62" t="s">
        <v>1292</v>
      </c>
      <c r="C104" s="69" t="n">
        <f aca="false">IF(AND(ISNUMBER(C75),ISNUMBER(C90)),C51+C75+C90,"SLO 不可達")</f>
        <v>1156922.45847323</v>
      </c>
      <c r="D104" s="69" t="n">
        <f aca="false">IF(AND(ISNUMBER(D75),ISNUMBER(D90)),D51+D75+D90,"SLO 不可達")</f>
        <v>4263384.27926433</v>
      </c>
      <c r="E104" s="69" t="n">
        <f aca="false">IF(AND(ISNUMBER(E75),ISNUMBER(E90)),E51+E75+E90,"SLO 不可達")</f>
        <v>66282161.8918188</v>
      </c>
      <c r="F104" s="69" t="n">
        <f aca="false">IF(AND(ISNUMBER(F75),ISNUMBER(F90)),F51+F75+F90,"SLO 不可達")</f>
        <v>251379.354979979</v>
      </c>
      <c r="G104" s="69" t="n">
        <f aca="false">IF(AND(ISNUMBER(G75),ISNUMBER(G90)),G51+G75+G90,"SLO 不可達")</f>
        <v>881218.558061021</v>
      </c>
      <c r="H104" s="69" t="n">
        <f aca="false">IF(AND(ISNUMBER(H75),ISNUMBER(H90)),H51+H75+H90,"SLO 不可達")</f>
        <v>12789691.9887785</v>
      </c>
      <c r="I104" s="69" t="n">
        <f aca="false">IF(AND(ISNUMBER(I75),ISNUMBER(I90)),I51+I75+I90,"SLO 不可達")</f>
        <v>288312.208182875</v>
      </c>
      <c r="J104" s="69" t="n">
        <f aca="false">IF(AND(ISNUMBER(J75),ISNUMBER(J90)),J51+J75+J90,"SLO 不可達")</f>
        <v>1017017.23683086</v>
      </c>
      <c r="K104" s="69" t="n">
        <f aca="false">IF(AND(ISNUMBER(K75),ISNUMBER(K90)),K51+K75+K90,"SLO 不可達")</f>
        <v>15313205.1885937</v>
      </c>
      <c r="L104" s="69" t="n">
        <f aca="false">IF(AND(ISNUMBER(L75),ISNUMBER(L90)),L51+L75+L90,"SLO 不可達")</f>
        <v>117217.93801916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51303.720577081</v>
      </c>
      <c r="P104" s="69" t="n">
        <f aca="false">IF(AND(ISNUMBER(P75),ISNUMBER(P90)),P51+P75+P90,"SLO 不可達")</f>
        <v>179087.586378002</v>
      </c>
      <c r="Q104" s="69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1357</v>
      </c>
      <c r="B105" s="62" t="s">
        <v>1292</v>
      </c>
      <c r="C105" s="69" t="n">
        <f aca="false">IF(AND(ISNUMBER(C97),ISNUMBER(C100)),C97+C100,"SLO 不可達")</f>
        <v>3812019.77251572</v>
      </c>
      <c r="D105" s="69" t="n">
        <f aca="false">IF(AND(ISNUMBER(D97),ISNUMBER(D100)),D97+D100,"SLO 不可達")</f>
        <v>7658315.07789158</v>
      </c>
      <c r="E105" s="69" t="n">
        <f aca="false">IF(AND(ISNUMBER(E97),ISNUMBER(E100)),E97+E100,"SLO 不可達")</f>
        <v>11803314.6687264</v>
      </c>
      <c r="F105" s="69" t="n">
        <f aca="false">IF(AND(ISNUMBER(F97),ISNUMBER(F100)),F97+F100,"SLO 不可達")</f>
        <v>347620.38858613</v>
      </c>
      <c r="G105" s="69" t="n">
        <f aca="false">IF(AND(ISNUMBER(G97),ISNUMBER(G100)),G97+G100,"SLO 不可達")</f>
        <v>698353.973185335</v>
      </c>
      <c r="H105" s="69" t="n">
        <f aca="false">IF(AND(ISNUMBER(H97),ISNUMBER(H100)),H97+H100,"SLO 不可達")</f>
        <v>1076283.25774542</v>
      </c>
      <c r="I105" s="69" t="n">
        <f aca="false">IF(AND(ISNUMBER(I97),ISNUMBER(I100)),I97+I100,"SLO 不可達")</f>
        <v>567443.983911165</v>
      </c>
      <c r="J105" s="69" t="n">
        <f aca="false">IF(AND(ISNUMBER(J97),ISNUMBER(J100)),J97+J100,"SLO 不可達")</f>
        <v>1139786.0628829</v>
      </c>
      <c r="K105" s="69" t="n">
        <f aca="false">IF(AND(ISNUMBER(K97),ISNUMBER(K100)),K97+K100,"SLO 不可達")</f>
        <v>1756968.16704665</v>
      </c>
      <c r="L105" s="69" t="n">
        <f aca="false">IF(AND(ISNUMBER(L97),ISNUMBER(L100)),L97+L100,"SLO 不可達")</f>
        <v>295076.931280297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107805.489254781</v>
      </c>
      <c r="P105" s="69" t="n">
        <f aca="false">IF(AND(ISNUMBER(P97),ISNUMBER(P100)),P97+P100,"SLO 不可達")</f>
        <v>216605.67220172</v>
      </c>
      <c r="Q105" s="69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1358</v>
      </c>
      <c r="B106" s="62" t="s">
        <v>1292</v>
      </c>
      <c r="C106" s="72" t="n">
        <f aca="false">IF(AND(ISNUMBER(C104),ISNUMBER(C105)),C103+C104+C105,"SLO 不可達")</f>
        <v>7292069.45600863</v>
      </c>
      <c r="D106" s="72" t="n">
        <f aca="false">IF(AND(ISNUMBER(D104),ISNUMBER(D105)),D103+D104+D105,"SLO 不可達")</f>
        <v>20252042.4874034</v>
      </c>
      <c r="E106" s="72" t="n">
        <f aca="false">IF(AND(ISNUMBER(E104),ISNUMBER(E105)),E103+E104+E105,"SLO 不可達")</f>
        <v>123323821.116157</v>
      </c>
      <c r="F106" s="72" t="n">
        <f aca="false">IF(AND(ISNUMBER(F104),ISNUMBER(F105)),F103+F104+F105,"SLO 不可達")</f>
        <v>1518493.4992289</v>
      </c>
      <c r="G106" s="72" t="n">
        <f aca="false">IF(AND(ISNUMBER(G104),ISNUMBER(G105)),G103+G104+G105,"SLO 不可達")</f>
        <v>4876722.34219832</v>
      </c>
      <c r="H106" s="72" t="n">
        <f aca="false">IF(AND(ISNUMBER(H104),ISNUMBER(H105)),H103+H104+H105,"SLO 不可達")</f>
        <v>31771312.021635</v>
      </c>
      <c r="I106" s="72" t="n">
        <f aca="false">IF(AND(ISNUMBER(I104),ISNUMBER(I105)),I103+I104+I105,"SLO 不可達")</f>
        <v>1775249.94775683</v>
      </c>
      <c r="J106" s="72" t="n">
        <f aca="false">IF(AND(ISNUMBER(J104),ISNUMBER(J105)),J103+J104+J105,"SLO 不可達")</f>
        <v>5453953.11066573</v>
      </c>
      <c r="K106" s="72" t="n">
        <f aca="false">IF(AND(ISNUMBER(K104),ISNUMBER(K105)),K103+K104+K105,"SLO 不可達")</f>
        <v>34975510.1307514</v>
      </c>
      <c r="L106" s="72" t="n">
        <f aca="false">IF(AND(ISNUMBER(L104),ISNUMBER(L105)),L103+L104+L105,"SLO 不可達")</f>
        <v>704197.648874947</v>
      </c>
      <c r="M106" s="72" t="n">
        <f aca="false">IF(AND(ISNUMBER(M104),ISNUMBER(M105)),M103+M104+M105,"SLO 不可達")</f>
        <v>2051289.25958755</v>
      </c>
      <c r="N106" s="72" t="n">
        <f aca="false">IF(AND(ISNUMBER(N104),ISNUMBER(N105)),N103+N104+N105,"SLO 不可達")</f>
        <v>12784087.465584</v>
      </c>
      <c r="O106" s="72" t="n">
        <f aca="false">IF(AND(ISNUMBER(O104),ISNUMBER(O105)),O103+O104+O105,"SLO 不可達")</f>
        <v>305060.599619606</v>
      </c>
      <c r="P106" s="72" t="n">
        <f aca="false">IF(AND(ISNUMBER(P104),ISNUMBER(P105)),P103+P104+P105,"SLO 不可達")</f>
        <v>919050.37142924</v>
      </c>
      <c r="Q106" s="72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1359</v>
      </c>
      <c r="B107" s="62" t="s">
        <v>355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1360</v>
      </c>
      <c r="B108" s="62" t="s">
        <v>355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1361</v>
      </c>
      <c r="B109" s="62" t="s">
        <v>355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1362</v>
      </c>
      <c r="B110" s="62" t="s">
        <v>127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1363</v>
      </c>
      <c r="B111" s="62" t="s">
        <v>127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0.214693934547681</v>
      </c>
      <c r="G111" s="101" t="n">
        <f aca="false">IF(AND(ISNUMBER(G104)),G104/(G103+G104),"SLO 不可達")</f>
        <v>0.210900160119004</v>
      </c>
      <c r="H111" s="101" t="n">
        <f aca="false">IF(AND(ISNUMBER(H104)),H104/(H103+H104),"SLO 不可達")</f>
        <v>0.416669816052578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1364</v>
      </c>
      <c r="B112" s="62" t="s">
        <v>1292</v>
      </c>
      <c r="C112" s="69" t="n">
        <f aca="false">IF(AND(ISNUMBER(C65),ISNUMBER(C86),ISNUMBER(C97),ISNUMBER(C100)),C65+C74+C86+C87+C97+C100,"SLO 不可達")</f>
        <v>4501200.86876373</v>
      </c>
      <c r="D112" s="69" t="n">
        <f aca="false">IF(AND(ISNUMBER(D65),ISNUMBER(D86),ISNUMBER(D97),ISNUMBER(D100)),D65+D74+D86+D87+D97+D100,"SLO 不可達")</f>
        <v>10312523.3772359</v>
      </c>
      <c r="E112" s="69" t="n">
        <f aca="false">IF(AND(ISNUMBER(E65),ISNUMBER(E86),ISNUMBER(E97),ISNUMBER(E100)),E65+E74+E86+E87+E97+E100,"SLO 不可達")</f>
        <v>55946472.4484797</v>
      </c>
      <c r="F112" s="69" t="n">
        <f aca="false">IF(AND(ISNUMBER(F65),ISNUMBER(F86),ISNUMBER(F97),ISNUMBER(F100)),F65+F74+F86+F87+F97+F100,"SLO 不可達")</f>
        <v>413867.712397369</v>
      </c>
      <c r="G112" s="69" t="n">
        <f aca="false">IF(AND(ISNUMBER(G65),ISNUMBER(G86),ISNUMBER(G97),ISNUMBER(G100)),G65+G74+G86+G87+G97+G100,"SLO 不可達")</f>
        <v>942660.678394018</v>
      </c>
      <c r="H112" s="69" t="n">
        <f aca="false">IF(AND(ISNUMBER(H65),ISNUMBER(H86),ISNUMBER(H97),ISNUMBER(H100)),H65+H74+H86+H87+H97+H100,"SLO 不可達")</f>
        <v>5103357.41896834</v>
      </c>
      <c r="I112" s="69" t="n">
        <f aca="false">IF(AND(ISNUMBER(I65),ISNUMBER(I86),ISNUMBER(I97),ISNUMBER(I100)),I65+I74+I86+I87+I97+I100,"SLO 不可達")</f>
        <v>670624.160925301</v>
      </c>
      <c r="J112" s="69" t="n">
        <f aca="false">IF(AND(ISNUMBER(J65),ISNUMBER(J86),ISNUMBER(J97),ISNUMBER(J100)),J65+J74+J86+J87+J97+J100,"SLO 不可達")</f>
        <v>1519891.44686142</v>
      </c>
      <c r="K112" s="69" t="n">
        <f aca="false">IF(AND(ISNUMBER(K65),ISNUMBER(K86),ISNUMBER(K97),ISNUMBER(K100)),K65+K74+K86+K87+K97+K100,"SLO 不可達")</f>
        <v>8307555.52808475</v>
      </c>
      <c r="L112" s="69" t="n">
        <f aca="false">IF(AND(ISNUMBER(L65),ISNUMBER(L86),ISNUMBER(L97),ISNUMBER(L100)),L65+L74+L86+L87+L97+L100,"SLO 不可達")</f>
        <v>353522.795912556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129723.173138411</v>
      </c>
      <c r="P112" s="69" t="n">
        <f aca="false">IF(AND(ISNUMBER(P65),ISNUMBER(P86),ISNUMBER(P97),ISNUMBER(P100)),P65+P74+P86+P87+P97+P100,"SLO 不可達")</f>
        <v>294596.139079351</v>
      </c>
      <c r="Q112" s="69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1365</v>
      </c>
      <c r="B113" s="62" t="s">
        <v>1292</v>
      </c>
      <c r="C113" s="69" t="n">
        <f aca="false">C36+C43+C51+C72+C89</f>
        <v>2790868.5872449</v>
      </c>
      <c r="D113" s="69" t="n">
        <f aca="false">D36+D43+D51+D72+D89</f>
        <v>9939519.11016751</v>
      </c>
      <c r="E113" s="69" t="n">
        <f aca="false">E36+E43+E51+E72+E89</f>
        <v>67377348.6676773</v>
      </c>
      <c r="F113" s="69" t="n">
        <f aca="false">F36+F43+F51+F72+F89</f>
        <v>1104625.78683153</v>
      </c>
      <c r="G113" s="69" t="n">
        <f aca="false">G36+G43+G51+G72+G89</f>
        <v>3934061.6638043</v>
      </c>
      <c r="H113" s="69" t="n">
        <f aca="false">H36+H43+H51+H72+H89</f>
        <v>26667954.6026667</v>
      </c>
      <c r="I113" s="69" t="n">
        <f aca="false">I36+I43+I51+I72+I89</f>
        <v>1104625.78683153</v>
      </c>
      <c r="J113" s="69" t="n">
        <f aca="false">J36+J43+J51+J72+J89</f>
        <v>3934061.6638043</v>
      </c>
      <c r="K113" s="69" t="n">
        <f aca="false">K36+K43+K51+K72+K89</f>
        <v>26667954.6026667</v>
      </c>
      <c r="L113" s="69" t="n">
        <f aca="false">L36+L43+L51+L72+L89</f>
        <v>350674.852962391</v>
      </c>
      <c r="M113" s="69" t="n">
        <f aca="false">M36+M43+M51+M72+M89</f>
        <v>1248908.46469978</v>
      </c>
      <c r="N113" s="69" t="n">
        <f aca="false">N36+N43+N51+N72+N89</f>
        <v>8466017.33417989</v>
      </c>
      <c r="O113" s="69" t="n">
        <f aca="false">O36+O43+O51+O72+O89</f>
        <v>175337.426481195</v>
      </c>
      <c r="P113" s="69" t="n">
        <f aca="false">P36+P43+P51+P72+P89</f>
        <v>624454.232349889</v>
      </c>
      <c r="Q113" s="69" t="n">
        <f aca="false">Q36+Q43+Q51+Q72+Q89</f>
        <v>4233008.66708995</v>
      </c>
      <c r="R113" s="65" t="s">
        <v>1366</v>
      </c>
    </row>
    <row r="114" customFormat="false" ht="15" hidden="false" customHeight="false" outlineLevel="0" collapsed="false">
      <c r="A114" s="61" t="s">
        <v>1367</v>
      </c>
      <c r="B114" s="62" t="s">
        <v>127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0.272551520706235</v>
      </c>
      <c r="G114" s="103" t="n">
        <f aca="false">IF(AND(ISNUMBER(G112),ISNUMBER(G106)),G112/G106,"SLO 不可達")</f>
        <v>0.193298000633985</v>
      </c>
      <c r="H114" s="103" t="n">
        <f aca="false">IF(AND(ISNUMBER(H112),ISNUMBER(H106)),H112/H106,"SLO 不可達")</f>
        <v>0.160627846136576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1368</v>
      </c>
      <c r="B115" s="62" t="s">
        <v>1087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3.0498349666716</v>
      </c>
      <c r="G115" s="114" t="n">
        <f aca="false">IF(AND(ISNUMBER(G106)),G106*G19/1000000,"SLO 不可達")</f>
        <v>9.79470661516679</v>
      </c>
      <c r="H115" s="114" t="n">
        <f aca="false">IF(AND(ISNUMBER(H106)),H106*H19/1000000,"SLO 不可達")</f>
        <v>63.8114410037457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  <c r="R115" s="65" t="s">
        <v>1369</v>
      </c>
    </row>
    <row r="116" customFormat="false" ht="15" hidden="false" customHeight="false" outlineLevel="0" collapsed="false">
      <c r="A116" s="61" t="s">
        <v>1370</v>
      </c>
      <c r="B116" s="62" t="s">
        <v>1087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2.22797473156299</v>
      </c>
      <c r="G116" s="75" t="n">
        <f aca="false">IF(AND(ISNUMBER(G106)),G106*G20/1000000,"SLO 不可達")</f>
        <v>7.15525891733086</v>
      </c>
      <c r="H116" s="75" t="n">
        <f aca="false">IF(AND(ISNUMBER(H106)),H106*H20/1000000,"SLO 不可達")</f>
        <v>46.6157282917257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  <c r="R116" s="65" t="s">
        <v>1371</v>
      </c>
    </row>
    <row r="117" customFormat="false" ht="15" hidden="false" customHeight="false" outlineLevel="0" collapsed="false">
      <c r="A117" s="61" t="s">
        <v>1372</v>
      </c>
      <c r="B117" s="62" t="s">
        <v>127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0.000345466444175974</v>
      </c>
      <c r="G117" s="145" t="n">
        <f aca="false">IF(AND(ISNUMBER(G106)),G106/(G18*8760),"SLO 不可達")</f>
        <v>0.00110948379275137</v>
      </c>
      <c r="H117" s="145" t="n">
        <f aca="false">IF(AND(ISNUMBER(H106)),H106/(H18*8760),"SLO 不可達")</f>
        <v>0.00722816541295254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65" t="s">
        <v>1373</v>
      </c>
    </row>
    <row r="118" customFormat="false" ht="15" hidden="false" customHeight="false" outlineLevel="0" collapsed="false">
      <c r="A118" s="77" t="s">
        <v>1374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</row>
    <row r="119" customFormat="false" ht="15" hidden="false" customHeight="false" outlineLevel="0" collapsed="false">
      <c r="A119" s="61" t="s">
        <v>1375</v>
      </c>
      <c r="B119" s="62" t="s">
        <v>132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1376</v>
      </c>
      <c r="B120" s="62" t="s">
        <v>1292</v>
      </c>
      <c r="C120" s="72" t="n">
        <f aca="false">IF(AND(ISNUMBER(C106)),C106*C119,"SLO 不可達")</f>
        <v>58336555.6480691</v>
      </c>
      <c r="D120" s="72" t="n">
        <f aca="false">IF(AND(ISNUMBER(D106)),D106*D119,"SLO 不可達")</f>
        <v>162016339.899227</v>
      </c>
      <c r="E120" s="72" t="n">
        <f aca="false">IF(AND(ISNUMBER(E106)),E106*E119,"SLO 不可達")</f>
        <v>986590568.929256</v>
      </c>
      <c r="F120" s="72" t="n">
        <f aca="false">IF(AND(ISNUMBER(F106)),F106*F119,"SLO 不可達")</f>
        <v>12147947.9938312</v>
      </c>
      <c r="G120" s="72" t="n">
        <f aca="false">IF(AND(ISNUMBER(G106)),G106*G119,"SLO 不可達")</f>
        <v>39013778.7375866</v>
      </c>
      <c r="H120" s="72" t="n">
        <f aca="false">IF(AND(ISNUMBER(H106)),H106*H119,"SLO 不可達")</f>
        <v>254170496.17308</v>
      </c>
      <c r="I120" s="72" t="n">
        <f aca="false">IF(AND(ISNUMBER(I106)),I106*I119,"SLO 不可達")</f>
        <v>14201999.5820546</v>
      </c>
      <c r="J120" s="72" t="n">
        <f aca="false">IF(AND(ISNUMBER(J106)),J106*J119,"SLO 不可達")</f>
        <v>43631624.8853258</v>
      </c>
      <c r="K120" s="72" t="n">
        <f aca="false">IF(AND(ISNUMBER(K106)),K106*K119,"SLO 不可達")</f>
        <v>279804081.046011</v>
      </c>
      <c r="L120" s="72" t="n">
        <f aca="false">IF(AND(ISNUMBER(L106)),L106*L119,"SLO 不可達")</f>
        <v>5633581.19099958</v>
      </c>
      <c r="M120" s="72" t="n">
        <f aca="false">IF(AND(ISNUMBER(M106)),M106*M119,"SLO 不可達")</f>
        <v>16410314.0767004</v>
      </c>
      <c r="N120" s="72" t="n">
        <f aca="false">IF(AND(ISNUMBER(N106)),N106*N119,"SLO 不可達")</f>
        <v>102272699.724672</v>
      </c>
      <c r="O120" s="72" t="n">
        <f aca="false">IF(AND(ISNUMBER(O106)),O106*O119,"SLO 不可達")</f>
        <v>2440484.79695685</v>
      </c>
      <c r="P120" s="72" t="n">
        <f aca="false">IF(AND(ISNUMBER(P106)),P106*P119,"SLO 不可達")</f>
        <v>7352402.97143392</v>
      </c>
      <c r="Q120" s="72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1377</v>
      </c>
      <c r="B121" s="62" t="s">
        <v>1292</v>
      </c>
      <c r="C121" s="69" t="n">
        <f aca="false">IF(AND(ISNUMBER(C120),ISNUMBER(C106)),C120-C106,"SLO 不可達")</f>
        <v>51044486.1920604</v>
      </c>
      <c r="D121" s="69" t="n">
        <f aca="false">IF(AND(ISNUMBER(D120),ISNUMBER(D106)),D120-D106,"SLO 不可達")</f>
        <v>141764297.411824</v>
      </c>
      <c r="E121" s="69" t="n">
        <f aca="false">IF(AND(ISNUMBER(E120),ISNUMBER(E106)),E120-E106,"SLO 不可達")</f>
        <v>863266747.813099</v>
      </c>
      <c r="F121" s="69" t="n">
        <f aca="false">IF(AND(ISNUMBER(F120),ISNUMBER(F106)),F120-F106,"SLO 不可達")</f>
        <v>10629454.4946023</v>
      </c>
      <c r="G121" s="69" t="n">
        <f aca="false">IF(AND(ISNUMBER(G120),ISNUMBER(G106)),G120-G106,"SLO 不可達")</f>
        <v>34137056.3953882</v>
      </c>
      <c r="H121" s="69" t="n">
        <f aca="false">IF(AND(ISNUMBER(H120),ISNUMBER(H106)),H120-H106,"SLO 不可達")</f>
        <v>222399184.151445</v>
      </c>
      <c r="I121" s="69" t="n">
        <f aca="false">IF(AND(ISNUMBER(I120),ISNUMBER(I106)),I120-I106,"SLO 不可達")</f>
        <v>12426749.6342978</v>
      </c>
      <c r="J121" s="69" t="n">
        <f aca="false">IF(AND(ISNUMBER(J120),ISNUMBER(J106)),J120-J106,"SLO 不可達")</f>
        <v>38177671.7746601</v>
      </c>
      <c r="K121" s="69" t="n">
        <f aca="false">IF(AND(ISNUMBER(K120),ISNUMBER(K106)),K120-K106,"SLO 不可達")</f>
        <v>244828570.91526</v>
      </c>
      <c r="L121" s="69" t="n">
        <f aca="false">IF(AND(ISNUMBER(L120),ISNUMBER(L106)),L120-L106,"SLO 不可達")</f>
        <v>4929383.54212463</v>
      </c>
      <c r="M121" s="69" t="n">
        <f aca="false">IF(AND(ISNUMBER(M120),ISNUMBER(M106)),M120-M106,"SLO 不可達")</f>
        <v>14359024.8171129</v>
      </c>
      <c r="N121" s="69" t="n">
        <f aca="false">IF(AND(ISNUMBER(N120),ISNUMBER(N106)),N120-N106,"SLO 不可達")</f>
        <v>89488612.259088</v>
      </c>
      <c r="O121" s="69" t="n">
        <f aca="false">IF(AND(ISNUMBER(O120),ISNUMBER(O106)),O120-O106,"SLO 不可達")</f>
        <v>2135424.19733724</v>
      </c>
      <c r="P121" s="69" t="n">
        <f aca="false">IF(AND(ISNUMBER(P120),ISNUMBER(P106)),P120-P106,"SLO 不可達")</f>
        <v>6433352.60000468</v>
      </c>
      <c r="Q121" s="69" t="n">
        <f aca="false">IF(AND(ISNUMBER(Q120),ISNUMBER(Q106)),Q120-Q106,"SLO 不可達")</f>
        <v>40680383.4785872</v>
      </c>
      <c r="R121" s="65" t="s">
        <v>1378</v>
      </c>
    </row>
    <row r="122" customFormat="false" ht="15" hidden="false" customHeight="false" outlineLevel="0" collapsed="false">
      <c r="A122" s="61" t="s">
        <v>1379</v>
      </c>
      <c r="B122" s="62" t="s">
        <v>1087</v>
      </c>
      <c r="C122" s="72" t="n">
        <f aca="false">IF(AND(ISNUMBER(C120)),C120*C19/1000000,"SLO 不可達")</f>
        <v>89.9897693565145</v>
      </c>
      <c r="D122" s="72" t="n">
        <f aca="false">IF(AND(ISNUMBER(D120)),D120*D19/1000000,"SLO 不可達")</f>
        <v>249.925846624795</v>
      </c>
      <c r="E122" s="72" t="n">
        <f aca="false">IF(AND(ISNUMBER(E120)),E120*E19/1000000,"SLO 不可達")</f>
        <v>1521.91120577745</v>
      </c>
      <c r="F122" s="72" t="n">
        <f aca="false">IF(AND(ISNUMBER(F120)),F120*F19/1000000,"SLO 不可達")</f>
        <v>24.3986797333728</v>
      </c>
      <c r="G122" s="72" t="n">
        <f aca="false">IF(AND(ISNUMBER(G120)),G120*G19/1000000,"SLO 不可達")</f>
        <v>78.3576529213344</v>
      </c>
      <c r="H122" s="72" t="n">
        <f aca="false">IF(AND(ISNUMBER(H120)),H120*H19/1000000,"SLO 不可達")</f>
        <v>510.491528029966</v>
      </c>
      <c r="I122" s="72" t="n">
        <f aca="false">IF(AND(ISNUMBER(I120)),I120*I19/1000000,"SLO 不可達")</f>
        <v>36.2404866175213</v>
      </c>
      <c r="J122" s="72" t="n">
        <f aca="false">IF(AND(ISNUMBER(J120)),J120*J19/1000000,"SLO 不可達")</f>
        <v>111.33863993035</v>
      </c>
      <c r="K122" s="72" t="n">
        <f aca="false">IF(AND(ISNUMBER(K120)),K120*K19/1000000,"SLO 不可達")</f>
        <v>714.000588162868</v>
      </c>
      <c r="L122" s="72" t="n">
        <f aca="false">IF(AND(ISNUMBER(L120)),L120*L19/1000000,"SLO 不可達")</f>
        <v>26.9490908455707</v>
      </c>
      <c r="M122" s="72" t="n">
        <f aca="false">IF(AND(ISNUMBER(M120)),M120*M19/1000000,"SLO 不可達")</f>
        <v>78.50122859042</v>
      </c>
      <c r="N122" s="72" t="n">
        <f aca="false">IF(AND(ISNUMBER(N120)),N120*N19/1000000,"SLO 不可達")</f>
        <v>489.236984869465</v>
      </c>
      <c r="O122" s="72" t="n">
        <f aca="false">IF(AND(ISNUMBER(O120)),O120*O19/1000000,"SLO 不可達")</f>
        <v>21.9637971484962</v>
      </c>
      <c r="P122" s="72" t="n">
        <f aca="false">IF(AND(ISNUMBER(P120)),P120*P19/1000000,"SLO 不可達")</f>
        <v>66.1699214926233</v>
      </c>
      <c r="Q122" s="72" t="n">
        <f aca="false">IF(AND(ISNUMBER(Q120)),Q120*Q19/1000000,"SLO 不可達")</f>
        <v>418.416018588187</v>
      </c>
      <c r="R122" s="65" t="s">
        <v>1380</v>
      </c>
    </row>
    <row r="123" customFormat="false" ht="15" hidden="false" customHeight="false" outlineLevel="0" collapsed="false">
      <c r="A123" s="61" t="s">
        <v>1381</v>
      </c>
      <c r="B123" s="62" t="s">
        <v>127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0.00276373155340779</v>
      </c>
      <c r="G123" s="100" t="n">
        <f aca="false">IF(AND(ISNUMBER(G120)),G120/(G18*8760),"SLO 不可達")</f>
        <v>0.00887587034201096</v>
      </c>
      <c r="H123" s="100" t="n">
        <f aca="false">IF(AND(ISNUMBER(H120)),H120/(H18*8760),"SLO 不可達")</f>
        <v>0.0578253233036203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7" t="s">
        <v>1382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</row>
    <row r="125" customFormat="false" ht="15" hidden="false" customHeight="false" outlineLevel="0" collapsed="false">
      <c r="A125" s="61" t="s">
        <v>1383</v>
      </c>
      <c r="B125" s="62" t="s">
        <v>1292</v>
      </c>
      <c r="C125" s="69" t="n">
        <f aca="false">C103</f>
        <v>2323127.22501969</v>
      </c>
      <c r="D125" s="69" t="n">
        <f aca="false">D103</f>
        <v>8330343.13024751</v>
      </c>
      <c r="E125" s="69" t="n">
        <f aca="false">E103</f>
        <v>45238344.5556117</v>
      </c>
      <c r="F125" s="69" t="n">
        <f aca="false">F103</f>
        <v>919493.755662791</v>
      </c>
      <c r="G125" s="69" t="n">
        <f aca="false">G103</f>
        <v>3297149.81095196</v>
      </c>
      <c r="H125" s="69" t="n">
        <f aca="false">H103</f>
        <v>17905336.7751111</v>
      </c>
      <c r="I125" s="69" t="n">
        <f aca="false">I103</f>
        <v>919493.755662791</v>
      </c>
      <c r="J125" s="69" t="n">
        <f aca="false">J103</f>
        <v>3297149.81095196</v>
      </c>
      <c r="K125" s="69" t="n">
        <f aca="false">K103</f>
        <v>17905336.7751111</v>
      </c>
      <c r="L125" s="69" t="n">
        <f aca="false">L103</f>
        <v>291902.779575489</v>
      </c>
      <c r="M125" s="69" t="n">
        <f aca="false">M103</f>
        <v>1046714.22569904</v>
      </c>
      <c r="N125" s="69" t="n">
        <f aca="false">N103</f>
        <v>5684233.89686067</v>
      </c>
      <c r="O125" s="69" t="n">
        <f aca="false">O103</f>
        <v>145951.389787745</v>
      </c>
      <c r="P125" s="69" t="n">
        <f aca="false">P103</f>
        <v>523357.112849518</v>
      </c>
      <c r="Q125" s="69" t="n">
        <f aca="false">Q103</f>
        <v>2842116.94843034</v>
      </c>
      <c r="R125" s="65" t="s">
        <v>1384</v>
      </c>
    </row>
    <row r="126" customFormat="false" ht="15" hidden="false" customHeight="false" outlineLevel="0" collapsed="false">
      <c r="A126" s="61" t="s">
        <v>1385</v>
      </c>
      <c r="B126" s="62" t="s">
        <v>1292</v>
      </c>
      <c r="C126" s="69" t="n">
        <f aca="false">IF(AND(ISNUMBER(C65),ISNUMBER(C86)),C65+C74+C86+C87,"SLO 不可達")</f>
        <v>689181.096248015</v>
      </c>
      <c r="D126" s="69" t="n">
        <f aca="false">IF(AND(ISNUMBER(D65),ISNUMBER(D86)),D65+D74+D86+D87,"SLO 不可達")</f>
        <v>2654208.29934433</v>
      </c>
      <c r="E126" s="69" t="n">
        <f aca="false">IF(AND(ISNUMBER(E65),ISNUMBER(E86)),E65+E74+E86+E87,"SLO 不可達")</f>
        <v>44143157.7797533</v>
      </c>
      <c r="F126" s="69" t="n">
        <f aca="false">IF(AND(ISNUMBER(F65),ISNUMBER(F86)),F65+F74+F86+F87,"SLO 不可達")</f>
        <v>66247.3238112395</v>
      </c>
      <c r="G126" s="69" t="n">
        <f aca="false">IF(AND(ISNUMBER(G65),ISNUMBER(G86)),G65+G74+G86+G87,"SLO 不可達")</f>
        <v>244306.705208683</v>
      </c>
      <c r="H126" s="69" t="n">
        <f aca="false">IF(AND(ISNUMBER(H65),ISNUMBER(H86)),H65+H74+H86+H87,"SLO 不可達")</f>
        <v>4027074.16122293</v>
      </c>
      <c r="I126" s="69" t="n">
        <f aca="false">IF(AND(ISNUMBER(I65),ISNUMBER(I86)),I65+I74+I86+I87,"SLO 不可達")</f>
        <v>103180.177014136</v>
      </c>
      <c r="J126" s="69" t="n">
        <f aca="false">IF(AND(ISNUMBER(J65),ISNUMBER(J86)),J65+J74+J86+J87,"SLO 不可達")</f>
        <v>380105.383978521</v>
      </c>
      <c r="K126" s="69" t="n">
        <f aca="false">IF(AND(ISNUMBER(K65),ISNUMBER(K86)),K65+K74+K86+K87,"SLO 不可達")</f>
        <v>6550587.3610381</v>
      </c>
      <c r="L126" s="69" t="n">
        <f aca="false">IF(AND(ISNUMBER(L65),ISNUMBER(L86)),L65+L74+L86+L87,"SLO 不可達")</f>
        <v>58445.864632259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21917.6838836303</v>
      </c>
      <c r="P126" s="69" t="n">
        <f aca="false">IF(AND(ISNUMBER(P65),ISNUMBER(P86)),P65+P74+P86+P87,"SLO 不可達")</f>
        <v>77990.4668776312</v>
      </c>
      <c r="Q126" s="69" t="n">
        <f aca="false">IF(AND(ISNUMBER(Q65),ISNUMBER(Q86)),Q65+Q74+Q86+Q87,"SLO 不可達")</f>
        <v>1244725.46403241</v>
      </c>
      <c r="R126" s="65" t="s">
        <v>1386</v>
      </c>
    </row>
    <row r="127" customFormat="false" ht="15" hidden="false" customHeight="false" outlineLevel="0" collapsed="false">
      <c r="A127" s="61" t="s">
        <v>1387</v>
      </c>
      <c r="B127" s="62" t="s">
        <v>1292</v>
      </c>
      <c r="C127" s="69" t="n">
        <f aca="false">C51+C72+C89</f>
        <v>467741.362225214</v>
      </c>
      <c r="D127" s="69" t="n">
        <f aca="false">D51+D72+D89</f>
        <v>1609175.97992</v>
      </c>
      <c r="E127" s="69" t="n">
        <f aca="false">E51+E72+E89</f>
        <v>22139004.1120656</v>
      </c>
      <c r="F127" s="69" t="n">
        <f aca="false">F51+F72+F89</f>
        <v>185132.03116874</v>
      </c>
      <c r="G127" s="69" t="n">
        <f aca="false">G51+G72+G89</f>
        <v>636911.852852338</v>
      </c>
      <c r="H127" s="69" t="n">
        <f aca="false">H51+H72+H89</f>
        <v>8762617.82755555</v>
      </c>
      <c r="I127" s="69" t="n">
        <f aca="false">I51+I72+I89</f>
        <v>185132.03116874</v>
      </c>
      <c r="J127" s="69" t="n">
        <f aca="false">J51+J72+J89</f>
        <v>636911.852852338</v>
      </c>
      <c r="K127" s="69" t="n">
        <f aca="false">K51+K72+K89</f>
        <v>8762617.82755555</v>
      </c>
      <c r="L127" s="69" t="n">
        <f aca="false">L51+L72+L89</f>
        <v>58772.0733869014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29386.0366934507</v>
      </c>
      <c r="P127" s="69" t="n">
        <f aca="false">P51+P72+P89</f>
        <v>101097.119500371</v>
      </c>
      <c r="Q127" s="69" t="n">
        <f aca="false">Q51+Q72+Q89</f>
        <v>1390891.71865961</v>
      </c>
      <c r="R127" s="65" t="s">
        <v>1388</v>
      </c>
    </row>
    <row r="128" customFormat="false" ht="15" hidden="false" customHeight="false" outlineLevel="0" collapsed="false">
      <c r="A128" s="61" t="s">
        <v>1389</v>
      </c>
      <c r="B128" s="62" t="s">
        <v>1292</v>
      </c>
      <c r="C128" s="69" t="n">
        <f aca="false">IF(AND(ISNUMBER(C105)),C105,"SLO 不可達")</f>
        <v>3812019.77251572</v>
      </c>
      <c r="D128" s="69" t="n">
        <f aca="false">IF(AND(ISNUMBER(D105)),D105,"SLO 不可達")</f>
        <v>7658315.07789158</v>
      </c>
      <c r="E128" s="69" t="n">
        <f aca="false">IF(AND(ISNUMBER(E105)),E105,"SLO 不可達")</f>
        <v>11803314.6687264</v>
      </c>
      <c r="F128" s="69" t="n">
        <f aca="false">IF(AND(ISNUMBER(F105)),F105,"SLO 不可達")</f>
        <v>347620.38858613</v>
      </c>
      <c r="G128" s="69" t="n">
        <f aca="false">IF(AND(ISNUMBER(G105)),G105,"SLO 不可達")</f>
        <v>698353.973185335</v>
      </c>
      <c r="H128" s="69" t="n">
        <f aca="false">IF(AND(ISNUMBER(H105)),H105,"SLO 不可達")</f>
        <v>1076283.25774542</v>
      </c>
      <c r="I128" s="69" t="n">
        <f aca="false">IF(AND(ISNUMBER(I105)),I105,"SLO 不可達")</f>
        <v>567443.983911165</v>
      </c>
      <c r="J128" s="69" t="n">
        <f aca="false">IF(AND(ISNUMBER(J105)),J105,"SLO 不可達")</f>
        <v>1139786.0628829</v>
      </c>
      <c r="K128" s="69" t="n">
        <f aca="false">IF(AND(ISNUMBER(K105)),K105,"SLO 不可達")</f>
        <v>1756968.16704665</v>
      </c>
      <c r="L128" s="69" t="n">
        <f aca="false">IF(AND(ISNUMBER(L105)),L105,"SLO 不可達")</f>
        <v>295076.931280297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107805.489254781</v>
      </c>
      <c r="P128" s="69" t="n">
        <f aca="false">IF(AND(ISNUMBER(P105)),P105,"SLO 不可達")</f>
        <v>216605.67220172</v>
      </c>
      <c r="Q128" s="69" t="n">
        <f aca="false">IF(AND(ISNUMBER(Q105)),Q105,"SLO 不可達")</f>
        <v>333749.222961523</v>
      </c>
      <c r="R128" s="65" t="s">
        <v>1390</v>
      </c>
    </row>
    <row r="129" customFormat="false" ht="15" hidden="false" customHeight="false" outlineLevel="0" collapsed="false">
      <c r="A129" s="61" t="s">
        <v>1391</v>
      </c>
      <c r="B129" s="62" t="s">
        <v>1292</v>
      </c>
      <c r="C129" s="69" t="n">
        <f aca="false">IF(AND(ISNUMBER(C121)),C121,"SLO 不可達")</f>
        <v>51044486.1920604</v>
      </c>
      <c r="D129" s="69" t="n">
        <f aca="false">IF(AND(ISNUMBER(D121)),D121,"SLO 不可達")</f>
        <v>141764297.411824</v>
      </c>
      <c r="E129" s="69" t="n">
        <f aca="false">IF(AND(ISNUMBER(E121)),E121,"SLO 不可達")</f>
        <v>863266747.813099</v>
      </c>
      <c r="F129" s="69" t="n">
        <f aca="false">IF(AND(ISNUMBER(F121)),F121,"SLO 不可達")</f>
        <v>10629454.4946023</v>
      </c>
      <c r="G129" s="69" t="n">
        <f aca="false">IF(AND(ISNUMBER(G121)),G121,"SLO 不可達")</f>
        <v>34137056.3953882</v>
      </c>
      <c r="H129" s="69" t="n">
        <f aca="false">IF(AND(ISNUMBER(H121)),H121,"SLO 不可達")</f>
        <v>222399184.151445</v>
      </c>
      <c r="I129" s="69" t="n">
        <f aca="false">IF(AND(ISNUMBER(I121)),I121,"SLO 不可達")</f>
        <v>12426749.6342978</v>
      </c>
      <c r="J129" s="69" t="n">
        <f aca="false">IF(AND(ISNUMBER(J121)),J121,"SLO 不可達")</f>
        <v>38177671.7746601</v>
      </c>
      <c r="K129" s="69" t="n">
        <f aca="false">IF(AND(ISNUMBER(K121)),K121,"SLO 不可達")</f>
        <v>244828570.91526</v>
      </c>
      <c r="L129" s="69" t="n">
        <f aca="false">IF(AND(ISNUMBER(L121)),L121,"SLO 不可達")</f>
        <v>4929383.54212463</v>
      </c>
      <c r="M129" s="69" t="n">
        <f aca="false">IF(AND(ISNUMBER(M121)),M121,"SLO 不可達")</f>
        <v>14359024.8171129</v>
      </c>
      <c r="N129" s="69" t="n">
        <f aca="false">IF(AND(ISNUMBER(N121)),N121,"SLO 不可達")</f>
        <v>89488612.259088</v>
      </c>
      <c r="O129" s="69" t="n">
        <f aca="false">IF(AND(ISNUMBER(O121)),O121,"SLO 不可達")</f>
        <v>2135424.19733724</v>
      </c>
      <c r="P129" s="69" t="n">
        <f aca="false">IF(AND(ISNUMBER(P121)),P121,"SLO 不可達")</f>
        <v>6433352.60000468</v>
      </c>
      <c r="Q129" s="69" t="n">
        <f aca="false">IF(AND(ISNUMBER(Q121)),Q121,"SLO 不可達")</f>
        <v>40680383.4785872</v>
      </c>
      <c r="R129" s="65" t="s">
        <v>1392</v>
      </c>
    </row>
    <row r="130" customFormat="false" ht="15" hidden="false" customHeight="false" outlineLevel="0" collapsed="false">
      <c r="A130" s="77" t="s">
        <v>1393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</row>
    <row r="131" customFormat="false" ht="15" hidden="false" customHeight="false" outlineLevel="0" collapsed="false">
      <c r="A131" s="61"/>
      <c r="B131" s="61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5" t="s">
        <v>1394</v>
      </c>
    </row>
    <row r="132" customFormat="false" ht="15" hidden="false" customHeight="false" outlineLevel="0" collapsed="false">
      <c r="A132" s="61"/>
      <c r="B132" s="61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5" t="s">
        <v>1395</v>
      </c>
    </row>
    <row r="133" customFormat="false" ht="15" hidden="false" customHeight="false" outlineLevel="0" collapsed="false">
      <c r="A133" s="61"/>
      <c r="B133" s="61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5" t="s">
        <v>1396</v>
      </c>
    </row>
    <row r="134" customFormat="false" ht="15" hidden="false" customHeight="false" outlineLevel="0" collapsed="false">
      <c r="A134" s="61"/>
      <c r="B134" s="61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65" t="s">
        <v>1397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1398</v>
      </c>
    </row>
    <row r="2" customFormat="false" ht="15" hidden="false" customHeight="false" outlineLevel="0" collapsed="false">
      <c r="A2" s="65" t="s">
        <v>1399</v>
      </c>
    </row>
    <row r="3" customFormat="false" ht="43.5" hidden="false" customHeight="true" outlineLevel="0" collapsed="false">
      <c r="A3" s="60" t="s">
        <v>1023</v>
      </c>
      <c r="C3" s="119" t="s">
        <v>111</v>
      </c>
      <c r="D3" s="119"/>
      <c r="E3" s="119" t="s">
        <v>1400</v>
      </c>
      <c r="F3" s="119"/>
      <c r="G3" s="119" t="s">
        <v>1401</v>
      </c>
      <c r="H3" s="119"/>
      <c r="I3" s="120" t="s">
        <v>1402</v>
      </c>
      <c r="J3" s="120"/>
      <c r="K3" s="119" t="s">
        <v>1403</v>
      </c>
      <c r="L3" s="119"/>
      <c r="M3" s="119" t="s">
        <v>1404</v>
      </c>
      <c r="N3" s="119"/>
      <c r="O3" s="120" t="s">
        <v>1405</v>
      </c>
      <c r="P3" s="120"/>
      <c r="Q3" s="120" t="s">
        <v>1406</v>
      </c>
      <c r="R3" s="120"/>
      <c r="S3" s="120" t="s">
        <v>1407</v>
      </c>
      <c r="T3" s="120"/>
      <c r="U3" s="120" t="s">
        <v>1408</v>
      </c>
      <c r="V3" s="120"/>
      <c r="W3" s="120" t="s">
        <v>1409</v>
      </c>
      <c r="X3" s="120"/>
      <c r="Y3" s="119" t="s">
        <v>1410</v>
      </c>
      <c r="Z3" s="119"/>
      <c r="AA3" s="119" t="s">
        <v>1411</v>
      </c>
      <c r="AB3" s="119"/>
      <c r="AC3" s="119" t="s">
        <v>1412</v>
      </c>
      <c r="AD3" s="119"/>
      <c r="AE3" s="119" t="s">
        <v>1413</v>
      </c>
      <c r="AF3" s="119"/>
      <c r="AG3" s="120" t="s">
        <v>1414</v>
      </c>
      <c r="AH3" s="120"/>
    </row>
    <row r="4" customFormat="false" ht="15" hidden="false" customHeight="false" outlineLevel="0" collapsed="false">
      <c r="A4" s="60" t="s">
        <v>200</v>
      </c>
      <c r="C4" s="83" t="str">
        <f aca="false">INDEX(Spec_Rack!$C$4:$G$4,C6)</f>
        <v>VR200 NVL72</v>
      </c>
      <c r="D4" s="83" t="str">
        <f aca="false">INDEX(Spec_Rack!$C$4:$G$4,D6)</f>
        <v>VR200 NVL72</v>
      </c>
      <c r="E4" s="83" t="str">
        <f aca="false">INDEX(Spec_Rack!$C$4:$G$4,E6)</f>
        <v>VR200 NVL72</v>
      </c>
      <c r="F4" s="83" t="str">
        <f aca="false">INDEX(Spec_Rack!$C$4:$G$4,F6)</f>
        <v>VR200 NVL72</v>
      </c>
      <c r="G4" s="83" t="str">
        <f aca="false">INDEX(Spec_Rack!$C$4:$G$4,G6)</f>
        <v>VR200 NVL72</v>
      </c>
      <c r="H4" s="83" t="str">
        <f aca="false">INDEX(Spec_Rack!$C$4:$G$4,H6)</f>
        <v>VR200 NVL72</v>
      </c>
      <c r="I4" s="83" t="str">
        <f aca="false">INDEX(Spec_Rack!$C$4:$G$4,I6)</f>
        <v>VR200 NVL72</v>
      </c>
      <c r="J4" s="83" t="str">
        <f aca="false">INDEX(Spec_Rack!$C$4:$G$4,J6)</f>
        <v>VR200 NVL72</v>
      </c>
      <c r="K4" s="83" t="str">
        <f aca="false">INDEX(Spec_Rack!$C$4:$G$4,K6)</f>
        <v>VR200 NVL72</v>
      </c>
      <c r="L4" s="83" t="str">
        <f aca="false">INDEX(Spec_Rack!$C$4:$G$4,L6)</f>
        <v>VR200 NVL72</v>
      </c>
      <c r="M4" s="83" t="str">
        <f aca="false">INDEX(Spec_Rack!$C$4:$G$4,M6)</f>
        <v>VR200 NVL72</v>
      </c>
      <c r="N4" s="83" t="str">
        <f aca="false">INDEX(Spec_Rack!$C$4:$G$4,N6)</f>
        <v>VR200 NVL72</v>
      </c>
      <c r="O4" s="83" t="str">
        <f aca="false">INDEX(Spec_Rack!$C$4:$G$4,O6)</f>
        <v>VR200 NVL72</v>
      </c>
      <c r="P4" s="83" t="str">
        <f aca="false">INDEX(Spec_Rack!$C$4:$G$4,P6)</f>
        <v>VR200 NVL72</v>
      </c>
      <c r="Q4" s="83" t="str">
        <f aca="false">INDEX(Spec_Rack!$C$4:$G$4,Q6)</f>
        <v>VR200 NVL72</v>
      </c>
      <c r="R4" s="83" t="str">
        <f aca="false">INDEX(Spec_Rack!$C$4:$G$4,R6)</f>
        <v>VR200 NVL72</v>
      </c>
      <c r="S4" s="83" t="str">
        <f aca="false">INDEX(Spec_Rack!$C$4:$G$4,S6)</f>
        <v>VR200 NVL72</v>
      </c>
      <c r="T4" s="83" t="str">
        <f aca="false">INDEX(Spec_Rack!$C$4:$G$4,T6)</f>
        <v>VR200 NVL72</v>
      </c>
      <c r="U4" s="83" t="str">
        <f aca="false">INDEX(Spec_Rack!$C$4:$G$4,U6)</f>
        <v>VR200 NVL72</v>
      </c>
      <c r="V4" s="83" t="str">
        <f aca="false">INDEX(Spec_Rack!$C$4:$G$4,V6)</f>
        <v>VR200 NVL72</v>
      </c>
      <c r="W4" s="83" t="str">
        <f aca="false">INDEX(Spec_Rack!$C$4:$G$4,W6)</f>
        <v>VR200 NVL72</v>
      </c>
      <c r="X4" s="83" t="str">
        <f aca="false">INDEX(Spec_Rack!$C$4:$G$4,X6)</f>
        <v>VR200 NVL72</v>
      </c>
      <c r="Y4" s="83" t="str">
        <f aca="false">INDEX(Spec_Rack!$C$4:$G$4,Y6)</f>
        <v>VR200 NVL72</v>
      </c>
      <c r="Z4" s="83" t="str">
        <f aca="false">INDEX(Spec_Rack!$C$4:$G$4,Z6)</f>
        <v>VR200 NVL72</v>
      </c>
      <c r="AA4" s="83" t="str">
        <f aca="false">INDEX(Spec_Rack!$C$4:$G$4,AA6)</f>
        <v>VR200 NVL72</v>
      </c>
      <c r="AB4" s="83" t="str">
        <f aca="false">INDEX(Spec_Rack!$C$4:$G$4,AB6)</f>
        <v>VR200 NVL72</v>
      </c>
      <c r="AC4" s="83" t="str">
        <f aca="false">INDEX(Spec_Rack!$C$4:$G$4,AC6)</f>
        <v>VR200 NVL72</v>
      </c>
      <c r="AD4" s="83" t="str">
        <f aca="false">INDEX(Spec_Rack!$C$4:$G$4,AD6)</f>
        <v>VR200 NVL72</v>
      </c>
      <c r="AE4" s="83" t="str">
        <f aca="false">INDEX(Spec_Rack!$C$4:$G$4,AE6)</f>
        <v>VR200 NVL72</v>
      </c>
      <c r="AF4" s="83" t="str">
        <f aca="false">INDEX(Spec_Rack!$C$4:$G$4,AF6)</f>
        <v>VR200 NVL72</v>
      </c>
      <c r="AG4" s="83" t="str">
        <f aca="false">INDEX(Spec_Rack!$C$4:$G$4,AG6)</f>
        <v>VR200 NVL72</v>
      </c>
      <c r="AH4" s="83" t="str">
        <f aca="false">INDEX(Spec_Rack!$C$4:$G$4,AH6)</f>
        <v>VR200 NVL72</v>
      </c>
    </row>
    <row r="5" customFormat="false" ht="15" hidden="false" customHeight="false" outlineLevel="0" collapsed="false">
      <c r="A5" s="60" t="s">
        <v>913</v>
      </c>
      <c r="C5" s="83" t="str">
        <f aca="false">INDEX(Arch!$C$4:$E$4,C7)</f>
        <v>Sol（中層）</v>
      </c>
      <c r="D5" s="83" t="str">
        <f aca="false">INDEX(Arch!$C$4:$E$4,D7)</f>
        <v>Astra（頂層）</v>
      </c>
      <c r="E5" s="83" t="str">
        <f aca="false">INDEX(Arch!$C$4:$E$4,E7)</f>
        <v>Sol（中層）</v>
      </c>
      <c r="F5" s="83" t="str">
        <f aca="false">INDEX(Arch!$C$4:$E$4,F7)</f>
        <v>Astra（頂層）</v>
      </c>
      <c r="G5" s="83" t="str">
        <f aca="false">INDEX(Arch!$C$4:$E$4,G7)</f>
        <v>Sol（中層）</v>
      </c>
      <c r="H5" s="83" t="str">
        <f aca="false">INDEX(Arch!$C$4:$E$4,H7)</f>
        <v>Astra（頂層）</v>
      </c>
      <c r="I5" s="83" t="str">
        <f aca="false">INDEX(Arch!$C$4:$E$4,I7)</f>
        <v>Sol（中層）</v>
      </c>
      <c r="J5" s="83" t="str">
        <f aca="false">INDEX(Arch!$C$4:$E$4,J7)</f>
        <v>Astra（頂層）</v>
      </c>
      <c r="K5" s="83" t="str">
        <f aca="false">INDEX(Arch!$C$4:$E$4,K7)</f>
        <v>Sol（中層）</v>
      </c>
      <c r="L5" s="83" t="str">
        <f aca="false">INDEX(Arch!$C$4:$E$4,L7)</f>
        <v>Astra（頂層）</v>
      </c>
      <c r="M5" s="83" t="str">
        <f aca="false">INDEX(Arch!$C$4:$E$4,M7)</f>
        <v>Sol（中層）</v>
      </c>
      <c r="N5" s="83" t="str">
        <f aca="false">INDEX(Arch!$C$4:$E$4,N7)</f>
        <v>Astra（頂層）</v>
      </c>
      <c r="O5" s="83" t="str">
        <f aca="false">INDEX(Arch!$C$4:$E$4,O7)</f>
        <v>Sol（中層）</v>
      </c>
      <c r="P5" s="83" t="str">
        <f aca="false">INDEX(Arch!$C$4:$E$4,P7)</f>
        <v>Astra（頂層）</v>
      </c>
      <c r="Q5" s="83" t="str">
        <f aca="false">INDEX(Arch!$C$4:$E$4,Q7)</f>
        <v>Sol（中層）</v>
      </c>
      <c r="R5" s="83" t="str">
        <f aca="false">INDEX(Arch!$C$4:$E$4,R7)</f>
        <v>Astra（頂層）</v>
      </c>
      <c r="S5" s="83" t="str">
        <f aca="false">INDEX(Arch!$C$4:$E$4,S7)</f>
        <v>Sol（中層）</v>
      </c>
      <c r="T5" s="83" t="str">
        <f aca="false">INDEX(Arch!$C$4:$E$4,T7)</f>
        <v>Astra（頂層）</v>
      </c>
      <c r="U5" s="83" t="str">
        <f aca="false">INDEX(Arch!$C$4:$E$4,U7)</f>
        <v>Sol（中層）</v>
      </c>
      <c r="V5" s="83" t="str">
        <f aca="false">INDEX(Arch!$C$4:$E$4,V7)</f>
        <v>Astra（頂層）</v>
      </c>
      <c r="W5" s="83" t="str">
        <f aca="false">INDEX(Arch!$C$4:$E$4,W7)</f>
        <v>Sol（中層）</v>
      </c>
      <c r="X5" s="83" t="str">
        <f aca="false">INDEX(Arch!$C$4:$E$4,X7)</f>
        <v>Astra（頂層）</v>
      </c>
      <c r="Y5" s="83" t="str">
        <f aca="false">INDEX(Arch!$C$4:$E$4,Y7)</f>
        <v>Sol（中層）</v>
      </c>
      <c r="Z5" s="83" t="str">
        <f aca="false">INDEX(Arch!$C$4:$E$4,Z7)</f>
        <v>Astra（頂層）</v>
      </c>
      <c r="AA5" s="83" t="str">
        <f aca="false">INDEX(Arch!$C$4:$E$4,AA7)</f>
        <v>Sol（中層）</v>
      </c>
      <c r="AB5" s="83" t="str">
        <f aca="false">INDEX(Arch!$C$4:$E$4,AB7)</f>
        <v>Astra（頂層）</v>
      </c>
      <c r="AC5" s="83" t="str">
        <f aca="false">INDEX(Arch!$C$4:$E$4,AC7)</f>
        <v>Sol（中層）</v>
      </c>
      <c r="AD5" s="83" t="str">
        <f aca="false">INDEX(Arch!$C$4:$E$4,AD7)</f>
        <v>Astra（頂層）</v>
      </c>
      <c r="AE5" s="83" t="str">
        <f aca="false">INDEX(Arch!$C$4:$E$4,AE7)</f>
        <v>Sol（中層）</v>
      </c>
      <c r="AF5" s="83" t="str">
        <f aca="false">INDEX(Arch!$C$4:$E$4,AF7)</f>
        <v>Astra（頂層）</v>
      </c>
      <c r="AG5" s="83" t="str">
        <f aca="false">INDEX(Arch!$C$4:$E$4,AG7)</f>
        <v>Sol（中層）</v>
      </c>
      <c r="AH5" s="83" t="str">
        <f aca="false">INDEX(Arch!$C$4:$E$4,AH7)</f>
        <v>Astra（頂層）</v>
      </c>
    </row>
    <row r="6" customFormat="false" ht="15" hidden="false" customHeight="false" outlineLevel="0" collapsed="false">
      <c r="A6" s="60" t="s">
        <v>494</v>
      </c>
      <c r="C6" s="68" t="n">
        <v>4</v>
      </c>
      <c r="D6" s="68" t="n">
        <v>4</v>
      </c>
      <c r="E6" s="68" t="n">
        <v>4</v>
      </c>
      <c r="F6" s="68" t="n">
        <v>4</v>
      </c>
      <c r="G6" s="68" t="n">
        <v>4</v>
      </c>
      <c r="H6" s="68" t="n">
        <v>4</v>
      </c>
      <c r="I6" s="68" t="n">
        <v>4</v>
      </c>
      <c r="J6" s="68" t="n">
        <v>4</v>
      </c>
      <c r="K6" s="68" t="n">
        <v>4</v>
      </c>
      <c r="L6" s="68" t="n">
        <v>4</v>
      </c>
      <c r="M6" s="68" t="n">
        <v>4</v>
      </c>
      <c r="N6" s="68" t="n">
        <v>4</v>
      </c>
      <c r="O6" s="68" t="n">
        <v>4</v>
      </c>
      <c r="P6" s="68" t="n">
        <v>4</v>
      </c>
      <c r="Q6" s="68" t="n">
        <v>4</v>
      </c>
      <c r="R6" s="68" t="n">
        <v>4</v>
      </c>
      <c r="S6" s="68" t="n">
        <v>4</v>
      </c>
      <c r="T6" s="68" t="n">
        <v>4</v>
      </c>
      <c r="U6" s="68" t="n">
        <v>4</v>
      </c>
      <c r="V6" s="68" t="n">
        <v>4</v>
      </c>
      <c r="W6" s="68" t="n">
        <v>4</v>
      </c>
      <c r="X6" s="68" t="n">
        <v>4</v>
      </c>
      <c r="Y6" s="68" t="n">
        <v>4</v>
      </c>
      <c r="Z6" s="68" t="n">
        <v>4</v>
      </c>
      <c r="AA6" s="68" t="n">
        <v>4</v>
      </c>
      <c r="AB6" s="68" t="n">
        <v>4</v>
      </c>
      <c r="AC6" s="68" t="n">
        <v>4</v>
      </c>
      <c r="AD6" s="68" t="n">
        <v>4</v>
      </c>
      <c r="AE6" s="68" t="n">
        <v>4</v>
      </c>
      <c r="AF6" s="68" t="n">
        <v>4</v>
      </c>
      <c r="AG6" s="68" t="n">
        <v>4</v>
      </c>
      <c r="AH6" s="68" t="n">
        <v>4</v>
      </c>
    </row>
    <row r="7" customFormat="false" ht="15" hidden="false" customHeight="false" outlineLevel="0" collapsed="false">
      <c r="A7" s="60" t="s">
        <v>915</v>
      </c>
      <c r="C7" s="68" t="n">
        <v>2</v>
      </c>
      <c r="D7" s="68" t="n">
        <v>3</v>
      </c>
      <c r="E7" s="68" t="n">
        <v>2</v>
      </c>
      <c r="F7" s="68" t="n">
        <v>3</v>
      </c>
      <c r="G7" s="68" t="n">
        <v>2</v>
      </c>
      <c r="H7" s="68" t="n">
        <v>3</v>
      </c>
      <c r="I7" s="68" t="n">
        <v>2</v>
      </c>
      <c r="J7" s="68" t="n">
        <v>3</v>
      </c>
      <c r="K7" s="68" t="n">
        <v>2</v>
      </c>
      <c r="L7" s="68" t="n">
        <v>3</v>
      </c>
      <c r="M7" s="68" t="n">
        <v>2</v>
      </c>
      <c r="N7" s="68" t="n">
        <v>3</v>
      </c>
      <c r="O7" s="68" t="n">
        <v>2</v>
      </c>
      <c r="P7" s="68" t="n">
        <v>3</v>
      </c>
      <c r="Q7" s="68" t="n">
        <v>2</v>
      </c>
      <c r="R7" s="68" t="n">
        <v>3</v>
      </c>
      <c r="S7" s="68" t="n">
        <v>2</v>
      </c>
      <c r="T7" s="68" t="n">
        <v>3</v>
      </c>
      <c r="U7" s="68" t="n">
        <v>2</v>
      </c>
      <c r="V7" s="68" t="n">
        <v>3</v>
      </c>
      <c r="W7" s="68" t="n">
        <v>2</v>
      </c>
      <c r="X7" s="68" t="n">
        <v>3</v>
      </c>
      <c r="Y7" s="68" t="n">
        <v>2</v>
      </c>
      <c r="Z7" s="68" t="n">
        <v>3</v>
      </c>
      <c r="AA7" s="68" t="n">
        <v>2</v>
      </c>
      <c r="AB7" s="68" t="n">
        <v>3</v>
      </c>
      <c r="AC7" s="68" t="n">
        <v>2</v>
      </c>
      <c r="AD7" s="68" t="n">
        <v>3</v>
      </c>
      <c r="AE7" s="68" t="n">
        <v>2</v>
      </c>
      <c r="AF7" s="68" t="n">
        <v>3</v>
      </c>
      <c r="AG7" s="68" t="n">
        <v>2</v>
      </c>
      <c r="AH7" s="68" t="n">
        <v>3</v>
      </c>
    </row>
    <row r="8" customFormat="false" ht="15" hidden="false" customHeight="false" outlineLevel="0" collapsed="false">
      <c r="A8" s="60" t="s">
        <v>1415</v>
      </c>
      <c r="B8" s="62" t="s">
        <v>132</v>
      </c>
      <c r="C8" s="59" t="s">
        <v>809</v>
      </c>
      <c r="D8" s="59" t="s">
        <v>809</v>
      </c>
      <c r="E8" s="59" t="s">
        <v>809</v>
      </c>
      <c r="F8" s="59" t="s">
        <v>809</v>
      </c>
      <c r="G8" s="59" t="s">
        <v>809</v>
      </c>
      <c r="H8" s="59" t="s">
        <v>809</v>
      </c>
      <c r="I8" s="59" t="s">
        <v>809</v>
      </c>
      <c r="J8" s="59" t="s">
        <v>809</v>
      </c>
      <c r="K8" s="59" t="s">
        <v>809</v>
      </c>
      <c r="L8" s="59" t="s">
        <v>809</v>
      </c>
      <c r="M8" s="59" t="s">
        <v>809</v>
      </c>
      <c r="N8" s="59" t="s">
        <v>809</v>
      </c>
      <c r="O8" s="82" t="n">
        <v>0.3</v>
      </c>
      <c r="P8" s="82" t="n">
        <v>0.3</v>
      </c>
      <c r="Q8" s="82" t="n">
        <v>3</v>
      </c>
      <c r="R8" s="82" t="n">
        <v>3</v>
      </c>
      <c r="S8" s="59" t="s">
        <v>809</v>
      </c>
      <c r="T8" s="59" t="s">
        <v>809</v>
      </c>
      <c r="U8" s="59" t="s">
        <v>809</v>
      </c>
      <c r="V8" s="59" t="s">
        <v>809</v>
      </c>
      <c r="W8" s="59" t="s">
        <v>809</v>
      </c>
      <c r="X8" s="59" t="s">
        <v>809</v>
      </c>
      <c r="Y8" s="82" t="n">
        <v>0</v>
      </c>
      <c r="Z8" s="82" t="n">
        <v>0</v>
      </c>
      <c r="AA8" s="82" t="n">
        <v>3</v>
      </c>
      <c r="AB8" s="82" t="n">
        <v>3</v>
      </c>
      <c r="AC8" s="59" t="s">
        <v>809</v>
      </c>
      <c r="AD8" s="59" t="s">
        <v>809</v>
      </c>
      <c r="AE8" s="59" t="s">
        <v>809</v>
      </c>
      <c r="AF8" s="59" t="s">
        <v>809</v>
      </c>
      <c r="AG8" s="59" t="s">
        <v>809</v>
      </c>
      <c r="AH8" s="59" t="s">
        <v>809</v>
      </c>
    </row>
    <row r="9" customFormat="false" ht="15" hidden="false" customHeight="false" outlineLevel="0" collapsed="false">
      <c r="A9" s="77" t="s">
        <v>1269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</row>
    <row r="10" customFormat="false" ht="15" hidden="false" customHeight="false" outlineLevel="0" collapsed="false">
      <c r="A10" s="62" t="s">
        <v>1270</v>
      </c>
      <c r="B10" s="62" t="s">
        <v>526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1271</v>
      </c>
      <c r="B11" s="62" t="s">
        <v>132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1272</v>
      </c>
      <c r="B12" s="62" t="s">
        <v>526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1273</v>
      </c>
      <c r="B13" s="62" t="s">
        <v>127</v>
      </c>
      <c r="C13" s="66" t="n">
        <f aca="false">Train_In!$C$6</f>
        <v>0.25</v>
      </c>
      <c r="D13" s="66" t="n">
        <f aca="false">Train_In!$C$6</f>
        <v>0.25</v>
      </c>
      <c r="E13" s="81" t="n">
        <v>0.15</v>
      </c>
      <c r="F13" s="81" t="n">
        <v>0.15</v>
      </c>
      <c r="G13" s="81" t="n">
        <v>0.4</v>
      </c>
      <c r="H13" s="81" t="n">
        <v>0.4</v>
      </c>
      <c r="I13" s="66" t="n">
        <f aca="false">Train_In!$C$6</f>
        <v>0.25</v>
      </c>
      <c r="J13" s="66" t="n">
        <f aca="false">Train_In!$C$6</f>
        <v>0.25</v>
      </c>
      <c r="K13" s="66" t="n">
        <f aca="false">Train_In!$C$6</f>
        <v>0.25</v>
      </c>
      <c r="L13" s="66" t="n">
        <f aca="false">Train_In!$C$6</f>
        <v>0.25</v>
      </c>
      <c r="M13" s="66" t="n">
        <f aca="false">Train_In!$C$6</f>
        <v>0.25</v>
      </c>
      <c r="N13" s="66" t="n">
        <f aca="false">Train_In!$C$6</f>
        <v>0.25</v>
      </c>
      <c r="O13" s="66" t="n">
        <f aca="false">Train_In!$C$6</f>
        <v>0.25</v>
      </c>
      <c r="P13" s="66" t="n">
        <f aca="false">Train_In!$C$6</f>
        <v>0.25</v>
      </c>
      <c r="Q13" s="66" t="n">
        <f aca="false">Train_In!$C$6</f>
        <v>0.25</v>
      </c>
      <c r="R13" s="66" t="n">
        <f aca="false">Train_In!$C$6</f>
        <v>0.25</v>
      </c>
      <c r="S13" s="66" t="n">
        <f aca="false">Train_In!$C$6</f>
        <v>0.25</v>
      </c>
      <c r="T13" s="66" t="n">
        <f aca="false">Train_In!$C$6</f>
        <v>0.25</v>
      </c>
      <c r="U13" s="66" t="n">
        <f aca="false">Train_In!$C$6</f>
        <v>0.25</v>
      </c>
      <c r="V13" s="66" t="n">
        <f aca="false">Train_In!$C$6</f>
        <v>0.25</v>
      </c>
      <c r="W13" s="66" t="n">
        <f aca="false">Train_In!$C$6</f>
        <v>0.25</v>
      </c>
      <c r="X13" s="66" t="n">
        <f aca="false">Train_In!$C$6</f>
        <v>0.25</v>
      </c>
      <c r="Y13" s="66" t="n">
        <f aca="false">Train_In!$C$6</f>
        <v>0.25</v>
      </c>
      <c r="Z13" s="66" t="n">
        <f aca="false">Train_In!$C$6</f>
        <v>0.25</v>
      </c>
      <c r="AA13" s="66" t="n">
        <f aca="false">Train_In!$C$6</f>
        <v>0.25</v>
      </c>
      <c r="AB13" s="66" t="n">
        <f aca="false">Train_In!$C$6</f>
        <v>0.25</v>
      </c>
      <c r="AC13" s="66" t="n">
        <f aca="false">Train_In!$C$6</f>
        <v>0.25</v>
      </c>
      <c r="AD13" s="66" t="n">
        <f aca="false">Train_In!$C$6</f>
        <v>0.25</v>
      </c>
      <c r="AE13" s="66" t="n">
        <f aca="false">Train_In!$C$6</f>
        <v>0.25</v>
      </c>
      <c r="AF13" s="66" t="n">
        <f aca="false">Train_In!$C$6</f>
        <v>0.25</v>
      </c>
      <c r="AG13" s="66" t="n">
        <f aca="false">Train_In!$C$6</f>
        <v>0.25</v>
      </c>
      <c r="AH13" s="66" t="n">
        <f aca="false">Train_In!$C$6</f>
        <v>0.25</v>
      </c>
    </row>
    <row r="14" customFormat="false" ht="15" hidden="false" customHeight="false" outlineLevel="0" collapsed="false">
      <c r="A14" s="62" t="s">
        <v>1274</v>
      </c>
      <c r="B14" s="62" t="s">
        <v>132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1275</v>
      </c>
      <c r="B15" s="62" t="s">
        <v>132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1276</v>
      </c>
      <c r="B16" s="62" t="s">
        <v>127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1277</v>
      </c>
      <c r="B17" s="62" t="s">
        <v>127</v>
      </c>
      <c r="C17" s="66" t="n">
        <f aca="false">Train_In!$C$7</f>
        <v>0.9</v>
      </c>
      <c r="D17" s="66" t="n">
        <f aca="false">Train_In!$C$7</f>
        <v>0.9</v>
      </c>
      <c r="E17" s="66" t="n">
        <f aca="false">Train_In!$C$7</f>
        <v>0.9</v>
      </c>
      <c r="F17" s="66" t="n">
        <f aca="false">Train_In!$C$7</f>
        <v>0.9</v>
      </c>
      <c r="G17" s="66" t="n">
        <f aca="false">Train_In!$C$7</f>
        <v>0.9</v>
      </c>
      <c r="H17" s="66" t="n">
        <f aca="false">Train_In!$C$7</f>
        <v>0.9</v>
      </c>
      <c r="I17" s="66" t="n">
        <f aca="false">Train_In!$C$7</f>
        <v>0.9</v>
      </c>
      <c r="J17" s="66" t="n">
        <f aca="false">Train_In!$C$7</f>
        <v>0.9</v>
      </c>
      <c r="K17" s="66" t="n">
        <f aca="false">Train_In!$C$7</f>
        <v>0.9</v>
      </c>
      <c r="L17" s="66" t="n">
        <f aca="false">Train_In!$C$7</f>
        <v>0.9</v>
      </c>
      <c r="M17" s="66" t="n">
        <f aca="false">Train_In!$C$7</f>
        <v>0.9</v>
      </c>
      <c r="N17" s="66" t="n">
        <f aca="false">Train_In!$C$7</f>
        <v>0.9</v>
      </c>
      <c r="O17" s="66" t="n">
        <f aca="false">Train_In!$C$7</f>
        <v>0.9</v>
      </c>
      <c r="P17" s="66" t="n">
        <f aca="false">Train_In!$C$7</f>
        <v>0.9</v>
      </c>
      <c r="Q17" s="66" t="n">
        <f aca="false">Train_In!$C$7</f>
        <v>0.9</v>
      </c>
      <c r="R17" s="66" t="n">
        <f aca="false">Train_In!$C$7</f>
        <v>0.9</v>
      </c>
      <c r="S17" s="66" t="n">
        <f aca="false">Train_In!$C$7</f>
        <v>0.9</v>
      </c>
      <c r="T17" s="66" t="n">
        <f aca="false">Train_In!$C$7</f>
        <v>0.9</v>
      </c>
      <c r="U17" s="66" t="n">
        <f aca="false">Train_In!$C$7</f>
        <v>0.9</v>
      </c>
      <c r="V17" s="66" t="n">
        <f aca="false">Train_In!$C$7</f>
        <v>0.9</v>
      </c>
      <c r="W17" s="66" t="n">
        <f aca="false">Train_In!$C$7</f>
        <v>0.9</v>
      </c>
      <c r="X17" s="66" t="n">
        <f aca="false">Train_In!$C$7</f>
        <v>0.9</v>
      </c>
      <c r="Y17" s="66" t="n">
        <f aca="false">Train_In!$C$7</f>
        <v>0.9</v>
      </c>
      <c r="Z17" s="66" t="n">
        <f aca="false">Train_In!$C$7</f>
        <v>0.9</v>
      </c>
      <c r="AA17" s="66" t="n">
        <f aca="false">Train_In!$C$7</f>
        <v>0.9</v>
      </c>
      <c r="AB17" s="66" t="n">
        <f aca="false">Train_In!$C$7</f>
        <v>0.9</v>
      </c>
      <c r="AC17" s="66" t="n">
        <f aca="false">Train_In!$C$7</f>
        <v>0.9</v>
      </c>
      <c r="AD17" s="66" t="n">
        <f aca="false">Train_In!$C$7</f>
        <v>0.9</v>
      </c>
      <c r="AE17" s="66" t="n">
        <f aca="false">Train_In!$C$7</f>
        <v>0.9</v>
      </c>
      <c r="AF17" s="66" t="n">
        <f aca="false">Train_In!$C$7</f>
        <v>0.9</v>
      </c>
      <c r="AG17" s="81" t="n">
        <v>0.8</v>
      </c>
      <c r="AH17" s="81" t="n">
        <v>0.8</v>
      </c>
    </row>
    <row r="18" customFormat="false" ht="15" hidden="false" customHeight="false" outlineLevel="0" collapsed="false">
      <c r="A18" s="61" t="s">
        <v>1278</v>
      </c>
      <c r="B18" s="61" t="s">
        <v>926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1279</v>
      </c>
      <c r="B19" s="62" t="s">
        <v>1049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1281</v>
      </c>
      <c r="B20" s="62" t="s">
        <v>1049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7" t="s">
        <v>1283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</row>
    <row r="22" customFormat="false" ht="15" hidden="false" customHeight="false" outlineLevel="0" collapsed="false">
      <c r="A22" s="61" t="s">
        <v>313</v>
      </c>
      <c r="B22" s="62" t="s">
        <v>311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552</v>
      </c>
      <c r="B23" s="62" t="s">
        <v>355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330</v>
      </c>
      <c r="B24" s="62" t="s">
        <v>127</v>
      </c>
      <c r="C24" s="66" t="n">
        <f aca="false">INDEX(Arch!$C$16:$E$16,C$7)</f>
        <v>0.492</v>
      </c>
      <c r="D24" s="66" t="n">
        <f aca="false">INDEX(Arch!$C$16:$E$16,D$7)</f>
        <v>1</v>
      </c>
      <c r="E24" s="66" t="n">
        <f aca="false">INDEX(Arch!$C$16:$E$16,E$7)</f>
        <v>0.492</v>
      </c>
      <c r="F24" s="66" t="n">
        <f aca="false">INDEX(Arch!$C$16:$E$16,F$7)</f>
        <v>1</v>
      </c>
      <c r="G24" s="66" t="n">
        <f aca="false">INDEX(Arch!$C$16:$E$16,G$7)</f>
        <v>0.492</v>
      </c>
      <c r="H24" s="66" t="n">
        <f aca="false">INDEX(Arch!$C$16:$E$16,H$7)</f>
        <v>1</v>
      </c>
      <c r="I24" s="66" t="n">
        <f aca="false">INDEX(Arch!$C$16:$E$16,I$7)</f>
        <v>0.492</v>
      </c>
      <c r="J24" s="66" t="n">
        <f aca="false">INDEX(Arch!$C$16:$E$16,J$7)</f>
        <v>1</v>
      </c>
      <c r="K24" s="66" t="n">
        <f aca="false">INDEX(Arch!$C$16:$E$16,K$7)</f>
        <v>0.492</v>
      </c>
      <c r="L24" s="66" t="n">
        <f aca="false">INDEX(Arch!$C$16:$E$16,L$7)</f>
        <v>1</v>
      </c>
      <c r="M24" s="66" t="n">
        <f aca="false">INDEX(Arch!$C$16:$E$16,M$7)</f>
        <v>0.492</v>
      </c>
      <c r="N24" s="66" t="n">
        <f aca="false">INDEX(Arch!$C$16:$E$16,N$7)</f>
        <v>1</v>
      </c>
      <c r="O24" s="66" t="n">
        <f aca="false">INDEX(Arch!$C$16:$E$16,O$7)</f>
        <v>0.492</v>
      </c>
      <c r="P24" s="66" t="n">
        <f aca="false">INDEX(Arch!$C$16:$E$16,P$7)</f>
        <v>1</v>
      </c>
      <c r="Q24" s="66" t="n">
        <f aca="false">INDEX(Arch!$C$16:$E$16,Q$7)</f>
        <v>0.492</v>
      </c>
      <c r="R24" s="66" t="n">
        <f aca="false">INDEX(Arch!$C$16:$E$16,R$7)</f>
        <v>1</v>
      </c>
      <c r="S24" s="66" t="n">
        <f aca="false">INDEX(Arch!$C$16:$E$16,S$7)</f>
        <v>0.492</v>
      </c>
      <c r="T24" s="66" t="n">
        <f aca="false">INDEX(Arch!$C$16:$E$16,T$7)</f>
        <v>1</v>
      </c>
      <c r="U24" s="66" t="n">
        <f aca="false">INDEX(Arch!$C$16:$E$16,U$7)</f>
        <v>0.492</v>
      </c>
      <c r="V24" s="66" t="n">
        <f aca="false">INDEX(Arch!$C$16:$E$16,V$7)</f>
        <v>1</v>
      </c>
      <c r="W24" s="66" t="n">
        <f aca="false">INDEX(Arch!$C$16:$E$16,W$7)</f>
        <v>0.492</v>
      </c>
      <c r="X24" s="66" t="n">
        <f aca="false">INDEX(Arch!$C$16:$E$16,X$7)</f>
        <v>1</v>
      </c>
      <c r="Y24" s="66" t="n">
        <f aca="false">INDEX(Arch!$C$16:$E$16,Y$7)</f>
        <v>0.492</v>
      </c>
      <c r="Z24" s="66" t="n">
        <f aca="false">INDEX(Arch!$C$16:$E$16,Z$7)</f>
        <v>1</v>
      </c>
      <c r="AA24" s="66" t="n">
        <f aca="false">INDEX(Arch!$C$16:$E$16,AA$7)</f>
        <v>0.492</v>
      </c>
      <c r="AB24" s="66" t="n">
        <f aca="false">INDEX(Arch!$C$16:$E$16,AB$7)</f>
        <v>1</v>
      </c>
      <c r="AC24" s="66" t="n">
        <f aca="false">INDEX(Arch!$C$16:$E$16,AC$7)</f>
        <v>0.492</v>
      </c>
      <c r="AD24" s="66" t="n">
        <f aca="false">INDEX(Arch!$C$16:$E$16,AD$7)</f>
        <v>1</v>
      </c>
      <c r="AE24" s="66" t="n">
        <f aca="false">INDEX(Arch!$C$16:$E$16,AE$7)</f>
        <v>0.492</v>
      </c>
      <c r="AF24" s="66" t="n">
        <f aca="false">INDEX(Arch!$C$16:$E$16,AF$7)</f>
        <v>1</v>
      </c>
      <c r="AG24" s="66" t="n">
        <f aca="false">INDEX(Arch!$C$16:$E$16,AG$7)</f>
        <v>0.492</v>
      </c>
      <c r="AH24" s="66" t="n">
        <f aca="false">INDEX(Arch!$C$16:$E$16,AH$7)</f>
        <v>1</v>
      </c>
    </row>
    <row r="25" customFormat="false" ht="15" hidden="false" customHeight="false" outlineLevel="0" collapsed="false">
      <c r="A25" s="61" t="s">
        <v>938</v>
      </c>
      <c r="B25" s="62" t="s">
        <v>333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335</v>
      </c>
      <c r="B26" s="62" t="s">
        <v>132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337</v>
      </c>
      <c r="B27" s="62" t="s">
        <v>333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917</v>
      </c>
      <c r="B28" s="62" t="s">
        <v>132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7" t="s">
        <v>1284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</row>
    <row r="30" customFormat="false" ht="15" hidden="false" customHeight="false" outlineLevel="0" collapsed="false">
      <c r="A30" s="61" t="s">
        <v>1285</v>
      </c>
      <c r="B30" s="62" t="s">
        <v>132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2" t="n">
        <v>0.5</v>
      </c>
      <c r="L30" s="82" t="n">
        <v>0.5</v>
      </c>
      <c r="M30" s="82" t="n">
        <v>1.67</v>
      </c>
      <c r="N30" s="82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1174</v>
      </c>
      <c r="B31" s="62" t="s">
        <v>1175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1286</v>
      </c>
      <c r="B32" s="62" t="s">
        <v>333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1287</v>
      </c>
      <c r="B33" s="62" t="s">
        <v>333</v>
      </c>
      <c r="C33" s="69" t="n">
        <f aca="false">C32/2</f>
        <v>2048</v>
      </c>
      <c r="D33" s="69" t="n">
        <f aca="false">D32/2</f>
        <v>4096</v>
      </c>
      <c r="E33" s="69" t="n">
        <f aca="false">E32/2</f>
        <v>2048</v>
      </c>
      <c r="F33" s="69" t="n">
        <f aca="false">F32/2</f>
        <v>4096</v>
      </c>
      <c r="G33" s="69" t="n">
        <f aca="false">G32/2</f>
        <v>2048</v>
      </c>
      <c r="H33" s="69" t="n">
        <f aca="false">H32/2</f>
        <v>4096</v>
      </c>
      <c r="I33" s="69" t="n">
        <f aca="false">I32/2</f>
        <v>2048</v>
      </c>
      <c r="J33" s="69" t="n">
        <f aca="false">J32/2</f>
        <v>4096</v>
      </c>
      <c r="K33" s="69" t="n">
        <f aca="false">K32/2</f>
        <v>2048</v>
      </c>
      <c r="L33" s="69" t="n">
        <f aca="false">L32/2</f>
        <v>4096</v>
      </c>
      <c r="M33" s="69" t="n">
        <f aca="false">M32/2</f>
        <v>2048</v>
      </c>
      <c r="N33" s="69" t="n">
        <f aca="false">N32/2</f>
        <v>4096</v>
      </c>
      <c r="O33" s="69" t="n">
        <f aca="false">O32/2</f>
        <v>2048</v>
      </c>
      <c r="P33" s="69" t="n">
        <f aca="false">P32/2</f>
        <v>4096</v>
      </c>
      <c r="Q33" s="69" t="n">
        <f aca="false">Q32/2</f>
        <v>2048</v>
      </c>
      <c r="R33" s="69" t="n">
        <f aca="false">R32/2</f>
        <v>4096</v>
      </c>
      <c r="S33" s="69" t="n">
        <f aca="false">S32/2</f>
        <v>2048</v>
      </c>
      <c r="T33" s="69" t="n">
        <f aca="false">T32/2</f>
        <v>4096</v>
      </c>
      <c r="U33" s="69" t="n">
        <f aca="false">U32/2</f>
        <v>2048</v>
      </c>
      <c r="V33" s="69" t="n">
        <f aca="false">V32/2</f>
        <v>4096</v>
      </c>
      <c r="W33" s="69" t="n">
        <f aca="false">W32/2</f>
        <v>2048</v>
      </c>
      <c r="X33" s="69" t="n">
        <f aca="false">X32/2</f>
        <v>4096</v>
      </c>
      <c r="Y33" s="69" t="n">
        <f aca="false">Y32/2</f>
        <v>2048</v>
      </c>
      <c r="Z33" s="69" t="n">
        <f aca="false">Z32/2</f>
        <v>4096</v>
      </c>
      <c r="AA33" s="69" t="n">
        <f aca="false">AA32/2</f>
        <v>2048</v>
      </c>
      <c r="AB33" s="69" t="n">
        <f aca="false">AB32/2</f>
        <v>4096</v>
      </c>
      <c r="AC33" s="69" t="n">
        <f aca="false">AC32/2</f>
        <v>2048</v>
      </c>
      <c r="AD33" s="69" t="n">
        <f aca="false">AD32/2</f>
        <v>4096</v>
      </c>
      <c r="AE33" s="69" t="n">
        <f aca="false">AE32/2</f>
        <v>2048</v>
      </c>
      <c r="AF33" s="69" t="n">
        <f aca="false">AF32/2</f>
        <v>4096</v>
      </c>
      <c r="AG33" s="69" t="n">
        <f aca="false">AG32/2</f>
        <v>2048</v>
      </c>
      <c r="AH33" s="69" t="n">
        <f aca="false">AH32/2</f>
        <v>4096</v>
      </c>
    </row>
    <row r="34" customFormat="false" ht="15" hidden="false" customHeight="false" outlineLevel="0" collapsed="false">
      <c r="A34" s="61" t="s">
        <v>1288</v>
      </c>
      <c r="B34" s="62" t="s">
        <v>566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1290</v>
      </c>
      <c r="B35" s="62" t="s">
        <v>355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1291</v>
      </c>
      <c r="B36" s="62" t="s">
        <v>1292</v>
      </c>
      <c r="C36" s="72" t="n">
        <f aca="false">C35/(C12*1000000000000000*C16*1*C17)/3600</f>
        <v>1014631.66275273</v>
      </c>
      <c r="D36" s="72" t="n">
        <f aca="false">D35/(D12*1000000000000000*D16*1*D17)/3600</f>
        <v>5363423.76296296</v>
      </c>
      <c r="E36" s="72" t="n">
        <f aca="false">E35/(E12*1000000000000000*E16*1*E17)/3600</f>
        <v>1691052.77125456</v>
      </c>
      <c r="F36" s="72" t="n">
        <f aca="false">F35/(F12*1000000000000000*F16*1*F17)/3600</f>
        <v>8939039.60493827</v>
      </c>
      <c r="G36" s="72" t="n">
        <f aca="false">G35/(G12*1000000000000000*G16*1*G17)/3600</f>
        <v>634144.789220458</v>
      </c>
      <c r="H36" s="72" t="n">
        <f aca="false">H35/(H12*1000000000000000*H16*1*H17)/3600</f>
        <v>3352139.85185185</v>
      </c>
      <c r="I36" s="72" t="n">
        <f aca="false">I35/(I12*1000000000000000*I16*1*I17)/3600</f>
        <v>507315.831376367</v>
      </c>
      <c r="J36" s="72" t="n">
        <f aca="false">J35/(J12*1000000000000000*J16*1*J17)/3600</f>
        <v>2681711.88148148</v>
      </c>
      <c r="K36" s="72" t="n">
        <f aca="false">K35/(K12*1000000000000000*K16*1*K17)/3600</f>
        <v>507315.831376367</v>
      </c>
      <c r="L36" s="72" t="n">
        <f aca="false">L35/(L12*1000000000000000*L16*1*L17)/3600</f>
        <v>2681711.88148148</v>
      </c>
      <c r="M36" s="72" t="n">
        <f aca="false">M35/(M12*1000000000000000*M16*1*M17)/3600</f>
        <v>1694434.87679707</v>
      </c>
      <c r="N36" s="72" t="n">
        <f aca="false">N35/(N12*1000000000000000*N16*1*N17)/3600</f>
        <v>8956917.68414815</v>
      </c>
      <c r="O36" s="72" t="n">
        <f aca="false">O35/(O12*1000000000000000*O16*1*O17)/3600</f>
        <v>1014631.66275273</v>
      </c>
      <c r="P36" s="72" t="n">
        <f aca="false">P35/(P12*1000000000000000*P16*1*P17)/3600</f>
        <v>5363423.76296296</v>
      </c>
      <c r="Q36" s="72" t="n">
        <f aca="false">Q35/(Q12*1000000000000000*Q16*1*Q17)/3600</f>
        <v>1014631.66275273</v>
      </c>
      <c r="R36" s="72" t="n">
        <f aca="false">R35/(R12*1000000000000000*R16*1*R17)/3600</f>
        <v>5363423.76296296</v>
      </c>
      <c r="S36" s="72" t="n">
        <f aca="false">S35/(S12*1000000000000000*S16*1*S17)/3600</f>
        <v>1014631.66275273</v>
      </c>
      <c r="T36" s="72" t="n">
        <f aca="false">T35/(T12*1000000000000000*T16*1*T17)/3600</f>
        <v>5363423.76296296</v>
      </c>
      <c r="U36" s="72" t="n">
        <f aca="false">U35/(U12*1000000000000000*U16*1*U17)/3600</f>
        <v>1014631.66275273</v>
      </c>
      <c r="V36" s="72" t="n">
        <f aca="false">V35/(V12*1000000000000000*V16*1*V17)/3600</f>
        <v>5363423.76296296</v>
      </c>
      <c r="W36" s="72" t="n">
        <f aca="false">W35/(W12*1000000000000000*W16*1*W17)/3600</f>
        <v>1014631.66275273</v>
      </c>
      <c r="X36" s="72" t="n">
        <f aca="false">X35/(X12*1000000000000000*X16*1*X17)/3600</f>
        <v>5363423.76296296</v>
      </c>
      <c r="Y36" s="72" t="n">
        <f aca="false">Y35/(Y12*1000000000000000*Y16*1*Y17)/3600</f>
        <v>1014631.66275273</v>
      </c>
      <c r="Z36" s="72" t="n">
        <f aca="false">Z35/(Z12*1000000000000000*Z16*1*Z17)/3600</f>
        <v>5363423.76296296</v>
      </c>
      <c r="AA36" s="72" t="n">
        <f aca="false">AA35/(AA12*1000000000000000*AA16*1*AA17)/3600</f>
        <v>1014631.66275273</v>
      </c>
      <c r="AB36" s="72" t="n">
        <f aca="false">AB35/(AB12*1000000000000000*AB16*1*AB17)/3600</f>
        <v>5363423.76296296</v>
      </c>
      <c r="AC36" s="72" t="n">
        <f aca="false">AC35/(AC12*1000000000000000*AC16*1*AC17)/3600</f>
        <v>1014631.66275273</v>
      </c>
      <c r="AD36" s="72" t="n">
        <f aca="false">AD35/(AD12*1000000000000000*AD16*1*AD17)/3600</f>
        <v>5363423.76296296</v>
      </c>
      <c r="AE36" s="72" t="n">
        <f aca="false">AE35/(AE12*1000000000000000*AE16*1*AE17)/3600</f>
        <v>1014631.66275273</v>
      </c>
      <c r="AF36" s="72" t="n">
        <f aca="false">AF35/(AF12*1000000000000000*AF16*1*AF17)/3600</f>
        <v>5363423.76296296</v>
      </c>
      <c r="AG36" s="72" t="n">
        <f aca="false">AG35/(AG12*1000000000000000*AG16*1*AG17)/3600</f>
        <v>1141460.62059683</v>
      </c>
      <c r="AH36" s="72" t="n">
        <f aca="false">AH35/(AH12*1000000000000000*AH16*1*AH17)/3600</f>
        <v>6033851.73333333</v>
      </c>
    </row>
    <row r="37" customFormat="false" ht="15" hidden="false" customHeight="false" outlineLevel="0" collapsed="false">
      <c r="A37" s="77" t="s">
        <v>1293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</row>
    <row r="38" customFormat="false" ht="15" hidden="false" customHeight="false" outlineLevel="0" collapsed="false">
      <c r="A38" s="61" t="s">
        <v>1294</v>
      </c>
      <c r="B38" s="62" t="s">
        <v>1175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1286</v>
      </c>
      <c r="B39" s="62" t="s">
        <v>333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1295</v>
      </c>
      <c r="B40" s="62" t="s">
        <v>333</v>
      </c>
      <c r="C40" s="69" t="n">
        <f aca="false">C24*IF(C25=0,C39/2,MIN(C39/2,C25))+(1-C24)*(C39/2/C26+C27)</f>
        <v>2403.328</v>
      </c>
      <c r="D40" s="69" t="n">
        <f aca="false">D24*IF(D25=0,D39/2,MIN(D39/2,D25))+(1-D24)*(D39/2/D26+D27)</f>
        <v>65536</v>
      </c>
      <c r="E40" s="69" t="n">
        <f aca="false">E24*IF(E25=0,E39/2,MIN(E39/2,E25))+(1-E24)*(E39/2/E26+E27)</f>
        <v>2403.328</v>
      </c>
      <c r="F40" s="69" t="n">
        <f aca="false">F24*IF(F25=0,F39/2,MIN(F39/2,F25))+(1-F24)*(F39/2/F26+F27)</f>
        <v>65536</v>
      </c>
      <c r="G40" s="69" t="n">
        <f aca="false">G24*IF(G25=0,G39/2,MIN(G39/2,G25))+(1-G24)*(G39/2/G26+G27)</f>
        <v>2403.328</v>
      </c>
      <c r="H40" s="69" t="n">
        <f aca="false">H24*IF(H25=0,H39/2,MIN(H39/2,H25))+(1-H24)*(H39/2/H26+H27)</f>
        <v>65536</v>
      </c>
      <c r="I40" s="69" t="n">
        <f aca="false">I24*IF(I25=0,I39/2,MIN(I39/2,I25))+(1-I24)*(I39/2/I26+I27)</f>
        <v>2403.328</v>
      </c>
      <c r="J40" s="69" t="n">
        <f aca="false">J24*IF(J25=0,J39/2,MIN(J39/2,J25))+(1-J24)*(J39/2/J26+J27)</f>
        <v>65536</v>
      </c>
      <c r="K40" s="69" t="n">
        <f aca="false">K24*IF(K25=0,K39/2,MIN(K39/2,K25))+(1-K24)*(K39/2/K26+K27)</f>
        <v>2403.328</v>
      </c>
      <c r="L40" s="69" t="n">
        <f aca="false">L24*IF(L25=0,L39/2,MIN(L39/2,L25))+(1-L24)*(L39/2/L26+L27)</f>
        <v>65536</v>
      </c>
      <c r="M40" s="69" t="n">
        <f aca="false">M24*IF(M25=0,M39/2,MIN(M39/2,M25))+(1-M24)*(M39/2/M26+M27)</f>
        <v>2403.328</v>
      </c>
      <c r="N40" s="69" t="n">
        <f aca="false">N24*IF(N25=0,N39/2,MIN(N39/2,N25))+(1-N24)*(N39/2/N26+N27)</f>
        <v>65536</v>
      </c>
      <c r="O40" s="69" t="n">
        <f aca="false">O24*IF(O25=0,O39/2,MIN(O39/2,O25))+(1-O24)*(O39/2/O26+O27)</f>
        <v>2403.328</v>
      </c>
      <c r="P40" s="69" t="n">
        <f aca="false">P24*IF(P25=0,P39/2,MIN(P39/2,P25))+(1-P24)*(P39/2/P26+P27)</f>
        <v>65536</v>
      </c>
      <c r="Q40" s="69" t="n">
        <f aca="false">Q24*IF(Q25=0,Q39/2,MIN(Q39/2,Q25))+(1-Q24)*(Q39/2/Q26+Q27)</f>
        <v>2403.328</v>
      </c>
      <c r="R40" s="69" t="n">
        <f aca="false">R24*IF(R25=0,R39/2,MIN(R39/2,R25))+(1-R24)*(R39/2/R26+R27)</f>
        <v>65536</v>
      </c>
      <c r="S40" s="69" t="n">
        <f aca="false">S24*IF(S25=0,S39/2,MIN(S39/2,S25))+(1-S24)*(S39/2/S26+S27)</f>
        <v>2403.328</v>
      </c>
      <c r="T40" s="69" t="n">
        <f aca="false">T24*IF(T25=0,T39/2,MIN(T39/2,T25))+(1-T24)*(T39/2/T26+T27)</f>
        <v>65536</v>
      </c>
      <c r="U40" s="69" t="n">
        <f aca="false">U24*IF(U25=0,U39/2,MIN(U39/2,U25))+(1-U24)*(U39/2/U26+U27)</f>
        <v>2403.328</v>
      </c>
      <c r="V40" s="69" t="n">
        <f aca="false">V24*IF(V25=0,V39/2,MIN(V39/2,V25))+(1-V24)*(V39/2/V26+V27)</f>
        <v>65536</v>
      </c>
      <c r="W40" s="69" t="n">
        <f aca="false">W24*IF(W25=0,W39/2,MIN(W39/2,W25))+(1-W24)*(W39/2/W26+W27)</f>
        <v>2403.328</v>
      </c>
      <c r="X40" s="69" t="n">
        <f aca="false">X24*IF(X25=0,X39/2,MIN(X39/2,X25))+(1-X24)*(X39/2/X26+X27)</f>
        <v>65536</v>
      </c>
      <c r="Y40" s="69" t="n">
        <f aca="false">Y24*IF(Y25=0,Y39/2,MIN(Y39/2,Y25))+(1-Y24)*(Y39/2/Y26+Y27)</f>
        <v>2403.328</v>
      </c>
      <c r="Z40" s="69" t="n">
        <f aca="false">Z24*IF(Z25=0,Z39/2,MIN(Z39/2,Z25))+(1-Z24)*(Z39/2/Z26+Z27)</f>
        <v>65536</v>
      </c>
      <c r="AA40" s="69" t="n">
        <f aca="false">AA24*IF(AA25=0,AA39/2,MIN(AA39/2,AA25))+(1-AA24)*(AA39/2/AA26+AA27)</f>
        <v>2403.328</v>
      </c>
      <c r="AB40" s="69" t="n">
        <f aca="false">AB24*IF(AB25=0,AB39/2,MIN(AB39/2,AB25))+(1-AB24)*(AB39/2/AB26+AB27)</f>
        <v>65536</v>
      </c>
      <c r="AC40" s="69" t="n">
        <f aca="false">AC24*IF(AC25=0,AC39/2,MIN(AC39/2,AC25))+(1-AC24)*(AC39/2/AC26+AC27)</f>
        <v>2403.328</v>
      </c>
      <c r="AD40" s="69" t="n">
        <f aca="false">AD24*IF(AD25=0,AD39/2,MIN(AD39/2,AD25))+(1-AD24)*(AD39/2/AD26+AD27)</f>
        <v>65536</v>
      </c>
      <c r="AE40" s="69" t="n">
        <f aca="false">AE24*IF(AE25=0,AE39/2,MIN(AE39/2,AE25))+(1-AE24)*(AE39/2/AE26+AE27)</f>
        <v>2403.328</v>
      </c>
      <c r="AF40" s="69" t="n">
        <f aca="false">AF24*IF(AF25=0,AF39/2,MIN(AF39/2,AF25))+(1-AF24)*(AF39/2/AF26+AF27)</f>
        <v>65536</v>
      </c>
      <c r="AG40" s="69" t="n">
        <f aca="false">AG24*IF(AG25=0,AG39/2,MIN(AG39/2,AG25))+(1-AG24)*(AG39/2/AG26+AG27)</f>
        <v>2403.328</v>
      </c>
      <c r="AH40" s="69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1288</v>
      </c>
      <c r="B41" s="62" t="s">
        <v>566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1297</v>
      </c>
      <c r="B42" s="62" t="s">
        <v>355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1298</v>
      </c>
      <c r="B43" s="62" t="s">
        <v>1292</v>
      </c>
      <c r="C43" s="69" t="n">
        <f aca="false">C42/(C12*1000000000000000*C16*1*C17)/3600</f>
        <v>32082.5629463027</v>
      </c>
      <c r="D43" s="69" t="n">
        <f aca="false">D42/(D12*1000000000000000*D16*1*D17)/3600</f>
        <v>320810.133897707</v>
      </c>
      <c r="E43" s="69" t="n">
        <f aca="false">E42/(E12*1000000000000000*E16*1*E17)/3600</f>
        <v>53470.9382438378</v>
      </c>
      <c r="F43" s="69" t="n">
        <f aca="false">F42/(F12*1000000000000000*F16*1*F17)/3600</f>
        <v>534683.556496179</v>
      </c>
      <c r="G43" s="69" t="n">
        <f aca="false">G42/(G12*1000000000000000*G16*1*G17)/3600</f>
        <v>20051.6018414392</v>
      </c>
      <c r="H43" s="69" t="n">
        <f aca="false">H42/(H12*1000000000000000*H16*1*H17)/3600</f>
        <v>200506.333686067</v>
      </c>
      <c r="I43" s="69" t="n">
        <f aca="false">I42/(I12*1000000000000000*I16*1*I17)/3600</f>
        <v>16041.2814731513</v>
      </c>
      <c r="J43" s="69" t="n">
        <f aca="false">J42/(J12*1000000000000000*J16*1*J17)/3600</f>
        <v>160405.066948854</v>
      </c>
      <c r="K43" s="69" t="n">
        <f aca="false">K42/(K12*1000000000000000*K16*1*K17)/3600</f>
        <v>32082.5629463027</v>
      </c>
      <c r="L43" s="69" t="n">
        <f aca="false">L42/(L12*1000000000000000*L16*1*L17)/3600</f>
        <v>320810.133897707</v>
      </c>
      <c r="M43" s="69" t="n">
        <f aca="false">M42/(M12*1000000000000000*M16*1*M17)/3600</f>
        <v>32082.5629463027</v>
      </c>
      <c r="N43" s="69" t="n">
        <f aca="false">N42/(N12*1000000000000000*N16*1*N17)/3600</f>
        <v>320810.133897707</v>
      </c>
      <c r="O43" s="69" t="n">
        <f aca="false">O42/(O12*1000000000000000*O16*1*O17)/3600</f>
        <v>32082.5629463027</v>
      </c>
      <c r="P43" s="69" t="n">
        <f aca="false">P42/(P12*1000000000000000*P16*1*P17)/3600</f>
        <v>320810.133897707</v>
      </c>
      <c r="Q43" s="69" t="n">
        <f aca="false">Q42/(Q12*1000000000000000*Q16*1*Q17)/3600</f>
        <v>32082.5629463027</v>
      </c>
      <c r="R43" s="69" t="n">
        <f aca="false">R42/(R12*1000000000000000*R16*1*R17)/3600</f>
        <v>320810.133897707</v>
      </c>
      <c r="S43" s="69" t="n">
        <f aca="false">S42/(S12*1000000000000000*S16*1*S17)/3600</f>
        <v>32082.5629463027</v>
      </c>
      <c r="T43" s="69" t="n">
        <f aca="false">T42/(T12*1000000000000000*T16*1*T17)/3600</f>
        <v>320810.133897707</v>
      </c>
      <c r="U43" s="69" t="n">
        <f aca="false">U42/(U12*1000000000000000*U16*1*U17)/3600</f>
        <v>32082.5629463027</v>
      </c>
      <c r="V43" s="69" t="n">
        <f aca="false">V42/(V12*1000000000000000*V16*1*V17)/3600</f>
        <v>320810.133897707</v>
      </c>
      <c r="W43" s="69" t="n">
        <f aca="false">W42/(W12*1000000000000000*W16*1*W17)/3600</f>
        <v>32082.5629463027</v>
      </c>
      <c r="X43" s="69" t="n">
        <f aca="false">X42/(X12*1000000000000000*X16*1*X17)/3600</f>
        <v>320810.133897707</v>
      </c>
      <c r="Y43" s="69" t="n">
        <f aca="false">Y42/(Y12*1000000000000000*Y16*1*Y17)/3600</f>
        <v>32082.5629463027</v>
      </c>
      <c r="Z43" s="69" t="n">
        <f aca="false">Z42/(Z12*1000000000000000*Z16*1*Z17)/3600</f>
        <v>320810.133897707</v>
      </c>
      <c r="AA43" s="69" t="n">
        <f aca="false">AA42/(AA12*1000000000000000*AA16*1*AA17)/3600</f>
        <v>32082.5629463027</v>
      </c>
      <c r="AB43" s="69" t="n">
        <f aca="false">AB42/(AB12*1000000000000000*AB16*1*AB17)/3600</f>
        <v>320810.133897707</v>
      </c>
      <c r="AC43" s="69" t="n">
        <f aca="false">AC42/(AC12*1000000000000000*AC16*1*AC17)/3600</f>
        <v>32082.5629463027</v>
      </c>
      <c r="AD43" s="69" t="n">
        <f aca="false">AD42/(AD12*1000000000000000*AD16*1*AD17)/3600</f>
        <v>320810.133897707</v>
      </c>
      <c r="AE43" s="69" t="n">
        <f aca="false">AE42/(AE12*1000000000000000*AE16*1*AE17)/3600</f>
        <v>32082.5629463027</v>
      </c>
      <c r="AF43" s="69" t="n">
        <f aca="false">AF42/(AF12*1000000000000000*AF16*1*AF17)/3600</f>
        <v>320810.133897707</v>
      </c>
      <c r="AG43" s="69" t="n">
        <f aca="false">AG42/(AG12*1000000000000000*AG16*1*AG17)/3600</f>
        <v>36092.8833145905</v>
      </c>
      <c r="AH43" s="69" t="n">
        <f aca="false">AH42/(AH12*1000000000000000*AH16*1*AH17)/3600</f>
        <v>360911.400634921</v>
      </c>
    </row>
    <row r="44" customFormat="false" ht="15" hidden="false" customHeight="false" outlineLevel="0" collapsed="false">
      <c r="A44" s="77" t="s">
        <v>1299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</row>
    <row r="45" customFormat="false" ht="15" hidden="false" customHeight="false" outlineLevel="0" collapsed="false">
      <c r="A45" s="62" t="s">
        <v>1182</v>
      </c>
      <c r="B45" s="62" t="s">
        <v>1175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1286</v>
      </c>
      <c r="B46" s="62" t="s">
        <v>333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1295</v>
      </c>
      <c r="B47" s="62" t="s">
        <v>333</v>
      </c>
      <c r="C47" s="69" t="n">
        <f aca="false">C24*IF(C25=0,C46/2,MIN(C46/2,C25))+(1-C24)*(C46/2/C26+C27)</f>
        <v>2175.744</v>
      </c>
      <c r="D47" s="69" t="n">
        <f aca="false">D24*IF(D25=0,D46/2,MIN(D46/2,D25))+(1-D24)*(D46/2/D26+D27)</f>
        <v>8192</v>
      </c>
      <c r="E47" s="69" t="n">
        <f aca="false">E24*IF(E25=0,E46/2,MIN(E46/2,E25))+(1-E24)*(E46/2/E26+E27)</f>
        <v>2175.744</v>
      </c>
      <c r="F47" s="69" t="n">
        <f aca="false">F24*IF(F25=0,F46/2,MIN(F46/2,F25))+(1-F24)*(F46/2/F26+F27)</f>
        <v>8192</v>
      </c>
      <c r="G47" s="69" t="n">
        <f aca="false">G24*IF(G25=0,G46/2,MIN(G46/2,G25))+(1-G24)*(G46/2/G26+G27)</f>
        <v>2175.744</v>
      </c>
      <c r="H47" s="69" t="n">
        <f aca="false">H24*IF(H25=0,H46/2,MIN(H46/2,H25))+(1-H24)*(H46/2/H26+H27)</f>
        <v>8192</v>
      </c>
      <c r="I47" s="69" t="n">
        <f aca="false">I24*IF(I25=0,I46/2,MIN(I46/2,I25))+(1-I24)*(I46/2/I26+I27)</f>
        <v>2175.744</v>
      </c>
      <c r="J47" s="69" t="n">
        <f aca="false">J24*IF(J25=0,J46/2,MIN(J46/2,J25))+(1-J24)*(J46/2/J26+J27)</f>
        <v>8192</v>
      </c>
      <c r="K47" s="69" t="n">
        <f aca="false">K24*IF(K25=0,K46/2,MIN(K46/2,K25))+(1-K24)*(K46/2/K26+K27)</f>
        <v>2175.744</v>
      </c>
      <c r="L47" s="69" t="n">
        <f aca="false">L24*IF(L25=0,L46/2,MIN(L46/2,L25))+(1-L24)*(L46/2/L26+L27)</f>
        <v>8192</v>
      </c>
      <c r="M47" s="69" t="n">
        <f aca="false">M24*IF(M25=0,M46/2,MIN(M46/2,M25))+(1-M24)*(M46/2/M26+M27)</f>
        <v>2175.744</v>
      </c>
      <c r="N47" s="69" t="n">
        <f aca="false">N24*IF(N25=0,N46/2,MIN(N46/2,N25))+(1-N24)*(N46/2/N26+N27)</f>
        <v>8192</v>
      </c>
      <c r="O47" s="69" t="n">
        <f aca="false">O24*IF(O25=0,O46/2,MIN(O46/2,O25))+(1-O24)*(O46/2/O26+O27)</f>
        <v>2175.744</v>
      </c>
      <c r="P47" s="69" t="n">
        <f aca="false">P24*IF(P25=0,P46/2,MIN(P46/2,P25))+(1-P24)*(P46/2/P26+P27)</f>
        <v>8192</v>
      </c>
      <c r="Q47" s="69" t="n">
        <f aca="false">Q24*IF(Q25=0,Q46/2,MIN(Q46/2,Q25))+(1-Q24)*(Q46/2/Q26+Q27)</f>
        <v>2175.744</v>
      </c>
      <c r="R47" s="69" t="n">
        <f aca="false">R24*IF(R25=0,R46/2,MIN(R46/2,R25))+(1-R24)*(R46/2/R26+R27)</f>
        <v>8192</v>
      </c>
      <c r="S47" s="69" t="n">
        <f aca="false">S24*IF(S25=0,S46/2,MIN(S46/2,S25))+(1-S24)*(S46/2/S26+S27)</f>
        <v>2175.744</v>
      </c>
      <c r="T47" s="69" t="n">
        <f aca="false">T24*IF(T25=0,T46/2,MIN(T46/2,T25))+(1-T24)*(T46/2/T26+T27)</f>
        <v>8192</v>
      </c>
      <c r="U47" s="69" t="n">
        <f aca="false">U24*IF(U25=0,U46/2,MIN(U46/2,U25))+(1-U24)*(U46/2/U26+U27)</f>
        <v>2175.744</v>
      </c>
      <c r="V47" s="69" t="n">
        <f aca="false">V24*IF(V25=0,V46/2,MIN(V46/2,V25))+(1-V24)*(V46/2/V26+V27)</f>
        <v>8192</v>
      </c>
      <c r="W47" s="69" t="n">
        <f aca="false">W24*IF(W25=0,W46/2,MIN(W46/2,W25))+(1-W24)*(W46/2/W26+W27)</f>
        <v>2175.744</v>
      </c>
      <c r="X47" s="69" t="n">
        <f aca="false">X24*IF(X25=0,X46/2,MIN(X46/2,X25))+(1-X24)*(X46/2/X26+X27)</f>
        <v>8192</v>
      </c>
      <c r="Y47" s="69" t="n">
        <f aca="false">Y24*IF(Y25=0,Y46/2,MIN(Y46/2,Y25))+(1-Y24)*(Y46/2/Y26+Y27)</f>
        <v>2175.744</v>
      </c>
      <c r="Z47" s="69" t="n">
        <f aca="false">Z24*IF(Z25=0,Z46/2,MIN(Z46/2,Z25))+(1-Z24)*(Z46/2/Z26+Z27)</f>
        <v>8192</v>
      </c>
      <c r="AA47" s="69" t="n">
        <f aca="false">AA24*IF(AA25=0,AA46/2,MIN(AA46/2,AA25))+(1-AA24)*(AA46/2/AA26+AA27)</f>
        <v>2175.744</v>
      </c>
      <c r="AB47" s="69" t="n">
        <f aca="false">AB24*IF(AB25=0,AB46/2,MIN(AB46/2,AB25))+(1-AB24)*(AB46/2/AB26+AB27)</f>
        <v>8192</v>
      </c>
      <c r="AC47" s="69" t="n">
        <f aca="false">AC24*IF(AC25=0,AC46/2,MIN(AC46/2,AC25))+(1-AC24)*(AC46/2/AC26+AC27)</f>
        <v>2175.744</v>
      </c>
      <c r="AD47" s="69" t="n">
        <f aca="false">AD24*IF(AD25=0,AD46/2,MIN(AD46/2,AD25))+(1-AD24)*(AD46/2/AD26+AD27)</f>
        <v>8192</v>
      </c>
      <c r="AE47" s="69" t="n">
        <f aca="false">AE24*IF(AE25=0,AE46/2,MIN(AE46/2,AE25))+(1-AE24)*(AE46/2/AE26+AE27)</f>
        <v>2175.744</v>
      </c>
      <c r="AF47" s="69" t="n">
        <f aca="false">AF24*IF(AF25=0,AF46/2,MIN(AF46/2,AF25))+(1-AF24)*(AF46/2/AF26+AF27)</f>
        <v>8192</v>
      </c>
      <c r="AG47" s="69" t="n">
        <f aca="false">AG24*IF(AG25=0,AG46/2,MIN(AG46/2,AG25))+(1-AG24)*(AG46/2/AG26+AG27)</f>
        <v>2175.744</v>
      </c>
      <c r="AH47" s="69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1288</v>
      </c>
      <c r="B48" s="62" t="s">
        <v>566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1300</v>
      </c>
      <c r="B49" s="62" t="s">
        <v>355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1301</v>
      </c>
      <c r="B50" s="62" t="s">
        <v>132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1302</v>
      </c>
      <c r="B51" s="62" t="s">
        <v>1292</v>
      </c>
      <c r="C51" s="69" t="n">
        <f aca="false">C49/(C12*1000000000000000*C16*C50*C17)/3600</f>
        <v>1951.67331486326</v>
      </c>
      <c r="D51" s="69" t="n">
        <f aca="false">D49/(D12*1000000000000000*D16*D50*D17)/3600</f>
        <v>11765.5884303351</v>
      </c>
      <c r="E51" s="69" t="n">
        <f aca="false">E49/(E12*1000000000000000*E16*E50*E17)/3600</f>
        <v>3252.78885810543</v>
      </c>
      <c r="F51" s="69" t="n">
        <f aca="false">F49/(F12*1000000000000000*F16*F50*F17)/3600</f>
        <v>19609.3140505585</v>
      </c>
      <c r="G51" s="69" t="n">
        <f aca="false">G49/(G12*1000000000000000*G16*G50*G17)/3600</f>
        <v>1219.79582178954</v>
      </c>
      <c r="H51" s="69" t="n">
        <f aca="false">H49/(H12*1000000000000000*H16*H50*H17)/3600</f>
        <v>7353.49276895943</v>
      </c>
      <c r="I51" s="69" t="n">
        <f aca="false">I49/(I12*1000000000000000*I16*I50*I17)/3600</f>
        <v>975.836657431629</v>
      </c>
      <c r="J51" s="69" t="n">
        <f aca="false">J49/(J12*1000000000000000*J16*J50*J17)/3600</f>
        <v>5882.79421516755</v>
      </c>
      <c r="K51" s="69" t="n">
        <f aca="false">K49/(K12*1000000000000000*K16*K50*K17)/3600</f>
        <v>1951.67331486326</v>
      </c>
      <c r="L51" s="69" t="n">
        <f aca="false">L49/(L12*1000000000000000*L16*L50*L17)/3600</f>
        <v>11765.5884303351</v>
      </c>
      <c r="M51" s="69" t="n">
        <f aca="false">M49/(M12*1000000000000000*M16*M50*M17)/3600</f>
        <v>1951.67331486326</v>
      </c>
      <c r="N51" s="69" t="n">
        <f aca="false">N49/(N12*1000000000000000*N16*N50*N17)/3600</f>
        <v>11765.5884303351</v>
      </c>
      <c r="O51" s="69" t="n">
        <f aca="false">O49/(O12*1000000000000000*O16*O50*O17)/3600</f>
        <v>1951.67331486326</v>
      </c>
      <c r="P51" s="69" t="n">
        <f aca="false">P49/(P12*1000000000000000*P16*P50*P17)/3600</f>
        <v>11765.5884303351</v>
      </c>
      <c r="Q51" s="69" t="n">
        <f aca="false">Q49/(Q12*1000000000000000*Q16*Q50*Q17)/3600</f>
        <v>1951.67331486326</v>
      </c>
      <c r="R51" s="69" t="n">
        <f aca="false">R49/(R12*1000000000000000*R16*R50*R17)/3600</f>
        <v>11765.5884303351</v>
      </c>
      <c r="S51" s="69" t="n">
        <f aca="false">S49/(S12*1000000000000000*S16*S50*S17)/3600</f>
        <v>1951.67331486326</v>
      </c>
      <c r="T51" s="69" t="n">
        <f aca="false">T49/(T12*1000000000000000*T16*T50*T17)/3600</f>
        <v>11765.5884303351</v>
      </c>
      <c r="U51" s="69" t="n">
        <f aca="false">U49/(U12*1000000000000000*U16*U50*U17)/3600</f>
        <v>1951.67331486326</v>
      </c>
      <c r="V51" s="69" t="n">
        <f aca="false">V49/(V12*1000000000000000*V16*V50*V17)/3600</f>
        <v>11765.5884303351</v>
      </c>
      <c r="W51" s="69" t="n">
        <f aca="false">W49/(W12*1000000000000000*W16*W50*W17)/3600</f>
        <v>1951.67331486326</v>
      </c>
      <c r="X51" s="69" t="n">
        <f aca="false">X49/(X12*1000000000000000*X16*X50*X17)/3600</f>
        <v>11765.5884303351</v>
      </c>
      <c r="Y51" s="69" t="n">
        <f aca="false">Y49/(Y12*1000000000000000*Y16*Y50*Y17)/3600</f>
        <v>1951.67331486326</v>
      </c>
      <c r="Z51" s="69" t="n">
        <f aca="false">Z49/(Z12*1000000000000000*Z16*Z50*Z17)/3600</f>
        <v>11765.5884303351</v>
      </c>
      <c r="AA51" s="69" t="n">
        <f aca="false">AA49/(AA12*1000000000000000*AA16*AA50*AA17)/3600</f>
        <v>1951.67331486326</v>
      </c>
      <c r="AB51" s="69" t="n">
        <f aca="false">AB49/(AB12*1000000000000000*AB16*AB50*AB17)/3600</f>
        <v>11765.5884303351</v>
      </c>
      <c r="AC51" s="69" t="n">
        <f aca="false">AC49/(AC12*1000000000000000*AC16*AC50*AC17)/3600</f>
        <v>1951.67331486326</v>
      </c>
      <c r="AD51" s="69" t="n">
        <f aca="false">AD49/(AD12*1000000000000000*AD16*AD50*AD17)/3600</f>
        <v>11765.5884303351</v>
      </c>
      <c r="AE51" s="69" t="n">
        <f aca="false">AE49/(AE12*1000000000000000*AE16*AE50*AE17)/3600</f>
        <v>1951.67331486326</v>
      </c>
      <c r="AF51" s="69" t="n">
        <f aca="false">AF49/(AF12*1000000000000000*AF16*AF50*AF17)/3600</f>
        <v>11765.5884303351</v>
      </c>
      <c r="AG51" s="69" t="n">
        <f aca="false">AG49/(AG12*1000000000000000*AG16*AG50*AG17)/3600</f>
        <v>2195.63247922116</v>
      </c>
      <c r="AH51" s="69" t="n">
        <f aca="false">AH49/(AH12*1000000000000000*AH16*AH50*AH17)/3600</f>
        <v>13236.286984127</v>
      </c>
    </row>
    <row r="52" customFormat="false" ht="15" hidden="false" customHeight="false" outlineLevel="0" collapsed="false">
      <c r="A52" s="77" t="s">
        <v>1303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</row>
    <row r="53" customFormat="false" ht="15" hidden="false" customHeight="false" outlineLevel="0" collapsed="false">
      <c r="A53" s="62" t="s">
        <v>1304</v>
      </c>
      <c r="B53" s="62" t="s">
        <v>1175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1305</v>
      </c>
      <c r="B54" s="62" t="s">
        <v>333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1306</v>
      </c>
      <c r="B55" s="62" t="s">
        <v>333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1307</v>
      </c>
      <c r="B56" s="61" t="s">
        <v>370</v>
      </c>
      <c r="C56" s="69" t="n">
        <f aca="false">C53*1000000000000/C55</f>
        <v>144042968.75</v>
      </c>
      <c r="D56" s="69" t="n">
        <f aca="false">D53*1000000000000/D55</f>
        <v>292968750</v>
      </c>
      <c r="E56" s="69" t="n">
        <f aca="false">E53*1000000000000/E55</f>
        <v>144042968.75</v>
      </c>
      <c r="F56" s="69" t="n">
        <f aca="false">F53*1000000000000/F55</f>
        <v>292968750</v>
      </c>
      <c r="G56" s="69" t="n">
        <f aca="false">G53*1000000000000/G55</f>
        <v>144042968.75</v>
      </c>
      <c r="H56" s="69" t="n">
        <f aca="false">H53*1000000000000/H55</f>
        <v>292968750</v>
      </c>
      <c r="I56" s="69" t="n">
        <f aca="false">I53*1000000000000/I55</f>
        <v>144042968.75</v>
      </c>
      <c r="J56" s="69" t="n">
        <f aca="false">J53*1000000000000/J55</f>
        <v>292968750</v>
      </c>
      <c r="K56" s="69" t="n">
        <f aca="false">K53*1000000000000/K55</f>
        <v>144042968.75</v>
      </c>
      <c r="L56" s="69" t="n">
        <f aca="false">L53*1000000000000/L55</f>
        <v>292968750</v>
      </c>
      <c r="M56" s="69" t="n">
        <f aca="false">M53*1000000000000/M55</f>
        <v>144042968.75</v>
      </c>
      <c r="N56" s="69" t="n">
        <f aca="false">N53*1000000000000/N55</f>
        <v>292968750</v>
      </c>
      <c r="O56" s="69" t="n">
        <f aca="false">O53*1000000000000/O55</f>
        <v>43212890.625</v>
      </c>
      <c r="P56" s="69" t="n">
        <f aca="false">P53*1000000000000/P55</f>
        <v>87890625</v>
      </c>
      <c r="Q56" s="69" t="n">
        <f aca="false">Q53*1000000000000/Q55</f>
        <v>432128906.25</v>
      </c>
      <c r="R56" s="69" t="n">
        <f aca="false">R53*1000000000000/R55</f>
        <v>878906250</v>
      </c>
      <c r="S56" s="69" t="n">
        <f aca="false">S53*1000000000000/S55</f>
        <v>144042968.75</v>
      </c>
      <c r="T56" s="69" t="n">
        <f aca="false">T53*1000000000000/T55</f>
        <v>292968750</v>
      </c>
      <c r="U56" s="69" t="n">
        <f aca="false">U53*1000000000000/U55</f>
        <v>144042968.75</v>
      </c>
      <c r="V56" s="69" t="n">
        <f aca="false">V53*1000000000000/V55</f>
        <v>292968750</v>
      </c>
      <c r="W56" s="69" t="n">
        <f aca="false">W53*1000000000000/W55</f>
        <v>144042968.75</v>
      </c>
      <c r="X56" s="69" t="n">
        <f aca="false">X53*1000000000000/X55</f>
        <v>292968750</v>
      </c>
      <c r="Y56" s="69" t="n">
        <f aca="false">Y53*1000000000000/Y55</f>
        <v>144042968.75</v>
      </c>
      <c r="Z56" s="69" t="n">
        <f aca="false">Z53*1000000000000/Z55</f>
        <v>292968750</v>
      </c>
      <c r="AA56" s="69" t="n">
        <f aca="false">AA53*1000000000000/AA55</f>
        <v>144042968.75</v>
      </c>
      <c r="AB56" s="69" t="n">
        <f aca="false">AB53*1000000000000/AB55</f>
        <v>292968750</v>
      </c>
      <c r="AC56" s="69" t="n">
        <f aca="false">AC53*1000000000000/AC55</f>
        <v>144042968.75</v>
      </c>
      <c r="AD56" s="69" t="n">
        <f aca="false">AD53*1000000000000/AD55</f>
        <v>292968750</v>
      </c>
      <c r="AE56" s="69" t="n">
        <f aca="false">AE53*1000000000000/AE55</f>
        <v>144042968.75</v>
      </c>
      <c r="AF56" s="69" t="n">
        <f aca="false">AF53*1000000000000/AF55</f>
        <v>292968750</v>
      </c>
      <c r="AG56" s="69" t="n">
        <f aca="false">AG53*1000000000000/AG55</f>
        <v>144042968.75</v>
      </c>
      <c r="AH56" s="69" t="n">
        <f aca="false">AH53*1000000000000/AH55</f>
        <v>292968750</v>
      </c>
    </row>
    <row r="57" customFormat="false" ht="15" hidden="false" customHeight="false" outlineLevel="0" collapsed="false">
      <c r="A57" s="62" t="s">
        <v>1308</v>
      </c>
      <c r="B57" s="61" t="s">
        <v>370</v>
      </c>
      <c r="C57" s="90" t="n">
        <f aca="false">Train_In!$C$12</f>
        <v>16</v>
      </c>
      <c r="D57" s="90" t="n">
        <f aca="false">Train_In!$C$12</f>
        <v>16</v>
      </c>
      <c r="E57" s="90" t="n">
        <f aca="false">Train_In!$C$12</f>
        <v>16</v>
      </c>
      <c r="F57" s="90" t="n">
        <f aca="false">Train_In!$C$12</f>
        <v>16</v>
      </c>
      <c r="G57" s="90" t="n">
        <f aca="false">Train_In!$C$12</f>
        <v>16</v>
      </c>
      <c r="H57" s="90" t="n">
        <f aca="false">Train_In!$C$12</f>
        <v>16</v>
      </c>
      <c r="I57" s="90" t="n">
        <f aca="false">Train_In!$C$12</f>
        <v>16</v>
      </c>
      <c r="J57" s="90" t="n">
        <f aca="false">Train_In!$C$12</f>
        <v>16</v>
      </c>
      <c r="K57" s="90" t="n">
        <f aca="false">Train_In!$C$12</f>
        <v>16</v>
      </c>
      <c r="L57" s="90" t="n">
        <f aca="false">Train_In!$C$12</f>
        <v>16</v>
      </c>
      <c r="M57" s="90" t="n">
        <f aca="false">Train_In!$C$12</f>
        <v>16</v>
      </c>
      <c r="N57" s="90" t="n">
        <f aca="false">Train_In!$C$12</f>
        <v>16</v>
      </c>
      <c r="O57" s="90" t="n">
        <f aca="false">Train_In!$C$12</f>
        <v>16</v>
      </c>
      <c r="P57" s="90" t="n">
        <f aca="false">Train_In!$C$12</f>
        <v>16</v>
      </c>
      <c r="Q57" s="90" t="n">
        <f aca="false">Train_In!$C$12</f>
        <v>16</v>
      </c>
      <c r="R57" s="90" t="n">
        <f aca="false">Train_In!$C$12</f>
        <v>16</v>
      </c>
      <c r="S57" s="90" t="n">
        <f aca="false">Train_In!$C$12</f>
        <v>16</v>
      </c>
      <c r="T57" s="90" t="n">
        <f aca="false">Train_In!$C$12</f>
        <v>16</v>
      </c>
      <c r="U57" s="90" t="n">
        <f aca="false">Train_In!$C$12</f>
        <v>16</v>
      </c>
      <c r="V57" s="90" t="n">
        <f aca="false">Train_In!$C$12</f>
        <v>16</v>
      </c>
      <c r="W57" s="90" t="n">
        <f aca="false">Train_In!$C$12</f>
        <v>16</v>
      </c>
      <c r="X57" s="90" t="n">
        <f aca="false">Train_In!$C$12</f>
        <v>16</v>
      </c>
      <c r="Y57" s="90" t="n">
        <f aca="false">Train_In!$C$12</f>
        <v>16</v>
      </c>
      <c r="Z57" s="90" t="n">
        <f aca="false">Train_In!$C$12</f>
        <v>16</v>
      </c>
      <c r="AA57" s="90" t="n">
        <f aca="false">Train_In!$C$12</f>
        <v>16</v>
      </c>
      <c r="AB57" s="90" t="n">
        <f aca="false">Train_In!$C$12</f>
        <v>16</v>
      </c>
      <c r="AC57" s="90" t="n">
        <f aca="false">Train_In!$C$12</f>
        <v>16</v>
      </c>
      <c r="AD57" s="90" t="n">
        <f aca="false">Train_In!$C$12</f>
        <v>16</v>
      </c>
      <c r="AE57" s="90" t="n">
        <f aca="false">Train_In!$C$12</f>
        <v>16</v>
      </c>
      <c r="AF57" s="90" t="n">
        <f aca="false">Train_In!$C$12</f>
        <v>16</v>
      </c>
      <c r="AG57" s="90" t="n">
        <f aca="false">Train_In!$C$12</f>
        <v>16</v>
      </c>
      <c r="AH57" s="90" t="n">
        <f aca="false">Train_In!$C$12</f>
        <v>16</v>
      </c>
    </row>
    <row r="58" customFormat="false" ht="15" hidden="false" customHeight="false" outlineLevel="0" collapsed="false">
      <c r="A58" s="61" t="s">
        <v>1309</v>
      </c>
      <c r="B58" s="62" t="s">
        <v>1175</v>
      </c>
      <c r="C58" s="73" t="n">
        <f aca="false">C56*C54/C57/1000000000000</f>
        <v>0.07375</v>
      </c>
      <c r="D58" s="73" t="n">
        <f aca="false">D56*D54/D57/1000000000000</f>
        <v>0.3</v>
      </c>
      <c r="E58" s="73" t="n">
        <f aca="false">E56*E54/E57/1000000000000</f>
        <v>0.07375</v>
      </c>
      <c r="F58" s="73" t="n">
        <f aca="false">F56*F54/F57/1000000000000</f>
        <v>0.3</v>
      </c>
      <c r="G58" s="73" t="n">
        <f aca="false">G56*G54/G57/1000000000000</f>
        <v>0.07375</v>
      </c>
      <c r="H58" s="73" t="n">
        <f aca="false">H56*H54/H57/1000000000000</f>
        <v>0.3</v>
      </c>
      <c r="I58" s="73" t="n">
        <f aca="false">I56*I54/I57/1000000000000</f>
        <v>0.07375</v>
      </c>
      <c r="J58" s="73" t="n">
        <f aca="false">J56*J54/J57/1000000000000</f>
        <v>0.3</v>
      </c>
      <c r="K58" s="73" t="n">
        <f aca="false">K56*K54/K57/1000000000000</f>
        <v>0.07375</v>
      </c>
      <c r="L58" s="73" t="n">
        <f aca="false">L56*L54/L57/1000000000000</f>
        <v>0.3</v>
      </c>
      <c r="M58" s="73" t="n">
        <f aca="false">M56*M54/M57/1000000000000</f>
        <v>0.07375</v>
      </c>
      <c r="N58" s="73" t="n">
        <f aca="false">N56*N54/N57/1000000000000</f>
        <v>0.3</v>
      </c>
      <c r="O58" s="73" t="n">
        <f aca="false">O56*O54/O57/1000000000000</f>
        <v>0.022125</v>
      </c>
      <c r="P58" s="73" t="n">
        <f aca="false">P56*P54/P57/1000000000000</f>
        <v>0.09</v>
      </c>
      <c r="Q58" s="73" t="n">
        <f aca="false">Q56*Q54/Q57/1000000000000</f>
        <v>0.22125</v>
      </c>
      <c r="R58" s="73" t="n">
        <f aca="false">R56*R54/R57/1000000000000</f>
        <v>0.9</v>
      </c>
      <c r="S58" s="73" t="n">
        <f aca="false">S56*S54/S57/1000000000000</f>
        <v>0.07375</v>
      </c>
      <c r="T58" s="73" t="n">
        <f aca="false">T56*T54/T57/1000000000000</f>
        <v>0.3</v>
      </c>
      <c r="U58" s="73" t="n">
        <f aca="false">U56*U54/U57/1000000000000</f>
        <v>0.07375</v>
      </c>
      <c r="V58" s="73" t="n">
        <f aca="false">V56*V54/V57/1000000000000</f>
        <v>0.3</v>
      </c>
      <c r="W58" s="73" t="n">
        <f aca="false">W56*W54/W57/1000000000000</f>
        <v>0.07375</v>
      </c>
      <c r="X58" s="73" t="n">
        <f aca="false">X56*X54/X57/1000000000000</f>
        <v>0.3</v>
      </c>
      <c r="Y58" s="73" t="n">
        <f aca="false">Y56*Y54/Y57/1000000000000</f>
        <v>0.07375</v>
      </c>
      <c r="Z58" s="73" t="n">
        <f aca="false">Z56*Z54/Z57/1000000000000</f>
        <v>0.3</v>
      </c>
      <c r="AA58" s="73" t="n">
        <f aca="false">AA56*AA54/AA57/1000000000000</f>
        <v>0.07375</v>
      </c>
      <c r="AB58" s="73" t="n">
        <f aca="false">AB56*AB54/AB57/1000000000000</f>
        <v>0.3</v>
      </c>
      <c r="AC58" s="73" t="n">
        <f aca="false">AC56*AC54/AC57/1000000000000</f>
        <v>0.07375</v>
      </c>
      <c r="AD58" s="73" t="n">
        <f aca="false">AD56*AD54/AD57/1000000000000</f>
        <v>0.3</v>
      </c>
      <c r="AE58" s="73" t="n">
        <f aca="false">AE56*AE54/AE57/1000000000000</f>
        <v>0.07375</v>
      </c>
      <c r="AF58" s="73" t="n">
        <f aca="false">AF56*AF54/AF57/1000000000000</f>
        <v>0.3</v>
      </c>
      <c r="AG58" s="73" t="n">
        <f aca="false">AG56*AG54/AG57/1000000000000</f>
        <v>0.07375</v>
      </c>
      <c r="AH58" s="73" t="n">
        <f aca="false">AH56*AH54/AH57/1000000000000</f>
        <v>0.3</v>
      </c>
    </row>
    <row r="59" customFormat="false" ht="15" hidden="false" customHeight="false" outlineLevel="0" collapsed="false">
      <c r="A59" s="62" t="s">
        <v>1310</v>
      </c>
      <c r="B59" s="62" t="s">
        <v>998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1311</v>
      </c>
      <c r="B60" s="62" t="s">
        <v>998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1312</v>
      </c>
      <c r="B61" s="62" t="s">
        <v>566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1313</v>
      </c>
      <c r="B62" s="62" t="s">
        <v>566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1314</v>
      </c>
      <c r="B63" s="62" t="s">
        <v>132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1315</v>
      </c>
      <c r="B64" s="62" t="s">
        <v>127</v>
      </c>
      <c r="C64" s="66" t="n">
        <f aca="false">Train_In!$C$11*C63</f>
        <v>0.85</v>
      </c>
      <c r="D64" s="66" t="n">
        <f aca="false">Train_In!$C$11*D63</f>
        <v>0.85</v>
      </c>
      <c r="E64" s="66" t="n">
        <f aca="false">Train_In!$C$11*E63</f>
        <v>0.85</v>
      </c>
      <c r="F64" s="66" t="n">
        <f aca="false">Train_In!$C$11*F63</f>
        <v>0.85</v>
      </c>
      <c r="G64" s="66" t="n">
        <f aca="false">Train_In!$C$11*G63</f>
        <v>0.85</v>
      </c>
      <c r="H64" s="66" t="n">
        <f aca="false">Train_In!$C$11*H63</f>
        <v>0.85</v>
      </c>
      <c r="I64" s="66" t="n">
        <f aca="false">Train_In!$C$11*I63</f>
        <v>0.85</v>
      </c>
      <c r="J64" s="66" t="n">
        <f aca="false">Train_In!$C$11*J63</f>
        <v>0.85</v>
      </c>
      <c r="K64" s="66" t="n">
        <f aca="false">Train_In!$C$11*K63</f>
        <v>0.85</v>
      </c>
      <c r="L64" s="66" t="n">
        <f aca="false">Train_In!$C$11*L63</f>
        <v>0.85</v>
      </c>
      <c r="M64" s="66" t="n">
        <f aca="false">Train_In!$C$11*M63</f>
        <v>0.85</v>
      </c>
      <c r="N64" s="66" t="n">
        <f aca="false">Train_In!$C$11*N63</f>
        <v>0.85</v>
      </c>
      <c r="O64" s="66" t="n">
        <f aca="false">Train_In!$C$11*O63</f>
        <v>0.85</v>
      </c>
      <c r="P64" s="66" t="n">
        <f aca="false">Train_In!$C$11*P63</f>
        <v>0.85</v>
      </c>
      <c r="Q64" s="66" t="n">
        <f aca="false">Train_In!$C$11*Q63</f>
        <v>0.85</v>
      </c>
      <c r="R64" s="66" t="n">
        <f aca="false">Train_In!$C$11*R63</f>
        <v>0.85</v>
      </c>
      <c r="S64" s="81" t="n">
        <v>0.6</v>
      </c>
      <c r="T64" s="81" t="n">
        <v>0.6</v>
      </c>
      <c r="U64" s="81" t="n">
        <v>0.95</v>
      </c>
      <c r="V64" s="81" t="n">
        <v>0.95</v>
      </c>
      <c r="W64" s="66" t="n">
        <f aca="false">Train_In!$C$11*W63</f>
        <v>0.85</v>
      </c>
      <c r="X64" s="66" t="n">
        <f aca="false">Train_In!$C$11*X63</f>
        <v>0.85</v>
      </c>
      <c r="Y64" s="66" t="n">
        <f aca="false">Train_In!$C$11*Y63</f>
        <v>0.85</v>
      </c>
      <c r="Z64" s="66" t="n">
        <f aca="false">Train_In!$C$11*Z63</f>
        <v>0.85</v>
      </c>
      <c r="AA64" s="66" t="n">
        <f aca="false">Train_In!$C$11*AA63</f>
        <v>0.85</v>
      </c>
      <c r="AB64" s="66" t="n">
        <f aca="false">Train_In!$C$11*AB63</f>
        <v>0.85</v>
      </c>
      <c r="AC64" s="66" t="n">
        <f aca="false">Train_In!$C$11*AC63</f>
        <v>0.85</v>
      </c>
      <c r="AD64" s="66" t="n">
        <f aca="false">Train_In!$C$11*AD63</f>
        <v>0.85</v>
      </c>
      <c r="AE64" s="66" t="n">
        <f aca="false">Train_In!$C$11*AE63</f>
        <v>0.85</v>
      </c>
      <c r="AF64" s="66" t="n">
        <f aca="false">Train_In!$C$11*AF63</f>
        <v>0.85</v>
      </c>
      <c r="AG64" s="66" t="n">
        <f aca="false">Train_In!$C$11*AG63</f>
        <v>0.85</v>
      </c>
      <c r="AH64" s="66" t="n">
        <f aca="false">Train_In!$C$11*AH63</f>
        <v>0.85</v>
      </c>
    </row>
    <row r="65" customFormat="false" ht="15" hidden="false" customHeight="false" outlineLevel="0" collapsed="false">
      <c r="A65" s="62" t="s">
        <v>1316</v>
      </c>
      <c r="B65" s="62" t="s">
        <v>1292</v>
      </c>
      <c r="C65" s="69" t="n">
        <f aca="false">IF(AND(ISNUMBER(C59)),(C53*1000000*C59+C58*1000000*C60)/3600/C64,"SLO 不可達")</f>
        <v>192233.176009909</v>
      </c>
      <c r="D65" s="69" t="n">
        <f aca="false">IF(AND(ISNUMBER(D59)),(D53*1000000*D59+D58*1000000*D60)/3600/D64,"SLO 不可達")</f>
        <v>3332012.23278618</v>
      </c>
      <c r="E65" s="69" t="n">
        <f aca="false">IF(AND(ISNUMBER(E59)),(E53*1000000*E59+E58*1000000*E60)/3600/E64,"SLO 不可達")</f>
        <v>192233.176009909</v>
      </c>
      <c r="F65" s="69" t="n">
        <f aca="false">IF(AND(ISNUMBER(F59)),(F53*1000000*F59+F58*1000000*F60)/3600/F64,"SLO 不可達")</f>
        <v>3332012.23278618</v>
      </c>
      <c r="G65" s="69" t="n">
        <f aca="false">IF(AND(ISNUMBER(G59)),(G53*1000000*G59+G58*1000000*G60)/3600/G64,"SLO 不可達")</f>
        <v>192233.176009909</v>
      </c>
      <c r="H65" s="69" t="n">
        <f aca="false">IF(AND(ISNUMBER(H59)),(H53*1000000*H59+H58*1000000*H60)/3600/H64,"SLO 不可達")</f>
        <v>3332012.23278618</v>
      </c>
      <c r="I65" s="69" t="n">
        <f aca="false">IF(AND(ISNUMBER(I59)),(I53*1000000*I59+I58*1000000*I60)/3600/I64,"SLO 不可達")</f>
        <v>192233.176009909</v>
      </c>
      <c r="J65" s="69" t="n">
        <f aca="false">IF(AND(ISNUMBER(J59)),(J53*1000000*J59+J58*1000000*J60)/3600/J64,"SLO 不可達")</f>
        <v>3332012.23278618</v>
      </c>
      <c r="K65" s="69" t="n">
        <f aca="false">IF(AND(ISNUMBER(K59)),(K53*1000000*K59+K58*1000000*K60)/3600/K64,"SLO 不可達")</f>
        <v>192233.176009909</v>
      </c>
      <c r="L65" s="69" t="n">
        <f aca="false">IF(AND(ISNUMBER(L59)),(L53*1000000*L59+L58*1000000*L60)/3600/L64,"SLO 不可達")</f>
        <v>3332012.23278618</v>
      </c>
      <c r="M65" s="69" t="n">
        <f aca="false">IF(AND(ISNUMBER(M59)),(M53*1000000*M59+M58*1000000*M60)/3600/M64,"SLO 不可達")</f>
        <v>192233.176009909</v>
      </c>
      <c r="N65" s="69" t="n">
        <f aca="false">IF(AND(ISNUMBER(N59)),(N53*1000000*N59+N58*1000000*N60)/3600/N64,"SLO 不可達")</f>
        <v>3332012.23278618</v>
      </c>
      <c r="O65" s="69" t="n">
        <f aca="false">IF(AND(ISNUMBER(O59)),(O53*1000000*O59+O58*1000000*O60)/3600/O64,"SLO 不可達")</f>
        <v>57669.9528029726</v>
      </c>
      <c r="P65" s="69" t="n">
        <f aca="false">IF(AND(ISNUMBER(P59)),(P53*1000000*P59+P58*1000000*P60)/3600/P64,"SLO 不可達")</f>
        <v>999603.669835855</v>
      </c>
      <c r="Q65" s="69" t="n">
        <f aca="false">IF(AND(ISNUMBER(Q59)),(Q53*1000000*Q59+Q58*1000000*Q60)/3600/Q64,"SLO 不可達")</f>
        <v>576699.528029727</v>
      </c>
      <c r="R65" s="69" t="n">
        <f aca="false">IF(AND(ISNUMBER(R59)),(R53*1000000*R59+R58*1000000*R60)/3600/R64,"SLO 不可達")</f>
        <v>9996036.69835855</v>
      </c>
      <c r="S65" s="69" t="n">
        <f aca="false">IF(AND(ISNUMBER(S59)),(S53*1000000*S59+S58*1000000*S60)/3600/S64,"SLO 不可達")</f>
        <v>272330.332680704</v>
      </c>
      <c r="T65" s="69" t="n">
        <f aca="false">IF(AND(ISNUMBER(T59)),(T53*1000000*T59+T58*1000000*T60)/3600/T64,"SLO 不可達")</f>
        <v>4720350.66311376</v>
      </c>
      <c r="U65" s="69" t="n">
        <f aca="false">IF(AND(ISNUMBER(U59)),(U53*1000000*U59+U58*1000000*U60)/3600/U64,"SLO 不可達")</f>
        <v>171998.104850971</v>
      </c>
      <c r="V65" s="69" t="n">
        <f aca="false">IF(AND(ISNUMBER(V59)),(V53*1000000*V59+V58*1000000*V60)/3600/V64,"SLO 不可達")</f>
        <v>2981274.10301922</v>
      </c>
      <c r="W65" s="69" t="n">
        <f aca="false">IF(AND(ISNUMBER(W59)),(W53*1000000*W59+W58*1000000*W60)/3600/W64,"SLO 不可達")</f>
        <v>290998.167186332</v>
      </c>
      <c r="X65" s="69" t="n">
        <f aca="false">IF(AND(ISNUMBER(X59)),(X53*1000000*X59+X58*1000000*X60)/3600/X64,"SLO 不可達")</f>
        <v>5069926.93360148</v>
      </c>
      <c r="Y65" s="69" t="n">
        <f aca="false">IF(AND(ISNUMBER(Y59)),(Y53*1000000*Y59+Y58*1000000*Y60)/3600/Y64,"SLO 不可達")</f>
        <v>192233.176009909</v>
      </c>
      <c r="Z65" s="69" t="n">
        <f aca="false">IF(AND(ISNUMBER(Z59)),(Z53*1000000*Z59+Z58*1000000*Z60)/3600/Z64,"SLO 不可達")</f>
        <v>3332012.23278618</v>
      </c>
      <c r="AA65" s="69" t="n">
        <f aca="false">IF(AND(ISNUMBER(AA59)),(AA53*1000000*AA59+AA58*1000000*AA60)/3600/AA64,"SLO 不可達")</f>
        <v>192233.176009909</v>
      </c>
      <c r="AB65" s="69" t="n">
        <f aca="false">IF(AND(ISNUMBER(AB59)),(AB53*1000000*AB59+AB58*1000000*AB60)/3600/AB64,"SLO 不可達")</f>
        <v>3332012.23278618</v>
      </c>
      <c r="AC65" s="69" t="n">
        <f aca="false">IF(AND(ISNUMBER(AC59)),(AC53*1000000*AC59+AC58*1000000*AC60)/3600/AC64,"SLO 不可達")</f>
        <v>192233.176009909</v>
      </c>
      <c r="AD65" s="69" t="n">
        <f aca="false">IF(AND(ISNUMBER(AD59)),(AD53*1000000*AD59+AD58*1000000*AD60)/3600/AD64,"SLO 不可達")</f>
        <v>3332012.23278618</v>
      </c>
      <c r="AE65" s="69" t="n">
        <f aca="false">IF(AND(ISNUMBER(AE59)),(AE53*1000000*AE59+AE58*1000000*AE60)/3600/AE64,"SLO 不可達")</f>
        <v>192233.176009909</v>
      </c>
      <c r="AF65" s="69" t="n">
        <f aca="false">IF(AND(ISNUMBER(AF59)),(AF53*1000000*AF59+AF58*1000000*AF60)/3600/AF64,"SLO 不可達")</f>
        <v>3332012.23278618</v>
      </c>
      <c r="AG65" s="69" t="n">
        <f aca="false">IF(AND(ISNUMBER(AG59)),(AG53*1000000*AG59+AG58*1000000*AG60)/3600/AG64,"SLO 不可達")</f>
        <v>192233.176009909</v>
      </c>
      <c r="AH65" s="69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1317</v>
      </c>
      <c r="B66" s="62" t="s">
        <v>355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1318</v>
      </c>
      <c r="B67" s="62" t="s">
        <v>1175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1319</v>
      </c>
      <c r="B68" s="62" t="s">
        <v>333</v>
      </c>
      <c r="C68" s="69" t="n">
        <f aca="false">C24*IF(C25=0,(C54+C55)/2,MIN((C54+C55)/2,C25))+(1-C24)*((C54+C55)/2/C26+C27)</f>
        <v>2192</v>
      </c>
      <c r="D68" s="69" t="n">
        <f aca="false">D24*IF(D25=0,(D54+D55)/2,MIN((D54+D55)/2,D25))+(1-D24)*((D54+D55)/2/D26+D27)</f>
        <v>24576</v>
      </c>
      <c r="E68" s="69" t="n">
        <f aca="false">E24*IF(E25=0,(E54+E55)/2,MIN((E54+E55)/2,E25))+(1-E24)*((E54+E55)/2/E26+E27)</f>
        <v>2192</v>
      </c>
      <c r="F68" s="69" t="n">
        <f aca="false">F24*IF(F25=0,(F54+F55)/2,MIN((F54+F55)/2,F25))+(1-F24)*((F54+F55)/2/F26+F27)</f>
        <v>24576</v>
      </c>
      <c r="G68" s="69" t="n">
        <f aca="false">G24*IF(G25=0,(G54+G55)/2,MIN((G54+G55)/2,G25))+(1-G24)*((G54+G55)/2/G26+G27)</f>
        <v>2192</v>
      </c>
      <c r="H68" s="69" t="n">
        <f aca="false">H24*IF(H25=0,(H54+H55)/2,MIN((H54+H55)/2,H25))+(1-H24)*((H54+H55)/2/H26+H27)</f>
        <v>24576</v>
      </c>
      <c r="I68" s="69" t="n">
        <f aca="false">I24*IF(I25=0,(I54+I55)/2,MIN((I54+I55)/2,I25))+(1-I24)*((I54+I55)/2/I26+I27)</f>
        <v>2192</v>
      </c>
      <c r="J68" s="69" t="n">
        <f aca="false">J24*IF(J25=0,(J54+J55)/2,MIN((J54+J55)/2,J25))+(1-J24)*((J54+J55)/2/J26+J27)</f>
        <v>24576</v>
      </c>
      <c r="K68" s="69" t="n">
        <f aca="false">K24*IF(K25=0,(K54+K55)/2,MIN((K54+K55)/2,K25))+(1-K24)*((K54+K55)/2/K26+K27)</f>
        <v>2192</v>
      </c>
      <c r="L68" s="69" t="n">
        <f aca="false">L24*IF(L25=0,(L54+L55)/2,MIN((L54+L55)/2,L25))+(1-L24)*((L54+L55)/2/L26+L27)</f>
        <v>24576</v>
      </c>
      <c r="M68" s="69" t="n">
        <f aca="false">M24*IF(M25=0,(M54+M55)/2,MIN((M54+M55)/2,M25))+(1-M24)*((M54+M55)/2/M26+M27)</f>
        <v>2192</v>
      </c>
      <c r="N68" s="69" t="n">
        <f aca="false">N24*IF(N25=0,(N54+N55)/2,MIN((N54+N55)/2,N25))+(1-N24)*((N54+N55)/2/N26+N27)</f>
        <v>24576</v>
      </c>
      <c r="O68" s="69" t="n">
        <f aca="false">O24*IF(O25=0,(O54+O55)/2,MIN((O54+O55)/2,O25))+(1-O24)*((O54+O55)/2/O26+O27)</f>
        <v>2192</v>
      </c>
      <c r="P68" s="69" t="n">
        <f aca="false">P24*IF(P25=0,(P54+P55)/2,MIN((P54+P55)/2,P25))+(1-P24)*((P54+P55)/2/P26+P27)</f>
        <v>24576</v>
      </c>
      <c r="Q68" s="69" t="n">
        <f aca="false">Q24*IF(Q25=0,(Q54+Q55)/2,MIN((Q54+Q55)/2,Q25))+(1-Q24)*((Q54+Q55)/2/Q26+Q27)</f>
        <v>2192</v>
      </c>
      <c r="R68" s="69" t="n">
        <f aca="false">R24*IF(R25=0,(R54+R55)/2,MIN((R54+R55)/2,R25))+(1-R24)*((R54+R55)/2/R26+R27)</f>
        <v>24576</v>
      </c>
      <c r="S68" s="69" t="n">
        <f aca="false">S24*IF(S25=0,(S54+S55)/2,MIN((S54+S55)/2,S25))+(1-S24)*((S54+S55)/2/S26+S27)</f>
        <v>2192</v>
      </c>
      <c r="T68" s="69" t="n">
        <f aca="false">T24*IF(T25=0,(T54+T55)/2,MIN((T54+T55)/2,T25))+(1-T24)*((T54+T55)/2/T26+T27)</f>
        <v>24576</v>
      </c>
      <c r="U68" s="69" t="n">
        <f aca="false">U24*IF(U25=0,(U54+U55)/2,MIN((U54+U55)/2,U25))+(1-U24)*((U54+U55)/2/U26+U27)</f>
        <v>2192</v>
      </c>
      <c r="V68" s="69" t="n">
        <f aca="false">V24*IF(V25=0,(V54+V55)/2,MIN((V54+V55)/2,V25))+(1-V24)*((V54+V55)/2/V26+V27)</f>
        <v>24576</v>
      </c>
      <c r="W68" s="69" t="n">
        <f aca="false">W24*IF(W25=0,(W54+W55)/2,MIN((W54+W55)/2,W25))+(1-W24)*((W54+W55)/2/W26+W27)</f>
        <v>2192</v>
      </c>
      <c r="X68" s="69" t="n">
        <f aca="false">X24*IF(X25=0,(X54+X55)/2,MIN((X54+X55)/2,X25))+(1-X24)*((X54+X55)/2/X26+X27)</f>
        <v>24576</v>
      </c>
      <c r="Y68" s="69" t="n">
        <f aca="false">Y24*IF(Y25=0,(Y54+Y55)/2,MIN((Y54+Y55)/2,Y25))+(1-Y24)*((Y54+Y55)/2/Y26+Y27)</f>
        <v>2192</v>
      </c>
      <c r="Z68" s="69" t="n">
        <f aca="false">Z24*IF(Z25=0,(Z54+Z55)/2,MIN((Z54+Z55)/2,Z25))+(1-Z24)*((Z54+Z55)/2/Z26+Z27)</f>
        <v>24576</v>
      </c>
      <c r="AA68" s="69" t="n">
        <f aca="false">AA24*IF(AA25=0,(AA54+AA55)/2,MIN((AA54+AA55)/2,AA25))+(1-AA24)*((AA54+AA55)/2/AA26+AA27)</f>
        <v>2192</v>
      </c>
      <c r="AB68" s="69" t="n">
        <f aca="false">AB24*IF(AB25=0,(AB54+AB55)/2,MIN((AB54+AB55)/2,AB25))+(1-AB24)*((AB54+AB55)/2/AB26+AB27)</f>
        <v>24576</v>
      </c>
      <c r="AC68" s="69" t="n">
        <f aca="false">AC24*IF(AC25=0,(AC54+AC55)/2,MIN((AC54+AC55)/2,AC25))+(1-AC24)*((AC54+AC55)/2/AC26+AC27)</f>
        <v>2192</v>
      </c>
      <c r="AD68" s="69" t="n">
        <f aca="false">AD24*IF(AD25=0,(AD54+AD55)/2,MIN((AD54+AD55)/2,AD25))+(1-AD24)*((AD54+AD55)/2/AD26+AD27)</f>
        <v>24576</v>
      </c>
      <c r="AE68" s="69" t="n">
        <f aca="false">AE24*IF(AE25=0,(AE54+AE55)/2,MIN((AE54+AE55)/2,AE25))+(1-AE24)*((AE54+AE55)/2/AE26+AE27)</f>
        <v>2192</v>
      </c>
      <c r="AF68" s="69" t="n">
        <f aca="false">AF24*IF(AF25=0,(AF54+AF55)/2,MIN((AF54+AF55)/2,AF25))+(1-AF24)*((AF54+AF55)/2/AF26+AF27)</f>
        <v>24576</v>
      </c>
      <c r="AG68" s="69" t="n">
        <f aca="false">AG24*IF(AG25=0,(AG54+AG55)/2,MIN((AG54+AG55)/2,AG25))+(1-AG24)*((AG54+AG55)/2/AG26+AG27)</f>
        <v>2192</v>
      </c>
      <c r="AH68" s="69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1320</v>
      </c>
      <c r="B69" s="62" t="s">
        <v>566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1321</v>
      </c>
      <c r="B70" s="62" t="s">
        <v>355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1322</v>
      </c>
      <c r="B71" s="62" t="s">
        <v>132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1323</v>
      </c>
      <c r="B72" s="62" t="s">
        <v>1292</v>
      </c>
      <c r="C72" s="69" t="n">
        <f aca="false">C70/(C12*1000000000000000*C16*C71*C17)/3600</f>
        <v>184598.61524167</v>
      </c>
      <c r="D72" s="69" t="n">
        <f aca="false">D70/(D12*1000000000000000*D16*D71*D17)/3600</f>
        <v>2713486.87238095</v>
      </c>
      <c r="E72" s="69" t="n">
        <f aca="false">E70/(E12*1000000000000000*E16*E71*E17)/3600</f>
        <v>307664.358736116</v>
      </c>
      <c r="F72" s="69" t="n">
        <f aca="false">F70/(F12*1000000000000000*F16*F71*F17)/3600</f>
        <v>4522478.12063492</v>
      </c>
      <c r="G72" s="69" t="n">
        <f aca="false">G70/(G12*1000000000000000*G16*G71*G17)/3600</f>
        <v>115374.134526044</v>
      </c>
      <c r="H72" s="69" t="n">
        <f aca="false">H70/(H12*1000000000000000*H16*H71*H17)/3600</f>
        <v>1695929.29523809</v>
      </c>
      <c r="I72" s="69" t="n">
        <f aca="false">I70/(I12*1000000000000000*I16*I71*I17)/3600</f>
        <v>92299.3076208348</v>
      </c>
      <c r="J72" s="69" t="n">
        <f aca="false">J70/(J12*1000000000000000*J16*J71*J17)/3600</f>
        <v>1356743.43619048</v>
      </c>
      <c r="K72" s="69" t="n">
        <f aca="false">K70/(K12*1000000000000000*K16*K71*K17)/3600</f>
        <v>184598.61524167</v>
      </c>
      <c r="L72" s="69" t="n">
        <f aca="false">L70/(L12*1000000000000000*L16*L71*L17)/3600</f>
        <v>2713486.87238095</v>
      </c>
      <c r="M72" s="69" t="n">
        <f aca="false">M70/(M12*1000000000000000*M16*M71*M17)/3600</f>
        <v>184598.61524167</v>
      </c>
      <c r="N72" s="69" t="n">
        <f aca="false">N70/(N12*1000000000000000*N16*N71*N17)/3600</f>
        <v>2713486.87238095</v>
      </c>
      <c r="O72" s="69" t="n">
        <f aca="false">O70/(O12*1000000000000000*O16*O71*O17)/3600</f>
        <v>55379.5845725009</v>
      </c>
      <c r="P72" s="69" t="n">
        <f aca="false">P70/(P12*1000000000000000*P16*P71*P17)/3600</f>
        <v>814046.061714286</v>
      </c>
      <c r="Q72" s="69" t="n">
        <f aca="false">Q70/(Q12*1000000000000000*Q16*Q71*Q17)/3600</f>
        <v>553795.845725009</v>
      </c>
      <c r="R72" s="69" t="n">
        <f aca="false">R70/(R12*1000000000000000*R16*R71*R17)/3600</f>
        <v>8140460.61714286</v>
      </c>
      <c r="S72" s="69" t="n">
        <f aca="false">S70/(S12*1000000000000000*S16*S71*S17)/3600</f>
        <v>184598.61524167</v>
      </c>
      <c r="T72" s="69" t="n">
        <f aca="false">T70/(T12*1000000000000000*T16*T71*T17)/3600</f>
        <v>2713486.87238095</v>
      </c>
      <c r="U72" s="69" t="n">
        <f aca="false">U70/(U12*1000000000000000*U16*U71*U17)/3600</f>
        <v>184598.61524167</v>
      </c>
      <c r="V72" s="69" t="n">
        <f aca="false">V70/(V12*1000000000000000*V16*V71*V17)/3600</f>
        <v>2713486.87238095</v>
      </c>
      <c r="W72" s="69" t="n">
        <f aca="false">W70/(W12*1000000000000000*W16*W71*W17)/3600</f>
        <v>184598.61524167</v>
      </c>
      <c r="X72" s="69" t="n">
        <f aca="false">X70/(X12*1000000000000000*X16*X71*X17)/3600</f>
        <v>2713486.87238095</v>
      </c>
      <c r="Y72" s="69" t="n">
        <f aca="false">Y70/(Y12*1000000000000000*Y16*Y71*Y17)/3600</f>
        <v>184598.61524167</v>
      </c>
      <c r="Z72" s="69" t="n">
        <f aca="false">Z70/(Z12*1000000000000000*Z16*Z71*Z17)/3600</f>
        <v>2713486.87238095</v>
      </c>
      <c r="AA72" s="69" t="n">
        <f aca="false">AA70/(AA12*1000000000000000*AA16*AA71*AA17)/3600</f>
        <v>184598.61524167</v>
      </c>
      <c r="AB72" s="69" t="n">
        <f aca="false">AB70/(AB12*1000000000000000*AB16*AB71*AB17)/3600</f>
        <v>2713486.87238095</v>
      </c>
      <c r="AC72" s="69" t="n">
        <f aca="false">AC70/(AC12*1000000000000000*AC16*AC71*AC17)/3600</f>
        <v>184598.61524167</v>
      </c>
      <c r="AD72" s="69" t="n">
        <f aca="false">AD70/(AD12*1000000000000000*AD16*AD71*AD17)/3600</f>
        <v>2713486.87238095</v>
      </c>
      <c r="AE72" s="69" t="n">
        <f aca="false">AE70/(AE12*1000000000000000*AE16*AE71*AE17)/3600</f>
        <v>184598.61524167</v>
      </c>
      <c r="AF72" s="69" t="n">
        <f aca="false">AF70/(AF12*1000000000000000*AF16*AF71*AF17)/3600</f>
        <v>2713486.87238095</v>
      </c>
      <c r="AG72" s="69" t="n">
        <f aca="false">AG70/(AG12*1000000000000000*AG16*AG71*AG17)/3600</f>
        <v>207673.442146878</v>
      </c>
      <c r="AH72" s="69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1324</v>
      </c>
      <c r="B73" s="61"/>
      <c r="C73" s="90" t="n">
        <f aca="false">Train_In!$C$10</f>
        <v>0</v>
      </c>
      <c r="D73" s="90" t="n">
        <f aca="false">Train_In!$C$10</f>
        <v>0</v>
      </c>
      <c r="E73" s="90" t="n">
        <f aca="false">Train_In!$C$10</f>
        <v>0</v>
      </c>
      <c r="F73" s="90" t="n">
        <f aca="false">Train_In!$C$10</f>
        <v>0</v>
      </c>
      <c r="G73" s="90" t="n">
        <f aca="false">Train_In!$C$10</f>
        <v>0</v>
      </c>
      <c r="H73" s="90" t="n">
        <f aca="false">Train_In!$C$10</f>
        <v>0</v>
      </c>
      <c r="I73" s="90" t="n">
        <f aca="false">Train_In!$C$10</f>
        <v>0</v>
      </c>
      <c r="J73" s="90" t="n">
        <f aca="false">Train_In!$C$10</f>
        <v>0</v>
      </c>
      <c r="K73" s="90" t="n">
        <f aca="false">Train_In!$C$10</f>
        <v>0</v>
      </c>
      <c r="L73" s="90" t="n">
        <f aca="false">Train_In!$C$10</f>
        <v>0</v>
      </c>
      <c r="M73" s="90" t="n">
        <f aca="false">Train_In!$C$10</f>
        <v>0</v>
      </c>
      <c r="N73" s="90" t="n">
        <f aca="false">Train_In!$C$10</f>
        <v>0</v>
      </c>
      <c r="O73" s="90" t="n">
        <f aca="false">Train_In!$C$10</f>
        <v>0</v>
      </c>
      <c r="P73" s="90" t="n">
        <f aca="false">Train_In!$C$10</f>
        <v>0</v>
      </c>
      <c r="Q73" s="90" t="n">
        <f aca="false">Train_In!$C$10</f>
        <v>0</v>
      </c>
      <c r="R73" s="90" t="n">
        <f aca="false">Train_In!$C$10</f>
        <v>0</v>
      </c>
      <c r="S73" s="90" t="n">
        <f aca="false">Train_In!$C$10</f>
        <v>0</v>
      </c>
      <c r="T73" s="90" t="n">
        <f aca="false">Train_In!$C$10</f>
        <v>0</v>
      </c>
      <c r="U73" s="90" t="n">
        <f aca="false">Train_In!$C$10</f>
        <v>0</v>
      </c>
      <c r="V73" s="90" t="n">
        <f aca="false">Train_In!$C$10</f>
        <v>0</v>
      </c>
      <c r="W73" s="90" t="n">
        <f aca="false">Train_In!$C$10</f>
        <v>0</v>
      </c>
      <c r="X73" s="90" t="n">
        <f aca="false">Train_In!$C$10</f>
        <v>0</v>
      </c>
      <c r="Y73" s="90" t="n">
        <f aca="false">Train_In!$C$10</f>
        <v>0</v>
      </c>
      <c r="Z73" s="90" t="n">
        <f aca="false">Train_In!$C$10</f>
        <v>0</v>
      </c>
      <c r="AA73" s="90" t="n">
        <f aca="false">Train_In!$C$10</f>
        <v>0</v>
      </c>
      <c r="AB73" s="90" t="n">
        <f aca="false">Train_In!$C$10</f>
        <v>0</v>
      </c>
      <c r="AC73" s="90" t="n">
        <f aca="false">Train_In!$C$10</f>
        <v>0</v>
      </c>
      <c r="AD73" s="90" t="n">
        <f aca="false">Train_In!$C$10</f>
        <v>0</v>
      </c>
      <c r="AE73" s="90" t="n">
        <f aca="false">Train_In!$C$10</f>
        <v>0</v>
      </c>
      <c r="AF73" s="90" t="n">
        <f aca="false">Train_In!$C$10</f>
        <v>0</v>
      </c>
      <c r="AG73" s="90" t="n">
        <f aca="false">Train_In!$C$10</f>
        <v>0</v>
      </c>
      <c r="AH73" s="90" t="n">
        <f aca="false">Train_In!$C$10</f>
        <v>0</v>
      </c>
    </row>
    <row r="74" customFormat="false" ht="15" hidden="false" customHeight="false" outlineLevel="0" collapsed="false">
      <c r="A74" s="61" t="s">
        <v>1325</v>
      </c>
      <c r="B74" s="62" t="s">
        <v>1292</v>
      </c>
      <c r="C74" s="69" t="n">
        <f aca="false">C73*C72/3</f>
        <v>0</v>
      </c>
      <c r="D74" s="69" t="n">
        <f aca="false">D73*D72/3</f>
        <v>0</v>
      </c>
      <c r="E74" s="69" t="n">
        <f aca="false">E73*E72/3</f>
        <v>0</v>
      </c>
      <c r="F74" s="69" t="n">
        <f aca="false">F73*F72/3</f>
        <v>0</v>
      </c>
      <c r="G74" s="69" t="n">
        <f aca="false">G73*G72/3</f>
        <v>0</v>
      </c>
      <c r="H74" s="69" t="n">
        <f aca="false">H73*H72/3</f>
        <v>0</v>
      </c>
      <c r="I74" s="69" t="n">
        <f aca="false">I73*I72/3</f>
        <v>0</v>
      </c>
      <c r="J74" s="69" t="n">
        <f aca="false">J73*J72/3</f>
        <v>0</v>
      </c>
      <c r="K74" s="69" t="n">
        <f aca="false">K73*K72/3</f>
        <v>0</v>
      </c>
      <c r="L74" s="69" t="n">
        <f aca="false">L73*L72/3</f>
        <v>0</v>
      </c>
      <c r="M74" s="69" t="n">
        <f aca="false">M73*M72/3</f>
        <v>0</v>
      </c>
      <c r="N74" s="69" t="n">
        <f aca="false">N73*N72/3</f>
        <v>0</v>
      </c>
      <c r="O74" s="69" t="n">
        <f aca="false">O73*O72/3</f>
        <v>0</v>
      </c>
      <c r="P74" s="69" t="n">
        <f aca="false">P73*P72/3</f>
        <v>0</v>
      </c>
      <c r="Q74" s="69" t="n">
        <f aca="false">Q73*Q72/3</f>
        <v>0</v>
      </c>
      <c r="R74" s="69" t="n">
        <f aca="false">R73*R72/3</f>
        <v>0</v>
      </c>
      <c r="S74" s="69" t="n">
        <f aca="false">S73*S72/3</f>
        <v>0</v>
      </c>
      <c r="T74" s="69" t="n">
        <f aca="false">T73*T72/3</f>
        <v>0</v>
      </c>
      <c r="U74" s="69" t="n">
        <f aca="false">U73*U72/3</f>
        <v>0</v>
      </c>
      <c r="V74" s="69" t="n">
        <f aca="false">V73*V72/3</f>
        <v>0</v>
      </c>
      <c r="W74" s="69" t="n">
        <f aca="false">W73*W72/3</f>
        <v>0</v>
      </c>
      <c r="X74" s="69" t="n">
        <f aca="false">X73*X72/3</f>
        <v>0</v>
      </c>
      <c r="Y74" s="69" t="n">
        <f aca="false">Y73*Y72/3</f>
        <v>0</v>
      </c>
      <c r="Z74" s="69" t="n">
        <f aca="false">Z73*Z72/3</f>
        <v>0</v>
      </c>
      <c r="AA74" s="69" t="n">
        <f aca="false">AA73*AA72/3</f>
        <v>0</v>
      </c>
      <c r="AB74" s="69" t="n">
        <f aca="false">AB73*AB72/3</f>
        <v>0</v>
      </c>
      <c r="AC74" s="69" t="n">
        <f aca="false">AC73*AC72/3</f>
        <v>0</v>
      </c>
      <c r="AD74" s="69" t="n">
        <f aca="false">AD73*AD72/3</f>
        <v>0</v>
      </c>
      <c r="AE74" s="69" t="n">
        <f aca="false">AE73*AE72/3</f>
        <v>0</v>
      </c>
      <c r="AF74" s="69" t="n">
        <f aca="false">AF73*AF72/3</f>
        <v>0</v>
      </c>
      <c r="AG74" s="69" t="n">
        <f aca="false">AG73*AG72/3</f>
        <v>0</v>
      </c>
      <c r="AH74" s="69" t="n">
        <f aca="false">AH73*AH72/3</f>
        <v>0</v>
      </c>
    </row>
    <row r="75" customFormat="false" ht="15" hidden="false" customHeight="false" outlineLevel="0" collapsed="false">
      <c r="A75" s="62" t="s">
        <v>1327</v>
      </c>
      <c r="B75" s="62" t="s">
        <v>1292</v>
      </c>
      <c r="C75" s="72" t="n">
        <f aca="false">IF(AND(ISNUMBER(C65)),C65+C72+C74,"SLO 不可達")</f>
        <v>376831.791251579</v>
      </c>
      <c r="D75" s="72" t="n">
        <f aca="false">IF(AND(ISNUMBER(D65)),D65+D72+D74,"SLO 不可達")</f>
        <v>6045499.10516714</v>
      </c>
      <c r="E75" s="72" t="n">
        <f aca="false">IF(AND(ISNUMBER(E65)),E65+E72+E74,"SLO 不可達")</f>
        <v>499897.534746025</v>
      </c>
      <c r="F75" s="72" t="n">
        <f aca="false">IF(AND(ISNUMBER(F65)),F65+F72+F74,"SLO 不可達")</f>
        <v>7854490.3534211</v>
      </c>
      <c r="G75" s="72" t="n">
        <f aca="false">IF(AND(ISNUMBER(G65)),G65+G72+G74,"SLO 不可達")</f>
        <v>307607.310535952</v>
      </c>
      <c r="H75" s="72" t="n">
        <f aca="false">IF(AND(ISNUMBER(H65)),H65+H72+H74,"SLO 不可達")</f>
        <v>5027941.52802428</v>
      </c>
      <c r="I75" s="72" t="n">
        <f aca="false">IF(AND(ISNUMBER(I65)),I65+I72+I74,"SLO 不可達")</f>
        <v>284532.483630744</v>
      </c>
      <c r="J75" s="72" t="n">
        <f aca="false">IF(AND(ISNUMBER(J65)),J65+J72+J74,"SLO 不可達")</f>
        <v>4688755.66897666</v>
      </c>
      <c r="K75" s="72" t="n">
        <f aca="false">IF(AND(ISNUMBER(K65)),K65+K72+K74,"SLO 不可達")</f>
        <v>376831.791251579</v>
      </c>
      <c r="L75" s="72" t="n">
        <f aca="false">IF(AND(ISNUMBER(L65)),L65+L72+L74,"SLO 不可達")</f>
        <v>6045499.10516714</v>
      </c>
      <c r="M75" s="72" t="n">
        <f aca="false">IF(AND(ISNUMBER(M65)),M65+M72+M74,"SLO 不可達")</f>
        <v>376831.791251579</v>
      </c>
      <c r="N75" s="72" t="n">
        <f aca="false">IF(AND(ISNUMBER(N65)),N65+N72+N74,"SLO 不可達")</f>
        <v>6045499.10516714</v>
      </c>
      <c r="O75" s="72" t="n">
        <f aca="false">IF(AND(ISNUMBER(O65)),O65+O72+O74,"SLO 不可達")</f>
        <v>113049.537375474</v>
      </c>
      <c r="P75" s="72" t="n">
        <f aca="false">IF(AND(ISNUMBER(P65)),P65+P72+P74,"SLO 不可達")</f>
        <v>1813649.73155014</v>
      </c>
      <c r="Q75" s="72" t="n">
        <f aca="false">IF(AND(ISNUMBER(Q65)),Q65+Q72+Q74,"SLO 不可達")</f>
        <v>1130495.37375474</v>
      </c>
      <c r="R75" s="72" t="n">
        <f aca="false">IF(AND(ISNUMBER(R65)),R65+R72+R74,"SLO 不可達")</f>
        <v>18136497.3155014</v>
      </c>
      <c r="S75" s="72" t="n">
        <f aca="false">IF(AND(ISNUMBER(S65)),S65+S72+S74,"SLO 不可達")</f>
        <v>456928.947922374</v>
      </c>
      <c r="T75" s="72" t="n">
        <f aca="false">IF(AND(ISNUMBER(T65)),T65+T72+T74,"SLO 不可達")</f>
        <v>7433837.53549471</v>
      </c>
      <c r="U75" s="72" t="n">
        <f aca="false">IF(AND(ISNUMBER(U65)),U65+U72+U74,"SLO 不可達")</f>
        <v>356596.720092641</v>
      </c>
      <c r="V75" s="72" t="n">
        <f aca="false">IF(AND(ISNUMBER(V65)),V65+V72+V74,"SLO 不可達")</f>
        <v>5694760.97540017</v>
      </c>
      <c r="W75" s="72" t="n">
        <f aca="false">IF(AND(ISNUMBER(W65)),W65+W72+W74,"SLO 不可達")</f>
        <v>475596.782428002</v>
      </c>
      <c r="X75" s="72" t="n">
        <f aca="false">IF(AND(ISNUMBER(X65)),X65+X72+X74,"SLO 不可達")</f>
        <v>7783413.80598243</v>
      </c>
      <c r="Y75" s="72" t="n">
        <f aca="false">IF(AND(ISNUMBER(Y65)),Y65+Y72+Y74,"SLO 不可達")</f>
        <v>376831.791251579</v>
      </c>
      <c r="Z75" s="72" t="n">
        <f aca="false">IF(AND(ISNUMBER(Z65)),Z65+Z72+Z74,"SLO 不可達")</f>
        <v>6045499.10516714</v>
      </c>
      <c r="AA75" s="72" t="n">
        <f aca="false">IF(AND(ISNUMBER(AA65)),AA65+AA72+AA74,"SLO 不可達")</f>
        <v>376831.791251579</v>
      </c>
      <c r="AB75" s="72" t="n">
        <f aca="false">IF(AND(ISNUMBER(AB65)),AB65+AB72+AB74,"SLO 不可達")</f>
        <v>6045499.10516714</v>
      </c>
      <c r="AC75" s="72" t="n">
        <f aca="false">IF(AND(ISNUMBER(AC65)),AC65+AC72+AC74,"SLO 不可達")</f>
        <v>376831.791251579</v>
      </c>
      <c r="AD75" s="72" t="n">
        <f aca="false">IF(AND(ISNUMBER(AD65)),AD65+AD72+AD74,"SLO 不可達")</f>
        <v>6045499.10516714</v>
      </c>
      <c r="AE75" s="72" t="n">
        <f aca="false">IF(AND(ISNUMBER(AE65)),AE65+AE72+AE74,"SLO 不可達")</f>
        <v>376831.791251579</v>
      </c>
      <c r="AF75" s="72" t="n">
        <f aca="false">IF(AND(ISNUMBER(AF65)),AF65+AF72+AF74,"SLO 不可達")</f>
        <v>6045499.10516714</v>
      </c>
      <c r="AG75" s="72" t="n">
        <f aca="false">IF(AND(ISNUMBER(AG65)),AG65+AG72+AG74,"SLO 不可達")</f>
        <v>399906.618156787</v>
      </c>
      <c r="AH75" s="72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1328</v>
      </c>
      <c r="B76" s="62" t="s">
        <v>355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1329</v>
      </c>
      <c r="B77" s="62" t="s">
        <v>127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1330</v>
      </c>
      <c r="B78" s="62" t="s">
        <v>132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1331</v>
      </c>
      <c r="B79" s="62" t="s">
        <v>132</v>
      </c>
      <c r="C79" s="78" t="n">
        <f aca="false">C76/C35</f>
        <v>0.134216922203702</v>
      </c>
      <c r="D79" s="78" t="n">
        <f aca="false">D76/D35</f>
        <v>0.37841545371748</v>
      </c>
      <c r="E79" s="78" t="n">
        <f aca="false">E76/E35</f>
        <v>0.134216922203702</v>
      </c>
      <c r="F79" s="78" t="n">
        <f aca="false">F76/F35</f>
        <v>0.37841545371748</v>
      </c>
      <c r="G79" s="78" t="n">
        <f aca="false">G76/G35</f>
        <v>0.134216922203702</v>
      </c>
      <c r="H79" s="78" t="n">
        <f aca="false">H76/H35</f>
        <v>0.37841545371748</v>
      </c>
      <c r="I79" s="78" t="n">
        <f aca="false">I76/I35</f>
        <v>0.134216922203702</v>
      </c>
      <c r="J79" s="78" t="n">
        <f aca="false">J76/J35</f>
        <v>0.37841545371748</v>
      </c>
      <c r="K79" s="78" t="n">
        <f aca="false">K76/K35</f>
        <v>0.268433844407404</v>
      </c>
      <c r="L79" s="78" t="n">
        <f aca="false">L76/L35</f>
        <v>0.756830907434959</v>
      </c>
      <c r="M79" s="78" t="n">
        <f aca="false">M76/M35</f>
        <v>0.0803694144932346</v>
      </c>
      <c r="N79" s="78" t="n">
        <f aca="false">N76/N35</f>
        <v>0.226596080070347</v>
      </c>
      <c r="O79" s="78" t="n">
        <f aca="false">O76/O35</f>
        <v>0.0402650766611105</v>
      </c>
      <c r="P79" s="78" t="n">
        <f aca="false">P76/P35</f>
        <v>0.113524636115244</v>
      </c>
      <c r="Q79" s="78" t="n">
        <f aca="false">Q76/Q35</f>
        <v>0.402650766611105</v>
      </c>
      <c r="R79" s="78" t="n">
        <f aca="false">R76/R35</f>
        <v>1.13524636115244</v>
      </c>
      <c r="S79" s="78" t="n">
        <f aca="false">S76/S35</f>
        <v>0.134216922203702</v>
      </c>
      <c r="T79" s="78" t="n">
        <f aca="false">T76/T35</f>
        <v>0.37841545371748</v>
      </c>
      <c r="U79" s="78" t="n">
        <f aca="false">U76/U35</f>
        <v>0.134216922203702</v>
      </c>
      <c r="V79" s="78" t="n">
        <f aca="false">V76/V35</f>
        <v>0.37841545371748</v>
      </c>
      <c r="W79" s="78" t="n">
        <f aca="false">W76/W35</f>
        <v>0.134216922203702</v>
      </c>
      <c r="X79" s="78" t="n">
        <f aca="false">X76/X35</f>
        <v>0.37841545371748</v>
      </c>
      <c r="Y79" s="78" t="n">
        <f aca="false">Y76/Y35</f>
        <v>0.134216922203702</v>
      </c>
      <c r="Z79" s="78" t="n">
        <f aca="false">Z76/Z35</f>
        <v>0.37841545371748</v>
      </c>
      <c r="AA79" s="78" t="n">
        <f aca="false">AA76/AA35</f>
        <v>0.134216922203702</v>
      </c>
      <c r="AB79" s="78" t="n">
        <f aca="false">AB76/AB35</f>
        <v>0.37841545371748</v>
      </c>
      <c r="AC79" s="78" t="n">
        <f aca="false">AC76/AC35</f>
        <v>0.134216922203702</v>
      </c>
      <c r="AD79" s="78" t="n">
        <f aca="false">AD76/AD35</f>
        <v>0.37841545371748</v>
      </c>
      <c r="AE79" s="78" t="n">
        <f aca="false">AE76/AE35</f>
        <v>0.134216922203702</v>
      </c>
      <c r="AF79" s="78" t="n">
        <f aca="false">AF76/AF35</f>
        <v>0.37841545371748</v>
      </c>
      <c r="AG79" s="78" t="n">
        <f aca="false">AG76/AG35</f>
        <v>0.134216922203702</v>
      </c>
      <c r="AH79" s="78" t="n">
        <f aca="false">AH76/AH35</f>
        <v>0.37841545371748</v>
      </c>
    </row>
    <row r="80" customFormat="false" ht="15" hidden="false" customHeight="false" outlineLevel="0" collapsed="false">
      <c r="A80" s="77" t="s">
        <v>1333</v>
      </c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</row>
    <row r="81" customFormat="false" ht="15" hidden="false" customHeight="false" outlineLevel="0" collapsed="false">
      <c r="A81" s="61" t="s">
        <v>1334</v>
      </c>
      <c r="B81" s="62" t="s">
        <v>1175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1335</v>
      </c>
      <c r="B82" s="61"/>
      <c r="C82" s="90" t="n">
        <f aca="false">INDEX(Train_In!$C$36:$E$36,C$7)</f>
        <v>2</v>
      </c>
      <c r="D82" s="90" t="n">
        <f aca="false">INDEX(Train_In!$C$36:$E$36,D$7)</f>
        <v>3</v>
      </c>
      <c r="E82" s="90" t="n">
        <f aca="false">INDEX(Train_In!$C$36:$E$36,E$7)</f>
        <v>2</v>
      </c>
      <c r="F82" s="90" t="n">
        <f aca="false">INDEX(Train_In!$C$36:$E$36,F$7)</f>
        <v>3</v>
      </c>
      <c r="G82" s="90" t="n">
        <f aca="false">INDEX(Train_In!$C$36:$E$36,G$7)</f>
        <v>2</v>
      </c>
      <c r="H82" s="90" t="n">
        <f aca="false">INDEX(Train_In!$C$36:$E$36,H$7)</f>
        <v>3</v>
      </c>
      <c r="I82" s="90" t="n">
        <f aca="false">INDEX(Train_In!$C$36:$E$36,I$7)</f>
        <v>2</v>
      </c>
      <c r="J82" s="90" t="n">
        <f aca="false">INDEX(Train_In!$C$36:$E$36,J$7)</f>
        <v>3</v>
      </c>
      <c r="K82" s="90" t="n">
        <f aca="false">INDEX(Train_In!$C$36:$E$36,K$7)</f>
        <v>2</v>
      </c>
      <c r="L82" s="90" t="n">
        <f aca="false">INDEX(Train_In!$C$36:$E$36,L$7)</f>
        <v>3</v>
      </c>
      <c r="M82" s="90" t="n">
        <f aca="false">INDEX(Train_In!$C$36:$E$36,M$7)</f>
        <v>2</v>
      </c>
      <c r="N82" s="90" t="n">
        <f aca="false">INDEX(Train_In!$C$36:$E$36,N$7)</f>
        <v>3</v>
      </c>
      <c r="O82" s="90" t="n">
        <f aca="false">INDEX(Train_In!$C$36:$E$36,O$7)</f>
        <v>2</v>
      </c>
      <c r="P82" s="90" t="n">
        <f aca="false">INDEX(Train_In!$C$36:$E$36,P$7)</f>
        <v>3</v>
      </c>
      <c r="Q82" s="90" t="n">
        <f aca="false">INDEX(Train_In!$C$36:$E$36,Q$7)</f>
        <v>2</v>
      </c>
      <c r="R82" s="90" t="n">
        <f aca="false">INDEX(Train_In!$C$36:$E$36,R$7)</f>
        <v>3</v>
      </c>
      <c r="S82" s="90" t="n">
        <f aca="false">INDEX(Train_In!$C$36:$E$36,S$7)</f>
        <v>2</v>
      </c>
      <c r="T82" s="90" t="n">
        <f aca="false">INDEX(Train_In!$C$36:$E$36,T$7)</f>
        <v>3</v>
      </c>
      <c r="U82" s="90" t="n">
        <f aca="false">INDEX(Train_In!$C$36:$E$36,U$7)</f>
        <v>2</v>
      </c>
      <c r="V82" s="90" t="n">
        <f aca="false">INDEX(Train_In!$C$36:$E$36,V$7)</f>
        <v>3</v>
      </c>
      <c r="W82" s="90" t="n">
        <f aca="false">INDEX(Train_In!$C$36:$E$36,W$7)</f>
        <v>2</v>
      </c>
      <c r="X82" s="90" t="n">
        <f aca="false">INDEX(Train_In!$C$36:$E$36,X$7)</f>
        <v>3</v>
      </c>
      <c r="Y82" s="90" t="n">
        <f aca="false">INDEX(Train_In!$C$36:$E$36,Y$7)</f>
        <v>2</v>
      </c>
      <c r="Z82" s="90" t="n">
        <f aca="false">INDEX(Train_In!$C$36:$E$36,Z$7)</f>
        <v>3</v>
      </c>
      <c r="AA82" s="90" t="n">
        <f aca="false">INDEX(Train_In!$C$36:$E$36,AA$7)</f>
        <v>2</v>
      </c>
      <c r="AB82" s="90" t="n">
        <f aca="false">INDEX(Train_In!$C$36:$E$36,AB$7)</f>
        <v>3</v>
      </c>
      <c r="AC82" s="90" t="n">
        <f aca="false">INDEX(Train_In!$C$36:$E$36,AC$7)</f>
        <v>2</v>
      </c>
      <c r="AD82" s="90" t="n">
        <f aca="false">INDEX(Train_In!$C$36:$E$36,AD$7)</f>
        <v>3</v>
      </c>
      <c r="AE82" s="90" t="n">
        <f aca="false">INDEX(Train_In!$C$36:$E$36,AE$7)</f>
        <v>2</v>
      </c>
      <c r="AF82" s="90" t="n">
        <f aca="false">INDEX(Train_In!$C$36:$E$36,AF$7)</f>
        <v>3</v>
      </c>
      <c r="AG82" s="90" t="n">
        <f aca="false">INDEX(Train_In!$C$36:$E$36,AG$7)</f>
        <v>2</v>
      </c>
      <c r="AH82" s="90" t="n">
        <f aca="false">INDEX(Train_In!$C$36:$E$36,AH$7)</f>
        <v>3</v>
      </c>
    </row>
    <row r="83" customFormat="false" ht="15" hidden="false" customHeight="false" outlineLevel="0" collapsed="false">
      <c r="A83" s="61" t="s">
        <v>1336</v>
      </c>
      <c r="B83" s="62" t="s">
        <v>1175</v>
      </c>
      <c r="C83" s="73" t="n">
        <f aca="false">C81*1000000000000/C55*(C54+C55)/1000000000000</f>
        <v>0.3</v>
      </c>
      <c r="D83" s="73" t="n">
        <f aca="false">D81*1000000000000/D55*(D54+D55)/1000000000000</f>
        <v>0.3</v>
      </c>
      <c r="E83" s="73" t="n">
        <f aca="false">E81*1000000000000/E55*(E54+E55)/1000000000000</f>
        <v>0.3</v>
      </c>
      <c r="F83" s="73" t="n">
        <f aca="false">F81*1000000000000/F55*(F54+F55)/1000000000000</f>
        <v>0.3</v>
      </c>
      <c r="G83" s="73" t="n">
        <f aca="false">G81*1000000000000/G55*(G54+G55)/1000000000000</f>
        <v>0.3</v>
      </c>
      <c r="H83" s="73" t="n">
        <f aca="false">H81*1000000000000/H55*(H54+H55)/1000000000000</f>
        <v>0.3</v>
      </c>
      <c r="I83" s="73" t="n">
        <f aca="false">I81*1000000000000/I55*(I54+I55)/1000000000000</f>
        <v>0.3</v>
      </c>
      <c r="J83" s="73" t="n">
        <f aca="false">J81*1000000000000/J55*(J54+J55)/1000000000000</f>
        <v>0.3</v>
      </c>
      <c r="K83" s="73" t="n">
        <f aca="false">K81*1000000000000/K55*(K54+K55)/1000000000000</f>
        <v>0.3</v>
      </c>
      <c r="L83" s="73" t="n">
        <f aca="false">L81*1000000000000/L55*(L54+L55)/1000000000000</f>
        <v>0.3</v>
      </c>
      <c r="M83" s="73" t="n">
        <f aca="false">M81*1000000000000/M55*(M54+M55)/1000000000000</f>
        <v>0.3</v>
      </c>
      <c r="N83" s="73" t="n">
        <f aca="false">N81*1000000000000/N55*(N54+N55)/1000000000000</f>
        <v>0.3</v>
      </c>
      <c r="O83" s="73" t="n">
        <f aca="false">O81*1000000000000/O55*(O54+O55)/1000000000000</f>
        <v>0.3</v>
      </c>
      <c r="P83" s="73" t="n">
        <f aca="false">P81*1000000000000/P55*(P54+P55)/1000000000000</f>
        <v>0.3</v>
      </c>
      <c r="Q83" s="73" t="n">
        <f aca="false">Q81*1000000000000/Q55*(Q54+Q55)/1000000000000</f>
        <v>0.3</v>
      </c>
      <c r="R83" s="73" t="n">
        <f aca="false">R81*1000000000000/R55*(R54+R55)/1000000000000</f>
        <v>0.3</v>
      </c>
      <c r="S83" s="73" t="n">
        <f aca="false">S81*1000000000000/S55*(S54+S55)/1000000000000</f>
        <v>0.3</v>
      </c>
      <c r="T83" s="73" t="n">
        <f aca="false">T81*1000000000000/T55*(T54+T55)/1000000000000</f>
        <v>0.3</v>
      </c>
      <c r="U83" s="73" t="n">
        <f aca="false">U81*1000000000000/U55*(U54+U55)/1000000000000</f>
        <v>0.3</v>
      </c>
      <c r="V83" s="73" t="n">
        <f aca="false">V81*1000000000000/V55*(V54+V55)/1000000000000</f>
        <v>0.3</v>
      </c>
      <c r="W83" s="73" t="n">
        <f aca="false">W81*1000000000000/W55*(W54+W55)/1000000000000</f>
        <v>0.3</v>
      </c>
      <c r="X83" s="73" t="n">
        <f aca="false">X81*1000000000000/X55*(X54+X55)/1000000000000</f>
        <v>0.3</v>
      </c>
      <c r="Y83" s="73" t="n">
        <f aca="false">Y81*1000000000000/Y55*(Y54+Y55)/1000000000000</f>
        <v>0.3</v>
      </c>
      <c r="Z83" s="73" t="n">
        <f aca="false">Z81*1000000000000/Z55*(Z54+Z55)/1000000000000</f>
        <v>0.3</v>
      </c>
      <c r="AA83" s="73" t="n">
        <f aca="false">AA81*1000000000000/AA55*(AA54+AA55)/1000000000000</f>
        <v>0.3</v>
      </c>
      <c r="AB83" s="73" t="n">
        <f aca="false">AB81*1000000000000/AB55*(AB54+AB55)/1000000000000</f>
        <v>0.3</v>
      </c>
      <c r="AC83" s="73" t="n">
        <f aca="false">AC81*1000000000000/AC55*(AC54+AC55)/1000000000000</f>
        <v>0.3</v>
      </c>
      <c r="AD83" s="73" t="n">
        <f aca="false">AD81*1000000000000/AD55*(AD54+AD55)/1000000000000</f>
        <v>0.3</v>
      </c>
      <c r="AE83" s="73" t="n">
        <f aca="false">AE81*1000000000000/AE55*(AE54+AE55)/1000000000000</f>
        <v>0.3</v>
      </c>
      <c r="AF83" s="73" t="n">
        <f aca="false">AF81*1000000000000/AF55*(AF54+AF55)/1000000000000</f>
        <v>0.3</v>
      </c>
      <c r="AG83" s="73" t="n">
        <f aca="false">AG81*1000000000000/AG55*(AG54+AG55)/1000000000000</f>
        <v>0.3</v>
      </c>
      <c r="AH83" s="73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1337</v>
      </c>
      <c r="B84" s="62" t="s">
        <v>998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1338</v>
      </c>
      <c r="B85" s="62" t="s">
        <v>566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1339</v>
      </c>
      <c r="B86" s="62" t="s">
        <v>1292</v>
      </c>
      <c r="C86" s="69" t="n">
        <f aca="false">IF(AND(ISNUMBER(C59)),C81*1000000*C59/3600/C64,"SLO 不可達")</f>
        <v>16265.3626052943</v>
      </c>
      <c r="D86" s="69" t="n">
        <f aca="false">IF(AND(ISNUMBER(D59)),D81*1000000*D59/3600/D64,"SLO 不可達")</f>
        <v>69339.0610047075</v>
      </c>
      <c r="E86" s="69" t="n">
        <f aca="false">IF(AND(ISNUMBER(E59)),E81*1000000*E59/3600/E64,"SLO 不可達")</f>
        <v>16265.3626052943</v>
      </c>
      <c r="F86" s="69" t="n">
        <f aca="false">IF(AND(ISNUMBER(F59)),F81*1000000*F59/3600/F64,"SLO 不可達")</f>
        <v>69339.0610047075</v>
      </c>
      <c r="G86" s="69" t="n">
        <f aca="false">IF(AND(ISNUMBER(G59)),G81*1000000*G59/3600/G64,"SLO 不可達")</f>
        <v>16265.3626052943</v>
      </c>
      <c r="H86" s="69" t="n">
        <f aca="false">IF(AND(ISNUMBER(H59)),H81*1000000*H59/3600/H64,"SLO 不可達")</f>
        <v>69339.0610047075</v>
      </c>
      <c r="I86" s="69" t="n">
        <f aca="false">IF(AND(ISNUMBER(I59)),I81*1000000*I59/3600/I64,"SLO 不可達")</f>
        <v>16265.3626052943</v>
      </c>
      <c r="J86" s="69" t="n">
        <f aca="false">IF(AND(ISNUMBER(J59)),J81*1000000*J59/3600/J64,"SLO 不可達")</f>
        <v>69339.0610047075</v>
      </c>
      <c r="K86" s="69" t="n">
        <f aca="false">IF(AND(ISNUMBER(K59)),K81*1000000*K59/3600/K64,"SLO 不可達")</f>
        <v>16265.3626052943</v>
      </c>
      <c r="L86" s="69" t="n">
        <f aca="false">IF(AND(ISNUMBER(L59)),L81*1000000*L59/3600/L64,"SLO 不可達")</f>
        <v>69339.0610047075</v>
      </c>
      <c r="M86" s="69" t="n">
        <f aca="false">IF(AND(ISNUMBER(M59)),M81*1000000*M59/3600/M64,"SLO 不可達")</f>
        <v>16265.3626052943</v>
      </c>
      <c r="N86" s="69" t="n">
        <f aca="false">IF(AND(ISNUMBER(N59)),N81*1000000*N59/3600/N64,"SLO 不可達")</f>
        <v>69339.0610047075</v>
      </c>
      <c r="O86" s="69" t="n">
        <f aca="false">IF(AND(ISNUMBER(O59)),O81*1000000*O59/3600/O64,"SLO 不可達")</f>
        <v>16265.3626052943</v>
      </c>
      <c r="P86" s="69" t="n">
        <f aca="false">IF(AND(ISNUMBER(P59)),P81*1000000*P59/3600/P64,"SLO 不可達")</f>
        <v>69339.0610047075</v>
      </c>
      <c r="Q86" s="69" t="n">
        <f aca="false">IF(AND(ISNUMBER(Q59)),Q81*1000000*Q59/3600/Q64,"SLO 不可達")</f>
        <v>16265.3626052943</v>
      </c>
      <c r="R86" s="69" t="n">
        <f aca="false">IF(AND(ISNUMBER(R59)),R81*1000000*R59/3600/R64,"SLO 不可達")</f>
        <v>69339.0610047075</v>
      </c>
      <c r="S86" s="69" t="n">
        <f aca="false">IF(AND(ISNUMBER(S59)),S81*1000000*S59/3600/S64,"SLO 不可達")</f>
        <v>23042.5970241669</v>
      </c>
      <c r="T86" s="69" t="n">
        <f aca="false">IF(AND(ISNUMBER(T59)),T81*1000000*T59/3600/T64,"SLO 不可達")</f>
        <v>98230.3364233356</v>
      </c>
      <c r="U86" s="69" t="n">
        <f aca="false">IF(AND(ISNUMBER(U59)),U81*1000000*U59/3600/U64,"SLO 不可達")</f>
        <v>14553.2191731581</v>
      </c>
      <c r="V86" s="69" t="n">
        <f aca="false">IF(AND(ISNUMBER(V59)),V81*1000000*V59/3600/V64,"SLO 不可達")</f>
        <v>62040.2124778962</v>
      </c>
      <c r="W86" s="69" t="n">
        <f aca="false">IF(AND(ISNUMBER(W59)),W81*1000000*W59/3600/W64,"SLO 不可達")</f>
        <v>24609.6925975813</v>
      </c>
      <c r="X86" s="69" t="n">
        <f aca="false">IF(AND(ISNUMBER(X59)),X81*1000000*X59/3600/X64,"SLO 不可達")</f>
        <v>105467.756760022</v>
      </c>
      <c r="Y86" s="69" t="n">
        <f aca="false">IF(AND(ISNUMBER(Y59)),Y81*1000000*Y59/3600/Y64,"SLO 不可達")</f>
        <v>16265.3626052943</v>
      </c>
      <c r="Z86" s="69" t="n">
        <f aca="false">IF(AND(ISNUMBER(Z59)),Z81*1000000*Z59/3600/Z64,"SLO 不可達")</f>
        <v>69339.0610047075</v>
      </c>
      <c r="AA86" s="69" t="n">
        <f aca="false">IF(AND(ISNUMBER(AA59)),AA81*1000000*AA59/3600/AA64,"SLO 不可達")</f>
        <v>16265.3626052943</v>
      </c>
      <c r="AB86" s="69" t="n">
        <f aca="false">IF(AND(ISNUMBER(AB59)),AB81*1000000*AB59/3600/AB64,"SLO 不可達")</f>
        <v>69339.0610047075</v>
      </c>
      <c r="AC86" s="69" t="n">
        <f aca="false">IF(AND(ISNUMBER(AC59)),AC81*1000000*AC59/3600/AC64,"SLO 不可達")</f>
        <v>16265.3626052943</v>
      </c>
      <c r="AD86" s="69" t="n">
        <f aca="false">IF(AND(ISNUMBER(AD59)),AD81*1000000*AD59/3600/AD64,"SLO 不可達")</f>
        <v>69339.0610047075</v>
      </c>
      <c r="AE86" s="69" t="n">
        <f aca="false">IF(AND(ISNUMBER(AE59)),AE81*1000000*AE59/3600/AE64,"SLO 不可達")</f>
        <v>16265.3626052943</v>
      </c>
      <c r="AF86" s="69" t="n">
        <f aca="false">IF(AND(ISNUMBER(AF59)),AF81*1000000*AF59/3600/AF64,"SLO 不可達")</f>
        <v>69339.0610047075</v>
      </c>
      <c r="AG86" s="69" t="n">
        <f aca="false">IF(AND(ISNUMBER(AG59)),AG81*1000000*AG59/3600/AG64,"SLO 不可達")</f>
        <v>16265.3626052943</v>
      </c>
      <c r="AH86" s="69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1340</v>
      </c>
      <c r="B87" s="62" t="s">
        <v>1292</v>
      </c>
      <c r="C87" s="69" t="n">
        <f aca="false">C83*1000000*C84/3600</f>
        <v>1043.84817893181</v>
      </c>
      <c r="D87" s="69" t="n">
        <f aca="false">D83*1000000*D84/3600</f>
        <v>3176.70887619048</v>
      </c>
      <c r="E87" s="69" t="n">
        <f aca="false">E83*1000000*E84/3600</f>
        <v>1043.84817893181</v>
      </c>
      <c r="F87" s="69" t="n">
        <f aca="false">F83*1000000*F84/3600</f>
        <v>3176.70887619048</v>
      </c>
      <c r="G87" s="69" t="n">
        <f aca="false">G83*1000000*G84/3600</f>
        <v>1043.84817893181</v>
      </c>
      <c r="H87" s="69" t="n">
        <f aca="false">H83*1000000*H84/3600</f>
        <v>3176.70887619048</v>
      </c>
      <c r="I87" s="69" t="n">
        <f aca="false">I83*1000000*I84/3600</f>
        <v>1043.84817893181</v>
      </c>
      <c r="J87" s="69" t="n">
        <f aca="false">J83*1000000*J84/3600</f>
        <v>3176.70887619048</v>
      </c>
      <c r="K87" s="69" t="n">
        <f aca="false">K83*1000000*K84/3600</f>
        <v>1043.84817893181</v>
      </c>
      <c r="L87" s="69" t="n">
        <f aca="false">L83*1000000*L84/3600</f>
        <v>3176.70887619048</v>
      </c>
      <c r="M87" s="69" t="n">
        <f aca="false">M83*1000000*M84/3600</f>
        <v>1043.84817893181</v>
      </c>
      <c r="N87" s="69" t="n">
        <f aca="false">N83*1000000*N84/3600</f>
        <v>3176.70887619048</v>
      </c>
      <c r="O87" s="69" t="n">
        <f aca="false">O83*1000000*O84/3600</f>
        <v>1043.84817893181</v>
      </c>
      <c r="P87" s="69" t="n">
        <f aca="false">P83*1000000*P84/3600</f>
        <v>3176.70887619048</v>
      </c>
      <c r="Q87" s="69" t="n">
        <f aca="false">Q83*1000000*Q84/3600</f>
        <v>1043.84817893181</v>
      </c>
      <c r="R87" s="69" t="n">
        <f aca="false">R83*1000000*R84/3600</f>
        <v>3176.70887619048</v>
      </c>
      <c r="S87" s="69" t="n">
        <f aca="false">S83*1000000*S84/3600</f>
        <v>1043.84817893181</v>
      </c>
      <c r="T87" s="69" t="n">
        <f aca="false">T83*1000000*T84/3600</f>
        <v>3176.70887619048</v>
      </c>
      <c r="U87" s="69" t="n">
        <f aca="false">U83*1000000*U84/3600</f>
        <v>1043.84817893181</v>
      </c>
      <c r="V87" s="69" t="n">
        <f aca="false">V83*1000000*V84/3600</f>
        <v>3176.70887619048</v>
      </c>
      <c r="W87" s="69" t="n">
        <f aca="false">W83*1000000*W84/3600</f>
        <v>1043.84817893181</v>
      </c>
      <c r="X87" s="69" t="n">
        <f aca="false">X83*1000000*X84/3600</f>
        <v>3176.70887619048</v>
      </c>
      <c r="Y87" s="69" t="n">
        <f aca="false">Y83*1000000*Y84/3600</f>
        <v>1043.84817893181</v>
      </c>
      <c r="Z87" s="69" t="n">
        <f aca="false">Z83*1000000*Z84/3600</f>
        <v>3176.70887619048</v>
      </c>
      <c r="AA87" s="69" t="n">
        <f aca="false">AA83*1000000*AA84/3600</f>
        <v>1043.84817893181</v>
      </c>
      <c r="AB87" s="69" t="n">
        <f aca="false">AB83*1000000*AB84/3600</f>
        <v>3176.70887619048</v>
      </c>
      <c r="AC87" s="69" t="n">
        <f aca="false">AC83*1000000*AC84/3600</f>
        <v>1043.84817893181</v>
      </c>
      <c r="AD87" s="69" t="n">
        <f aca="false">AD83*1000000*AD84/3600</f>
        <v>3176.70887619048</v>
      </c>
      <c r="AE87" s="69" t="n">
        <f aca="false">AE83*1000000*AE84/3600</f>
        <v>1043.84817893181</v>
      </c>
      <c r="AF87" s="69" t="n">
        <f aca="false">AF83*1000000*AF84/3600</f>
        <v>3176.70887619048</v>
      </c>
      <c r="AG87" s="69" t="n">
        <f aca="false">AG83*1000000*AG84/3600</f>
        <v>1043.84817893181</v>
      </c>
      <c r="AH87" s="69" t="n">
        <f aca="false">AH83*1000000*AH84/3600</f>
        <v>3176.70887619048</v>
      </c>
    </row>
    <row r="88" customFormat="false" ht="15" hidden="false" customHeight="false" outlineLevel="0" collapsed="false">
      <c r="A88" s="61" t="s">
        <v>1341</v>
      </c>
      <c r="B88" s="62" t="s">
        <v>355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1342</v>
      </c>
      <c r="B89" s="62" t="s">
        <v>1292</v>
      </c>
      <c r="C89" s="69" t="n">
        <f aca="false">C88/(C12*1000000000000000*C16*C71*C17)/3600</f>
        <v>15643.9504442093</v>
      </c>
      <c r="D89" s="69" t="n">
        <f aca="false">D88/(D12*1000000000000000*D16*D71*D17)/3600</f>
        <v>56530.9765079365</v>
      </c>
      <c r="E89" s="69" t="n">
        <f aca="false">E88/(E12*1000000000000000*E16*E71*E17)/3600</f>
        <v>26073.2507403488</v>
      </c>
      <c r="F89" s="69" t="n">
        <f aca="false">F88/(F12*1000000000000000*F16*F71*F17)/3600</f>
        <v>94218.2941798942</v>
      </c>
      <c r="G89" s="69" t="n">
        <f aca="false">G88/(G12*1000000000000000*G16*G71*G17)/3600</f>
        <v>9777.46902763081</v>
      </c>
      <c r="H89" s="69" t="n">
        <f aca="false">H88/(H12*1000000000000000*H16*H71*H17)/3600</f>
        <v>35331.8603174603</v>
      </c>
      <c r="I89" s="69" t="n">
        <f aca="false">I88/(I12*1000000000000000*I16*I71*I17)/3600</f>
        <v>7821.97522210464</v>
      </c>
      <c r="J89" s="69" t="n">
        <f aca="false">J88/(J12*1000000000000000*J16*J71*J17)/3600</f>
        <v>28265.4882539683</v>
      </c>
      <c r="K89" s="69" t="n">
        <f aca="false">K88/(K12*1000000000000000*K16*K71*K17)/3600</f>
        <v>15643.9504442093</v>
      </c>
      <c r="L89" s="69" t="n">
        <f aca="false">L88/(L12*1000000000000000*L16*L71*L17)/3600</f>
        <v>56530.9765079365</v>
      </c>
      <c r="M89" s="69" t="n">
        <f aca="false">M88/(M12*1000000000000000*M16*M71*M17)/3600</f>
        <v>15643.9504442093</v>
      </c>
      <c r="N89" s="69" t="n">
        <f aca="false">N88/(N12*1000000000000000*N16*N71*N17)/3600</f>
        <v>56530.9765079365</v>
      </c>
      <c r="O89" s="69" t="n">
        <f aca="false">O88/(O12*1000000000000000*O16*O71*O17)/3600</f>
        <v>15643.9504442093</v>
      </c>
      <c r="P89" s="69" t="n">
        <f aca="false">P88/(P12*1000000000000000*P16*P71*P17)/3600</f>
        <v>56530.9765079365</v>
      </c>
      <c r="Q89" s="69" t="n">
        <f aca="false">Q88/(Q12*1000000000000000*Q16*Q71*Q17)/3600</f>
        <v>15643.9504442093</v>
      </c>
      <c r="R89" s="69" t="n">
        <f aca="false">R88/(R12*1000000000000000*R16*R71*R17)/3600</f>
        <v>56530.9765079365</v>
      </c>
      <c r="S89" s="69" t="n">
        <f aca="false">S88/(S12*1000000000000000*S16*S71*S17)/3600</f>
        <v>15643.9504442093</v>
      </c>
      <c r="T89" s="69" t="n">
        <f aca="false">T88/(T12*1000000000000000*T16*T71*T17)/3600</f>
        <v>56530.9765079365</v>
      </c>
      <c r="U89" s="69" t="n">
        <f aca="false">U88/(U12*1000000000000000*U16*U71*U17)/3600</f>
        <v>15643.9504442093</v>
      </c>
      <c r="V89" s="69" t="n">
        <f aca="false">V88/(V12*1000000000000000*V16*V71*V17)/3600</f>
        <v>56530.9765079365</v>
      </c>
      <c r="W89" s="69" t="n">
        <f aca="false">W88/(W12*1000000000000000*W16*W71*W17)/3600</f>
        <v>15643.9504442093</v>
      </c>
      <c r="X89" s="69" t="n">
        <f aca="false">X88/(X12*1000000000000000*X16*X71*X17)/3600</f>
        <v>56530.9765079365</v>
      </c>
      <c r="Y89" s="69" t="n">
        <f aca="false">Y88/(Y12*1000000000000000*Y16*Y71*Y17)/3600</f>
        <v>15643.9504442093</v>
      </c>
      <c r="Z89" s="69" t="n">
        <f aca="false">Z88/(Z12*1000000000000000*Z16*Z71*Z17)/3600</f>
        <v>56530.9765079365</v>
      </c>
      <c r="AA89" s="69" t="n">
        <f aca="false">AA88/(AA12*1000000000000000*AA16*AA71*AA17)/3600</f>
        <v>15643.9504442093</v>
      </c>
      <c r="AB89" s="69" t="n">
        <f aca="false">AB88/(AB12*1000000000000000*AB16*AB71*AB17)/3600</f>
        <v>56530.9765079365</v>
      </c>
      <c r="AC89" s="69" t="n">
        <f aca="false">AC88/(AC12*1000000000000000*AC16*AC71*AC17)/3600</f>
        <v>15643.9504442093</v>
      </c>
      <c r="AD89" s="69" t="n">
        <f aca="false">AD88/(AD12*1000000000000000*AD16*AD71*AD17)/3600</f>
        <v>56530.9765079365</v>
      </c>
      <c r="AE89" s="69" t="n">
        <f aca="false">AE88/(AE12*1000000000000000*AE16*AE71*AE17)/3600</f>
        <v>15643.9504442093</v>
      </c>
      <c r="AF89" s="69" t="n">
        <f aca="false">AF88/(AF12*1000000000000000*AF16*AF71*AF17)/3600</f>
        <v>56530.9765079365</v>
      </c>
      <c r="AG89" s="69" t="n">
        <f aca="false">AG88/(AG12*1000000000000000*AG16*AG71*AG17)/3600</f>
        <v>17599.4442497355</v>
      </c>
      <c r="AH89" s="69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1343</v>
      </c>
      <c r="B90" s="62" t="s">
        <v>1292</v>
      </c>
      <c r="C90" s="69" t="n">
        <f aca="false">IF(AND(ISNUMBER(C86)),C86+C87+C89,"SLO 不可達")</f>
        <v>32953.1612284354</v>
      </c>
      <c r="D90" s="69" t="n">
        <f aca="false">IF(AND(ISNUMBER(D86)),D86+D87+D89,"SLO 不可達")</f>
        <v>129046.746388834</v>
      </c>
      <c r="E90" s="69" t="n">
        <f aca="false">IF(AND(ISNUMBER(E86)),E86+E87+E89,"SLO 不可達")</f>
        <v>43382.4615245749</v>
      </c>
      <c r="F90" s="69" t="n">
        <f aca="false">IF(AND(ISNUMBER(F86)),F86+F87+F89,"SLO 不可達")</f>
        <v>166734.064060792</v>
      </c>
      <c r="G90" s="69" t="n">
        <f aca="false">IF(AND(ISNUMBER(G86)),G86+G87+G89,"SLO 不可達")</f>
        <v>27086.6798118569</v>
      </c>
      <c r="H90" s="69" t="n">
        <f aca="false">IF(AND(ISNUMBER(H86)),H86+H87+H89,"SLO 不可達")</f>
        <v>107847.630198358</v>
      </c>
      <c r="I90" s="69" t="n">
        <f aca="false">IF(AND(ISNUMBER(I86)),I86+I87+I89,"SLO 不可達")</f>
        <v>25131.1860063307</v>
      </c>
      <c r="J90" s="69" t="n">
        <f aca="false">IF(AND(ISNUMBER(J86)),J86+J87+J89,"SLO 不可達")</f>
        <v>100781.258134866</v>
      </c>
      <c r="K90" s="69" t="n">
        <f aca="false">IF(AND(ISNUMBER(K86)),K86+K87+K89,"SLO 不可達")</f>
        <v>32953.1612284354</v>
      </c>
      <c r="L90" s="69" t="n">
        <f aca="false">IF(AND(ISNUMBER(L86)),L86+L87+L89,"SLO 不可達")</f>
        <v>129046.746388834</v>
      </c>
      <c r="M90" s="69" t="n">
        <f aca="false">IF(AND(ISNUMBER(M86)),M86+M87+M89,"SLO 不可達")</f>
        <v>32953.1612284354</v>
      </c>
      <c r="N90" s="69" t="n">
        <f aca="false">IF(AND(ISNUMBER(N86)),N86+N87+N89,"SLO 不可達")</f>
        <v>129046.746388834</v>
      </c>
      <c r="O90" s="69" t="n">
        <f aca="false">IF(AND(ISNUMBER(O86)),O86+O87+O89,"SLO 不可達")</f>
        <v>32953.1612284354</v>
      </c>
      <c r="P90" s="69" t="n">
        <f aca="false">IF(AND(ISNUMBER(P86)),P86+P87+P89,"SLO 不可達")</f>
        <v>129046.746388834</v>
      </c>
      <c r="Q90" s="69" t="n">
        <f aca="false">IF(AND(ISNUMBER(Q86)),Q86+Q87+Q89,"SLO 不可達")</f>
        <v>32953.1612284354</v>
      </c>
      <c r="R90" s="69" t="n">
        <f aca="false">IF(AND(ISNUMBER(R86)),R86+R87+R89,"SLO 不可達")</f>
        <v>129046.746388834</v>
      </c>
      <c r="S90" s="69" t="n">
        <f aca="false">IF(AND(ISNUMBER(S86)),S86+S87+S89,"SLO 不可達")</f>
        <v>39730.395647308</v>
      </c>
      <c r="T90" s="69" t="n">
        <f aca="false">IF(AND(ISNUMBER(T86)),T86+T87+T89,"SLO 不可達")</f>
        <v>157938.021807463</v>
      </c>
      <c r="U90" s="69" t="n">
        <f aca="false">IF(AND(ISNUMBER(U86)),U86+U87+U89,"SLO 不可達")</f>
        <v>31241.0177962992</v>
      </c>
      <c r="V90" s="69" t="n">
        <f aca="false">IF(AND(ISNUMBER(V86)),V86+V87+V89,"SLO 不可達")</f>
        <v>121747.897862023</v>
      </c>
      <c r="W90" s="69" t="n">
        <f aca="false">IF(AND(ISNUMBER(W86)),W86+W87+W89,"SLO 不可達")</f>
        <v>41297.4912207224</v>
      </c>
      <c r="X90" s="69" t="n">
        <f aca="false">IF(AND(ISNUMBER(X86)),X86+X87+X89,"SLO 不可達")</f>
        <v>165175.442144149</v>
      </c>
      <c r="Y90" s="69" t="n">
        <f aca="false">IF(AND(ISNUMBER(Y86)),Y86+Y87+Y89,"SLO 不可達")</f>
        <v>32953.1612284354</v>
      </c>
      <c r="Z90" s="69" t="n">
        <f aca="false">IF(AND(ISNUMBER(Z86)),Z86+Z87+Z89,"SLO 不可達")</f>
        <v>129046.746388834</v>
      </c>
      <c r="AA90" s="69" t="n">
        <f aca="false">IF(AND(ISNUMBER(AA86)),AA86+AA87+AA89,"SLO 不可達")</f>
        <v>32953.1612284354</v>
      </c>
      <c r="AB90" s="69" t="n">
        <f aca="false">IF(AND(ISNUMBER(AB86)),AB86+AB87+AB89,"SLO 不可達")</f>
        <v>129046.746388834</v>
      </c>
      <c r="AC90" s="69" t="n">
        <f aca="false">IF(AND(ISNUMBER(AC86)),AC86+AC87+AC89,"SLO 不可達")</f>
        <v>32953.1612284354</v>
      </c>
      <c r="AD90" s="69" t="n">
        <f aca="false">IF(AND(ISNUMBER(AD86)),AD86+AD87+AD89,"SLO 不可達")</f>
        <v>129046.746388834</v>
      </c>
      <c r="AE90" s="69" t="n">
        <f aca="false">IF(AND(ISNUMBER(AE86)),AE86+AE87+AE89,"SLO 不可達")</f>
        <v>32953.1612284354</v>
      </c>
      <c r="AF90" s="69" t="n">
        <f aca="false">IF(AND(ISNUMBER(AF86)),AF86+AF87+AF89,"SLO 不可達")</f>
        <v>129046.746388834</v>
      </c>
      <c r="AG90" s="69" t="n">
        <f aca="false">IF(AND(ISNUMBER(AG86)),AG86+AG87+AG89,"SLO 不可達")</f>
        <v>34908.6550339616</v>
      </c>
      <c r="AH90" s="69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1344</v>
      </c>
      <c r="B91" s="62" t="s">
        <v>355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7" t="s">
        <v>1345</v>
      </c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</row>
    <row r="93" customFormat="false" ht="15" hidden="false" customHeight="false" outlineLevel="0" collapsed="false">
      <c r="A93" s="61" t="s">
        <v>1346</v>
      </c>
      <c r="B93" s="62" t="s">
        <v>1175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1347</v>
      </c>
      <c r="B94" s="61"/>
      <c r="C94" s="90" t="n">
        <f aca="false">Train_In!$C$15</f>
        <v>3</v>
      </c>
      <c r="D94" s="90" t="n">
        <f aca="false">Train_In!$C$15</f>
        <v>3</v>
      </c>
      <c r="E94" s="90" t="n">
        <f aca="false">Train_In!$C$15</f>
        <v>3</v>
      </c>
      <c r="F94" s="90" t="n">
        <f aca="false">Train_In!$C$15</f>
        <v>3</v>
      </c>
      <c r="G94" s="90" t="n">
        <f aca="false">Train_In!$C$15</f>
        <v>3</v>
      </c>
      <c r="H94" s="90" t="n">
        <f aca="false">Train_In!$C$15</f>
        <v>3</v>
      </c>
      <c r="I94" s="90" t="n">
        <f aca="false">Train_In!$C$15</f>
        <v>3</v>
      </c>
      <c r="J94" s="90" t="n">
        <f aca="false">Train_In!$C$15</f>
        <v>3</v>
      </c>
      <c r="K94" s="90" t="n">
        <f aca="false">Train_In!$C$15</f>
        <v>3</v>
      </c>
      <c r="L94" s="90" t="n">
        <f aca="false">Train_In!$C$15</f>
        <v>3</v>
      </c>
      <c r="M94" s="90" t="n">
        <f aca="false">Train_In!$C$15</f>
        <v>3</v>
      </c>
      <c r="N94" s="90" t="n">
        <f aca="false">Train_In!$C$15</f>
        <v>3</v>
      </c>
      <c r="O94" s="90" t="n">
        <f aca="false">Train_In!$C$15</f>
        <v>3</v>
      </c>
      <c r="P94" s="90" t="n">
        <f aca="false">Train_In!$C$15</f>
        <v>3</v>
      </c>
      <c r="Q94" s="90" t="n">
        <f aca="false">Train_In!$C$15</f>
        <v>3</v>
      </c>
      <c r="R94" s="90" t="n">
        <f aca="false">Train_In!$C$15</f>
        <v>3</v>
      </c>
      <c r="S94" s="90" t="n">
        <f aca="false">Train_In!$C$15</f>
        <v>3</v>
      </c>
      <c r="T94" s="90" t="n">
        <f aca="false">Train_In!$C$15</f>
        <v>3</v>
      </c>
      <c r="U94" s="90" t="n">
        <f aca="false">Train_In!$C$15</f>
        <v>3</v>
      </c>
      <c r="V94" s="90" t="n">
        <f aca="false">Train_In!$C$15</f>
        <v>3</v>
      </c>
      <c r="W94" s="90" t="n">
        <f aca="false">Train_In!$C$15</f>
        <v>3</v>
      </c>
      <c r="X94" s="90" t="n">
        <f aca="false">Train_In!$C$15</f>
        <v>3</v>
      </c>
      <c r="Y94" s="90" t="n">
        <f aca="false">Train_In!$C$15</f>
        <v>3</v>
      </c>
      <c r="Z94" s="90" t="n">
        <f aca="false">Train_In!$C$15</f>
        <v>3</v>
      </c>
      <c r="AA94" s="90" t="n">
        <f aca="false">Train_In!$C$15</f>
        <v>3</v>
      </c>
      <c r="AB94" s="90" t="n">
        <f aca="false">Train_In!$C$15</f>
        <v>3</v>
      </c>
      <c r="AC94" s="90" t="n">
        <f aca="false">Train_In!$C$15</f>
        <v>3</v>
      </c>
      <c r="AD94" s="90" t="n">
        <f aca="false">Train_In!$C$15</f>
        <v>3</v>
      </c>
      <c r="AE94" s="90" t="n">
        <f aca="false">Train_In!$C$15</f>
        <v>3</v>
      </c>
      <c r="AF94" s="90" t="n">
        <f aca="false">Train_In!$C$15</f>
        <v>3</v>
      </c>
      <c r="AG94" s="90" t="n">
        <f aca="false">Train_In!$C$15</f>
        <v>3</v>
      </c>
      <c r="AH94" s="90" t="n">
        <f aca="false">Train_In!$C$15</f>
        <v>3</v>
      </c>
    </row>
    <row r="95" customFormat="false" ht="15" hidden="false" customHeight="false" outlineLevel="0" collapsed="false">
      <c r="A95" s="61" t="s">
        <v>1348</v>
      </c>
      <c r="B95" s="62" t="s">
        <v>998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1349</v>
      </c>
      <c r="B96" s="62" t="s">
        <v>566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1350</v>
      </c>
      <c r="B97" s="62" t="s">
        <v>1292</v>
      </c>
      <c r="C97" s="69" t="n">
        <f aca="false">IF(AND(ISNUMBER(C95)),C93*1000000*C95/3600,"SLO 不可達")</f>
        <v>589382.018540014</v>
      </c>
      <c r="D97" s="69" t="n">
        <f aca="false">IF(AND(ISNUMBER(D95)),D93*1000000*D95/3600,"SLO 不可達")</f>
        <v>884073.027810021</v>
      </c>
      <c r="E97" s="69" t="n">
        <f aca="false">IF(AND(ISNUMBER(E95)),E93*1000000*E95/3600,"SLO 不可達")</f>
        <v>589382.018540014</v>
      </c>
      <c r="F97" s="69" t="n">
        <f aca="false">IF(AND(ISNUMBER(F95)),F93*1000000*F95/3600,"SLO 不可達")</f>
        <v>884073.027810021</v>
      </c>
      <c r="G97" s="69" t="n">
        <f aca="false">IF(AND(ISNUMBER(G95)),G93*1000000*G95/3600,"SLO 不可達")</f>
        <v>589382.018540014</v>
      </c>
      <c r="H97" s="69" t="n">
        <f aca="false">IF(AND(ISNUMBER(H95)),H93*1000000*H95/3600,"SLO 不可達")</f>
        <v>884073.027810021</v>
      </c>
      <c r="I97" s="69" t="n">
        <f aca="false">IF(AND(ISNUMBER(I95)),I93*1000000*I95/3600,"SLO 不可達")</f>
        <v>589382.018540014</v>
      </c>
      <c r="J97" s="69" t="n">
        <f aca="false">IF(AND(ISNUMBER(J95)),J93*1000000*J95/3600,"SLO 不可達")</f>
        <v>884073.027810021</v>
      </c>
      <c r="K97" s="69" t="n">
        <f aca="false">IF(AND(ISNUMBER(K95)),K93*1000000*K95/3600,"SLO 不可達")</f>
        <v>589382.018540014</v>
      </c>
      <c r="L97" s="69" t="n">
        <f aca="false">IF(AND(ISNUMBER(L95)),L93*1000000*L95/3600,"SLO 不可達")</f>
        <v>884073.027810021</v>
      </c>
      <c r="M97" s="69" t="n">
        <f aca="false">IF(AND(ISNUMBER(M95)),M93*1000000*M95/3600,"SLO 不可達")</f>
        <v>589382.018540014</v>
      </c>
      <c r="N97" s="69" t="n">
        <f aca="false">IF(AND(ISNUMBER(N95)),N93*1000000*N95/3600,"SLO 不可達")</f>
        <v>884073.027810021</v>
      </c>
      <c r="O97" s="69" t="n">
        <f aca="false">IF(AND(ISNUMBER(O95)),O93*1000000*O95/3600,"SLO 不可達")</f>
        <v>589382.018540014</v>
      </c>
      <c r="P97" s="69" t="n">
        <f aca="false">IF(AND(ISNUMBER(P95)),P93*1000000*P95/3600,"SLO 不可達")</f>
        <v>884073.027810021</v>
      </c>
      <c r="Q97" s="69" t="n">
        <f aca="false">IF(AND(ISNUMBER(Q95)),Q93*1000000*Q95/3600,"SLO 不可達")</f>
        <v>589382.018540014</v>
      </c>
      <c r="R97" s="69" t="n">
        <f aca="false">IF(AND(ISNUMBER(R95)),R93*1000000*R95/3600,"SLO 不可達")</f>
        <v>884073.027810021</v>
      </c>
      <c r="S97" s="69" t="n">
        <f aca="false">IF(AND(ISNUMBER(S95)),S93*1000000*S95/3600,"SLO 不可達")</f>
        <v>589382.018540014</v>
      </c>
      <c r="T97" s="69" t="n">
        <f aca="false">IF(AND(ISNUMBER(T95)),T93*1000000*T95/3600,"SLO 不可達")</f>
        <v>884073.027810021</v>
      </c>
      <c r="U97" s="69" t="n">
        <f aca="false">IF(AND(ISNUMBER(U95)),U93*1000000*U95/3600,"SLO 不可達")</f>
        <v>589382.018540014</v>
      </c>
      <c r="V97" s="69" t="n">
        <f aca="false">IF(AND(ISNUMBER(V95)),V93*1000000*V95/3600,"SLO 不可達")</f>
        <v>884073.027810021</v>
      </c>
      <c r="W97" s="69" t="n">
        <f aca="false">IF(AND(ISNUMBER(W95)),W93*1000000*W95/3600,"SLO 不可達")</f>
        <v>589382.018540014</v>
      </c>
      <c r="X97" s="69" t="n">
        <f aca="false">IF(AND(ISNUMBER(X95)),X93*1000000*X95/3600,"SLO 不可達")</f>
        <v>884073.027810021</v>
      </c>
      <c r="Y97" s="69" t="n">
        <f aca="false">IF(AND(ISNUMBER(Y95)),Y93*1000000*Y95/3600,"SLO 不可達")</f>
        <v>0</v>
      </c>
      <c r="Z97" s="69" t="n">
        <f aca="false">IF(AND(ISNUMBER(Z95)),Z93*1000000*Z95/3600,"SLO 不可達")</f>
        <v>0</v>
      </c>
      <c r="AA97" s="69" t="n">
        <f aca="false">IF(AND(ISNUMBER(AA95)),AA93*1000000*AA95/3600,"SLO 不可達")</f>
        <v>1768146.05562004</v>
      </c>
      <c r="AB97" s="69" t="n">
        <f aca="false">IF(AND(ISNUMBER(AB95)),AB93*1000000*AB95/3600,"SLO 不可達")</f>
        <v>2652219.08343006</v>
      </c>
      <c r="AC97" s="69" t="n">
        <f aca="false">IF(AND(ISNUMBER(AC95)),AC93*1000000*AC95/3600,"SLO 不可達")</f>
        <v>589382.018540014</v>
      </c>
      <c r="AD97" s="69" t="n">
        <f aca="false">IF(AND(ISNUMBER(AD95)),AD93*1000000*AD95/3600,"SLO 不可達")</f>
        <v>884073.027810021</v>
      </c>
      <c r="AE97" s="69" t="n">
        <f aca="false">IF(AND(ISNUMBER(AE95)),AE93*1000000*AE95/3600,"SLO 不可達")</f>
        <v>589382.018540014</v>
      </c>
      <c r="AF97" s="69" t="n">
        <f aca="false">IF(AND(ISNUMBER(AF95)),AF93*1000000*AF95/3600,"SLO 不可達")</f>
        <v>884073.027810021</v>
      </c>
      <c r="AG97" s="69" t="n">
        <f aca="false">IF(AND(ISNUMBER(AG95)),AG93*1000000*AG95/3600,"SLO 不可達")</f>
        <v>589382.018540014</v>
      </c>
      <c r="AH97" s="69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1351</v>
      </c>
      <c r="B98" s="62" t="s">
        <v>355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1198</v>
      </c>
      <c r="B99" s="62" t="s">
        <v>1175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1352</v>
      </c>
      <c r="B100" s="62" t="s">
        <v>1292</v>
      </c>
      <c r="C100" s="69" t="n">
        <f aca="false">IF(AND(ISNUMBER(C59)),C99*1000000*C59/3600,"SLO 不可達")</f>
        <v>3456.38955362504</v>
      </c>
      <c r="D100" s="69" t="n">
        <f aca="false">IF(AND(ISNUMBER(D59)),D99*1000000*D59/3600,"SLO 不可達")</f>
        <v>29469.1009270007</v>
      </c>
      <c r="E100" s="69" t="n">
        <f aca="false">IF(AND(ISNUMBER(E59)),E99*1000000*E59/3600,"SLO 不可達")</f>
        <v>3456.38955362504</v>
      </c>
      <c r="F100" s="69" t="n">
        <f aca="false">IF(AND(ISNUMBER(F59)),F99*1000000*F59/3600,"SLO 不可達")</f>
        <v>29469.1009270007</v>
      </c>
      <c r="G100" s="69" t="n">
        <f aca="false">IF(AND(ISNUMBER(G59)),G99*1000000*G59/3600,"SLO 不可達")</f>
        <v>3456.38955362504</v>
      </c>
      <c r="H100" s="69" t="n">
        <f aca="false">IF(AND(ISNUMBER(H59)),H99*1000000*H59/3600,"SLO 不可達")</f>
        <v>29469.1009270007</v>
      </c>
      <c r="I100" s="69" t="n">
        <f aca="false">IF(AND(ISNUMBER(I59)),I99*1000000*I59/3600,"SLO 不可達")</f>
        <v>3456.38955362504</v>
      </c>
      <c r="J100" s="69" t="n">
        <f aca="false">IF(AND(ISNUMBER(J59)),J99*1000000*J59/3600,"SLO 不可達")</f>
        <v>29469.1009270007</v>
      </c>
      <c r="K100" s="69" t="n">
        <f aca="false">IF(AND(ISNUMBER(K59)),K99*1000000*K59/3600,"SLO 不可達")</f>
        <v>3456.38955362504</v>
      </c>
      <c r="L100" s="69" t="n">
        <f aca="false">IF(AND(ISNUMBER(L59)),L99*1000000*L59/3600,"SLO 不可達")</f>
        <v>29469.1009270007</v>
      </c>
      <c r="M100" s="69" t="n">
        <f aca="false">IF(AND(ISNUMBER(M59)),M99*1000000*M59/3600,"SLO 不可達")</f>
        <v>3456.38955362504</v>
      </c>
      <c r="N100" s="69" t="n">
        <f aca="false">IF(AND(ISNUMBER(N59)),N99*1000000*N59/3600,"SLO 不可達")</f>
        <v>29469.1009270007</v>
      </c>
      <c r="O100" s="69" t="n">
        <f aca="false">IF(AND(ISNUMBER(O59)),O99*1000000*O59/3600,"SLO 不可達")</f>
        <v>3456.38955362504</v>
      </c>
      <c r="P100" s="69" t="n">
        <f aca="false">IF(AND(ISNUMBER(P59)),P99*1000000*P59/3600,"SLO 不可達")</f>
        <v>29469.1009270007</v>
      </c>
      <c r="Q100" s="69" t="n">
        <f aca="false">IF(AND(ISNUMBER(Q59)),Q99*1000000*Q59/3600,"SLO 不可達")</f>
        <v>3456.38955362504</v>
      </c>
      <c r="R100" s="69" t="n">
        <f aca="false">IF(AND(ISNUMBER(R59)),R99*1000000*R59/3600,"SLO 不可達")</f>
        <v>29469.1009270007</v>
      </c>
      <c r="S100" s="69" t="n">
        <f aca="false">IF(AND(ISNUMBER(S59)),S99*1000000*S59/3600,"SLO 不可達")</f>
        <v>3456.38955362504</v>
      </c>
      <c r="T100" s="69" t="n">
        <f aca="false">IF(AND(ISNUMBER(T59)),T99*1000000*T59/3600,"SLO 不可達")</f>
        <v>29469.1009270007</v>
      </c>
      <c r="U100" s="69" t="n">
        <f aca="false">IF(AND(ISNUMBER(U59)),U99*1000000*U59/3600,"SLO 不可達")</f>
        <v>3456.38955362504</v>
      </c>
      <c r="V100" s="69" t="n">
        <f aca="false">IF(AND(ISNUMBER(V59)),V99*1000000*V59/3600,"SLO 不可達")</f>
        <v>29469.1009270007</v>
      </c>
      <c r="W100" s="69" t="n">
        <f aca="false">IF(AND(ISNUMBER(W59)),W99*1000000*W59/3600,"SLO 不可達")</f>
        <v>5229.55967698603</v>
      </c>
      <c r="X100" s="69" t="n">
        <f aca="false">IF(AND(ISNUMBER(X59)),X99*1000000*X59/3600,"SLO 不可達")</f>
        <v>44823.7966230092</v>
      </c>
      <c r="Y100" s="69" t="n">
        <f aca="false">IF(AND(ISNUMBER(Y59)),Y99*1000000*Y59/3600,"SLO 不可達")</f>
        <v>3456.38955362504</v>
      </c>
      <c r="Z100" s="69" t="n">
        <f aca="false">IF(AND(ISNUMBER(Z59)),Z99*1000000*Z59/3600,"SLO 不可達")</f>
        <v>29469.1009270007</v>
      </c>
      <c r="AA100" s="69" t="n">
        <f aca="false">IF(AND(ISNUMBER(AA59)),AA99*1000000*AA59/3600,"SLO 不可達")</f>
        <v>3456.38955362504</v>
      </c>
      <c r="AB100" s="69" t="n">
        <f aca="false">IF(AND(ISNUMBER(AB59)),AB99*1000000*AB59/3600,"SLO 不可達")</f>
        <v>29469.1009270007</v>
      </c>
      <c r="AC100" s="69" t="n">
        <f aca="false">IF(AND(ISNUMBER(AC59)),AC99*1000000*AC59/3600,"SLO 不可達")</f>
        <v>3456.38955362504</v>
      </c>
      <c r="AD100" s="69" t="n">
        <f aca="false">IF(AND(ISNUMBER(AD59)),AD99*1000000*AD59/3600,"SLO 不可達")</f>
        <v>29469.1009270007</v>
      </c>
      <c r="AE100" s="69" t="n">
        <f aca="false">IF(AND(ISNUMBER(AE59)),AE99*1000000*AE59/3600,"SLO 不可達")</f>
        <v>3456.38955362504</v>
      </c>
      <c r="AF100" s="69" t="n">
        <f aca="false">IF(AND(ISNUMBER(AF59)),AF99*1000000*AF59/3600,"SLO 不可達")</f>
        <v>29469.1009270007</v>
      </c>
      <c r="AG100" s="69" t="n">
        <f aca="false">IF(AND(ISNUMBER(AG59)),AG99*1000000*AG59/3600,"SLO 不可達")</f>
        <v>3456.38955362504</v>
      </c>
      <c r="AH100" s="69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1353</v>
      </c>
      <c r="B101" s="62" t="s">
        <v>355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7" t="s">
        <v>1354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</row>
    <row r="103" customFormat="false" ht="15" hidden="false" customHeight="false" outlineLevel="0" collapsed="false">
      <c r="A103" s="61" t="s">
        <v>1355</v>
      </c>
      <c r="B103" s="62" t="s">
        <v>1292</v>
      </c>
      <c r="C103" s="69" t="n">
        <f aca="false">C36+C43</f>
        <v>1046714.22569904</v>
      </c>
      <c r="D103" s="69" t="n">
        <f aca="false">D36+D43</f>
        <v>5684233.89686067</v>
      </c>
      <c r="E103" s="69" t="n">
        <f aca="false">E36+E43</f>
        <v>1744523.70949839</v>
      </c>
      <c r="F103" s="69" t="n">
        <f aca="false">F36+F43</f>
        <v>9473723.16143445</v>
      </c>
      <c r="G103" s="69" t="n">
        <f aca="false">G36+G43</f>
        <v>654196.391061898</v>
      </c>
      <c r="H103" s="69" t="n">
        <f aca="false">H36+H43</f>
        <v>3552646.18553792</v>
      </c>
      <c r="I103" s="69" t="n">
        <f aca="false">I36+I43</f>
        <v>523357.112849518</v>
      </c>
      <c r="J103" s="69" t="n">
        <f aca="false">J36+J43</f>
        <v>2842116.94843034</v>
      </c>
      <c r="K103" s="69" t="n">
        <f aca="false">K36+K43</f>
        <v>539398.39432267</v>
      </c>
      <c r="L103" s="69" t="n">
        <f aca="false">L36+L43</f>
        <v>3002522.01537919</v>
      </c>
      <c r="M103" s="69" t="n">
        <f aca="false">M36+M43</f>
        <v>1726517.43974337</v>
      </c>
      <c r="N103" s="69" t="n">
        <f aca="false">N36+N43</f>
        <v>9277727.81804586</v>
      </c>
      <c r="O103" s="69" t="n">
        <f aca="false">O36+O43</f>
        <v>1046714.22569904</v>
      </c>
      <c r="P103" s="69" t="n">
        <f aca="false">P36+P43</f>
        <v>5684233.89686067</v>
      </c>
      <c r="Q103" s="69" t="n">
        <f aca="false">Q36+Q43</f>
        <v>1046714.22569904</v>
      </c>
      <c r="R103" s="69" t="n">
        <f aca="false">R36+R43</f>
        <v>5684233.89686067</v>
      </c>
      <c r="S103" s="69" t="n">
        <f aca="false">S36+S43</f>
        <v>1046714.22569904</v>
      </c>
      <c r="T103" s="69" t="n">
        <f aca="false">T36+T43</f>
        <v>5684233.89686067</v>
      </c>
      <c r="U103" s="69" t="n">
        <f aca="false">U36+U43</f>
        <v>1046714.22569904</v>
      </c>
      <c r="V103" s="69" t="n">
        <f aca="false">V36+V43</f>
        <v>5684233.89686067</v>
      </c>
      <c r="W103" s="69" t="n">
        <f aca="false">W36+W43</f>
        <v>1046714.22569904</v>
      </c>
      <c r="X103" s="69" t="n">
        <f aca="false">X36+X43</f>
        <v>5684233.89686067</v>
      </c>
      <c r="Y103" s="69" t="n">
        <f aca="false">Y36+Y43</f>
        <v>1046714.22569904</v>
      </c>
      <c r="Z103" s="69" t="n">
        <f aca="false">Z36+Z43</f>
        <v>5684233.89686067</v>
      </c>
      <c r="AA103" s="69" t="n">
        <f aca="false">AA36+AA43</f>
        <v>1046714.22569904</v>
      </c>
      <c r="AB103" s="69" t="n">
        <f aca="false">AB36+AB43</f>
        <v>5684233.89686067</v>
      </c>
      <c r="AC103" s="69" t="n">
        <f aca="false">AC36+AC43</f>
        <v>1046714.22569904</v>
      </c>
      <c r="AD103" s="69" t="n">
        <f aca="false">AD36+AD43</f>
        <v>5684233.89686067</v>
      </c>
      <c r="AE103" s="69" t="n">
        <f aca="false">AE36+AE43</f>
        <v>1046714.22569904</v>
      </c>
      <c r="AF103" s="69" t="n">
        <f aca="false">AF36+AF43</f>
        <v>5684233.89686067</v>
      </c>
      <c r="AG103" s="69" t="n">
        <f aca="false">AG36+AG43</f>
        <v>1177553.50391142</v>
      </c>
      <c r="AH103" s="69" t="n">
        <f aca="false">AH36+AH43</f>
        <v>6394763.13396825</v>
      </c>
    </row>
    <row r="104" customFormat="false" ht="15" hidden="false" customHeight="false" outlineLevel="0" collapsed="false">
      <c r="A104" s="61" t="s">
        <v>1356</v>
      </c>
      <c r="B104" s="62" t="s">
        <v>1292</v>
      </c>
      <c r="C104" s="69" t="n">
        <f aca="false">IF(AND(ISNUMBER(C75),ISNUMBER(C90)),C51+C75+C90,"SLO 不可達")</f>
        <v>411736.625794877</v>
      </c>
      <c r="D104" s="69" t="n">
        <f aca="false">IF(AND(ISNUMBER(D75),ISNUMBER(D90)),D51+D75+D90,"SLO 不可達")</f>
        <v>6186311.43998631</v>
      </c>
      <c r="E104" s="69" t="n">
        <f aca="false">IF(AND(ISNUMBER(E75),ISNUMBER(E90)),E51+E75+E90,"SLO 不可達")</f>
        <v>546532.785128705</v>
      </c>
      <c r="F104" s="69" t="n">
        <f aca="false">IF(AND(ISNUMBER(F75),ISNUMBER(F90)),F51+F75+F90,"SLO 不可達")</f>
        <v>8040833.73153245</v>
      </c>
      <c r="G104" s="69" t="n">
        <f aca="false">IF(AND(ISNUMBER(G75),ISNUMBER(G90)),G51+G75+G90,"SLO 不可達")</f>
        <v>335913.786169599</v>
      </c>
      <c r="H104" s="69" t="n">
        <f aca="false">IF(AND(ISNUMBER(H75),ISNUMBER(H90)),H51+H75+H90,"SLO 不可達")</f>
        <v>5143142.6509916</v>
      </c>
      <c r="I104" s="69" t="n">
        <f aca="false">IF(AND(ISNUMBER(I75),ISNUMBER(I90)),I51+I75+I90,"SLO 不可達")</f>
        <v>310639.506294506</v>
      </c>
      <c r="J104" s="69" t="n">
        <f aca="false">IF(AND(ISNUMBER(J75),ISNUMBER(J90)),J51+J75+J90,"SLO 不可達")</f>
        <v>4795419.72132669</v>
      </c>
      <c r="K104" s="69" t="n">
        <f aca="false">IF(AND(ISNUMBER(K75),ISNUMBER(K90)),K51+K75+K90,"SLO 不可達")</f>
        <v>411736.625794877</v>
      </c>
      <c r="L104" s="69" t="n">
        <f aca="false">IF(AND(ISNUMBER(L75),ISNUMBER(L90)),L51+L75+L90,"SLO 不可達")</f>
        <v>6186311.43998631</v>
      </c>
      <c r="M104" s="69" t="n">
        <f aca="false">IF(AND(ISNUMBER(M75),ISNUMBER(M90)),M51+M75+M90,"SLO 不可達")</f>
        <v>411736.625794877</v>
      </c>
      <c r="N104" s="69" t="n">
        <f aca="false">IF(AND(ISNUMBER(N75),ISNUMBER(N90)),N51+N75+N90,"SLO 不可達")</f>
        <v>6186311.43998631</v>
      </c>
      <c r="O104" s="69" t="n">
        <f aca="false">IF(AND(ISNUMBER(O75),ISNUMBER(O90)),O51+O75+O90,"SLO 不可達")</f>
        <v>147954.371918772</v>
      </c>
      <c r="P104" s="69" t="n">
        <f aca="false">IF(AND(ISNUMBER(P75),ISNUMBER(P90)),P51+P75+P90,"SLO 不可達")</f>
        <v>1954462.06636931</v>
      </c>
      <c r="Q104" s="69" t="n">
        <f aca="false">IF(AND(ISNUMBER(Q75),ISNUMBER(Q90)),Q51+Q75+Q90,"SLO 不可達")</f>
        <v>1165400.20829803</v>
      </c>
      <c r="R104" s="69" t="n">
        <f aca="false">IF(AND(ISNUMBER(R75),ISNUMBER(R90)),R51+R75+R90,"SLO 不可達")</f>
        <v>18277309.6503206</v>
      </c>
      <c r="S104" s="69" t="n">
        <f aca="false">IF(AND(ISNUMBER(S75),ISNUMBER(S90)),S51+S75+S90,"SLO 不可達")</f>
        <v>498611.016884545</v>
      </c>
      <c r="T104" s="69" t="n">
        <f aca="false">IF(AND(ISNUMBER(T75),ISNUMBER(T90)),T51+T75+T90,"SLO 不可達")</f>
        <v>7603541.14573251</v>
      </c>
      <c r="U104" s="69" t="n">
        <f aca="false">IF(AND(ISNUMBER(U75),ISNUMBER(U90)),U51+U75+U90,"SLO 不可達")</f>
        <v>389789.411203803</v>
      </c>
      <c r="V104" s="69" t="n">
        <f aca="false">IF(AND(ISNUMBER(V75),ISNUMBER(V90)),V51+V75+V90,"SLO 不可達")</f>
        <v>5828274.46169253</v>
      </c>
      <c r="W104" s="69" t="n">
        <f aca="false">IF(AND(ISNUMBER(W75),ISNUMBER(W90)),W51+W75+W90,"SLO 不可達")</f>
        <v>518845.946963587</v>
      </c>
      <c r="X104" s="69" t="n">
        <f aca="false">IF(AND(ISNUMBER(X75),ISNUMBER(X90)),X51+X75+X90,"SLO 不可達")</f>
        <v>7960354.83655692</v>
      </c>
      <c r="Y104" s="69" t="n">
        <f aca="false">IF(AND(ISNUMBER(Y75),ISNUMBER(Y90)),Y51+Y75+Y90,"SLO 不可達")</f>
        <v>411736.625794877</v>
      </c>
      <c r="Z104" s="69" t="n">
        <f aca="false">IF(AND(ISNUMBER(Z75),ISNUMBER(Z90)),Z51+Z75+Z90,"SLO 不可達")</f>
        <v>6186311.43998631</v>
      </c>
      <c r="AA104" s="69" t="n">
        <f aca="false">IF(AND(ISNUMBER(AA75),ISNUMBER(AA90)),AA51+AA75+AA90,"SLO 不可達")</f>
        <v>411736.625794877</v>
      </c>
      <c r="AB104" s="69" t="n">
        <f aca="false">IF(AND(ISNUMBER(AB75),ISNUMBER(AB90)),AB51+AB75+AB90,"SLO 不可達")</f>
        <v>6186311.43998631</v>
      </c>
      <c r="AC104" s="69" t="n">
        <f aca="false">IF(AND(ISNUMBER(AC75),ISNUMBER(AC90)),AC51+AC75+AC90,"SLO 不可達")</f>
        <v>411736.625794877</v>
      </c>
      <c r="AD104" s="69" t="n">
        <f aca="false">IF(AND(ISNUMBER(AD75),ISNUMBER(AD90)),AD51+AD75+AD90,"SLO 不可達")</f>
        <v>6186311.43998631</v>
      </c>
      <c r="AE104" s="69" t="n">
        <f aca="false">IF(AND(ISNUMBER(AE75),ISNUMBER(AE90)),AE51+AE75+AE90,"SLO 不可達")</f>
        <v>411736.625794877</v>
      </c>
      <c r="AF104" s="69" t="n">
        <f aca="false">IF(AND(ISNUMBER(AF75),ISNUMBER(AF90)),AF51+AF75+AF90,"SLO 不可達")</f>
        <v>6186311.43998631</v>
      </c>
      <c r="AG104" s="69" t="n">
        <f aca="false">IF(AND(ISNUMBER(AG75),ISNUMBER(AG90)),AG51+AG75+AG90,"SLO 不可達")</f>
        <v>437010.90566997</v>
      </c>
      <c r="AH104" s="69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1357</v>
      </c>
      <c r="B105" s="62" t="s">
        <v>1292</v>
      </c>
      <c r="C105" s="69" t="n">
        <f aca="false">IF(AND(ISNUMBER(C97),ISNUMBER(C100)),C97+C100,"SLO 不可達")</f>
        <v>592838.408093639</v>
      </c>
      <c r="D105" s="69" t="n">
        <f aca="false">IF(AND(ISNUMBER(D97),ISNUMBER(D100)),D97+D100,"SLO 不可達")</f>
        <v>913542.128737021</v>
      </c>
      <c r="E105" s="69" t="n">
        <f aca="false">IF(AND(ISNUMBER(E97),ISNUMBER(E100)),E97+E100,"SLO 不可達")</f>
        <v>592838.408093639</v>
      </c>
      <c r="F105" s="69" t="n">
        <f aca="false">IF(AND(ISNUMBER(F97),ISNUMBER(F100)),F97+F100,"SLO 不可達")</f>
        <v>913542.128737021</v>
      </c>
      <c r="G105" s="69" t="n">
        <f aca="false">IF(AND(ISNUMBER(G97),ISNUMBER(G100)),G97+G100,"SLO 不可達")</f>
        <v>592838.408093639</v>
      </c>
      <c r="H105" s="69" t="n">
        <f aca="false">IF(AND(ISNUMBER(H97),ISNUMBER(H100)),H97+H100,"SLO 不可達")</f>
        <v>913542.128737021</v>
      </c>
      <c r="I105" s="69" t="n">
        <f aca="false">IF(AND(ISNUMBER(I97),ISNUMBER(I100)),I97+I100,"SLO 不可達")</f>
        <v>592838.408093639</v>
      </c>
      <c r="J105" s="69" t="n">
        <f aca="false">IF(AND(ISNUMBER(J97),ISNUMBER(J100)),J97+J100,"SLO 不可達")</f>
        <v>913542.128737021</v>
      </c>
      <c r="K105" s="69" t="n">
        <f aca="false">IF(AND(ISNUMBER(K97),ISNUMBER(K100)),K97+K100,"SLO 不可達")</f>
        <v>592838.408093639</v>
      </c>
      <c r="L105" s="69" t="n">
        <f aca="false">IF(AND(ISNUMBER(L97),ISNUMBER(L100)),L97+L100,"SLO 不可達")</f>
        <v>913542.128737021</v>
      </c>
      <c r="M105" s="69" t="n">
        <f aca="false">IF(AND(ISNUMBER(M97),ISNUMBER(M100)),M97+M100,"SLO 不可達")</f>
        <v>592838.408093639</v>
      </c>
      <c r="N105" s="69" t="n">
        <f aca="false">IF(AND(ISNUMBER(N97),ISNUMBER(N100)),N97+N100,"SLO 不可達")</f>
        <v>913542.128737021</v>
      </c>
      <c r="O105" s="69" t="n">
        <f aca="false">IF(AND(ISNUMBER(O97),ISNUMBER(O100)),O97+O100,"SLO 不可達")</f>
        <v>592838.408093639</v>
      </c>
      <c r="P105" s="69" t="n">
        <f aca="false">IF(AND(ISNUMBER(P97),ISNUMBER(P100)),P97+P100,"SLO 不可達")</f>
        <v>913542.128737021</v>
      </c>
      <c r="Q105" s="69" t="n">
        <f aca="false">IF(AND(ISNUMBER(Q97),ISNUMBER(Q100)),Q97+Q100,"SLO 不可達")</f>
        <v>592838.408093639</v>
      </c>
      <c r="R105" s="69" t="n">
        <f aca="false">IF(AND(ISNUMBER(R97),ISNUMBER(R100)),R97+R100,"SLO 不可達")</f>
        <v>913542.128737021</v>
      </c>
      <c r="S105" s="69" t="n">
        <f aca="false">IF(AND(ISNUMBER(S97),ISNUMBER(S100)),S97+S100,"SLO 不可達")</f>
        <v>592838.408093639</v>
      </c>
      <c r="T105" s="69" t="n">
        <f aca="false">IF(AND(ISNUMBER(T97),ISNUMBER(T100)),T97+T100,"SLO 不可達")</f>
        <v>913542.128737021</v>
      </c>
      <c r="U105" s="69" t="n">
        <f aca="false">IF(AND(ISNUMBER(U97),ISNUMBER(U100)),U97+U100,"SLO 不可達")</f>
        <v>592838.408093639</v>
      </c>
      <c r="V105" s="69" t="n">
        <f aca="false">IF(AND(ISNUMBER(V97),ISNUMBER(V100)),V97+V100,"SLO 不可達")</f>
        <v>913542.128737021</v>
      </c>
      <c r="W105" s="69" t="n">
        <f aca="false">IF(AND(ISNUMBER(W97),ISNUMBER(W100)),W97+W100,"SLO 不可達")</f>
        <v>594611.578217</v>
      </c>
      <c r="X105" s="69" t="n">
        <f aca="false">IF(AND(ISNUMBER(X97),ISNUMBER(X100)),X97+X100,"SLO 不可達")</f>
        <v>928896.82443303</v>
      </c>
      <c r="Y105" s="69" t="n">
        <f aca="false">IF(AND(ISNUMBER(Y97),ISNUMBER(Y100)),Y97+Y100,"SLO 不可達")</f>
        <v>3456.38955362504</v>
      </c>
      <c r="Z105" s="69" t="n">
        <f aca="false">IF(AND(ISNUMBER(Z97),ISNUMBER(Z100)),Z97+Z100,"SLO 不可達")</f>
        <v>29469.1009270007</v>
      </c>
      <c r="AA105" s="69" t="n">
        <f aca="false">IF(AND(ISNUMBER(AA97),ISNUMBER(AA100)),AA97+AA100,"SLO 不可達")</f>
        <v>1771602.44517367</v>
      </c>
      <c r="AB105" s="69" t="n">
        <f aca="false">IF(AND(ISNUMBER(AB97),ISNUMBER(AB100)),AB97+AB100,"SLO 不可達")</f>
        <v>2681688.18435706</v>
      </c>
      <c r="AC105" s="69" t="n">
        <f aca="false">IF(AND(ISNUMBER(AC97),ISNUMBER(AC100)),AC97+AC100,"SLO 不可達")</f>
        <v>592838.408093639</v>
      </c>
      <c r="AD105" s="69" t="n">
        <f aca="false">IF(AND(ISNUMBER(AD97),ISNUMBER(AD100)),AD97+AD100,"SLO 不可達")</f>
        <v>913542.128737021</v>
      </c>
      <c r="AE105" s="69" t="n">
        <f aca="false">IF(AND(ISNUMBER(AE97),ISNUMBER(AE100)),AE97+AE100,"SLO 不可達")</f>
        <v>592838.408093639</v>
      </c>
      <c r="AF105" s="69" t="n">
        <f aca="false">IF(AND(ISNUMBER(AF97),ISNUMBER(AF100)),AF97+AF100,"SLO 不可達")</f>
        <v>913542.128737021</v>
      </c>
      <c r="AG105" s="69" t="n">
        <f aca="false">IF(AND(ISNUMBER(AG97),ISNUMBER(AG100)),AG97+AG100,"SLO 不可達")</f>
        <v>592838.408093639</v>
      </c>
      <c r="AH105" s="69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1358</v>
      </c>
      <c r="B106" s="62" t="s">
        <v>1292</v>
      </c>
      <c r="C106" s="72" t="n">
        <f aca="false">IF(AND(ISNUMBER(C104),ISNUMBER(C105)),C103+C104+C105,"SLO 不可達")</f>
        <v>2051289.25958755</v>
      </c>
      <c r="D106" s="72" t="n">
        <f aca="false">IF(AND(ISNUMBER(D104),ISNUMBER(D105)),D103+D104+D105,"SLO 不可達")</f>
        <v>12784087.465584</v>
      </c>
      <c r="E106" s="72" t="n">
        <f aca="false">IF(AND(ISNUMBER(E104),ISNUMBER(E105)),E103+E104+E105,"SLO 不可達")</f>
        <v>2883894.90272074</v>
      </c>
      <c r="F106" s="72" t="n">
        <f aca="false">IF(AND(ISNUMBER(F104),ISNUMBER(F105)),F103+F104+F105,"SLO 不可達")</f>
        <v>18428099.0217039</v>
      </c>
      <c r="G106" s="72" t="n">
        <f aca="false">IF(AND(ISNUMBER(G104),ISNUMBER(G105)),G103+G104+G105,"SLO 不可達")</f>
        <v>1582948.58532514</v>
      </c>
      <c r="H106" s="72" t="n">
        <f aca="false">IF(AND(ISNUMBER(H104),ISNUMBER(H105)),H103+H104+H105,"SLO 不可達")</f>
        <v>9609330.96526654</v>
      </c>
      <c r="I106" s="72" t="n">
        <f aca="false">IF(AND(ISNUMBER(I104),ISNUMBER(I105)),I103+I104+I105,"SLO 不可達")</f>
        <v>1426835.02723766</v>
      </c>
      <c r="J106" s="72" t="n">
        <f aca="false">IF(AND(ISNUMBER(J104),ISNUMBER(J105)),J103+J104+J105,"SLO 不可達")</f>
        <v>8551078.79849405</v>
      </c>
      <c r="K106" s="72" t="n">
        <f aca="false">IF(AND(ISNUMBER(K104),ISNUMBER(K105)),K103+K104+K105,"SLO 不可達")</f>
        <v>1543973.42821119</v>
      </c>
      <c r="L106" s="72" t="n">
        <f aca="false">IF(AND(ISNUMBER(L104),ISNUMBER(L105)),L103+L104+L105,"SLO 不可達")</f>
        <v>10102375.5841025</v>
      </c>
      <c r="M106" s="72" t="n">
        <f aca="false">IF(AND(ISNUMBER(M104),ISNUMBER(M105)),M103+M104+M105,"SLO 不可達")</f>
        <v>2731092.47363188</v>
      </c>
      <c r="N106" s="72" t="n">
        <f aca="false">IF(AND(ISNUMBER(N104),ISNUMBER(N105)),N103+N104+N105,"SLO 不可達")</f>
        <v>16377581.3867692</v>
      </c>
      <c r="O106" s="72" t="n">
        <f aca="false">IF(AND(ISNUMBER(O104),ISNUMBER(O105)),O103+O104+O105,"SLO 不可達")</f>
        <v>1787507.00571145</v>
      </c>
      <c r="P106" s="72" t="n">
        <f aca="false">IF(AND(ISNUMBER(P104),ISNUMBER(P105)),P103+P104+P105,"SLO 不可達")</f>
        <v>8552238.091967</v>
      </c>
      <c r="Q106" s="72" t="n">
        <f aca="false">IF(AND(ISNUMBER(Q104),ISNUMBER(Q105)),Q103+Q104+Q105,"SLO 不可達")</f>
        <v>2804952.84209071</v>
      </c>
      <c r="R106" s="72" t="n">
        <f aca="false">IF(AND(ISNUMBER(R104),ISNUMBER(R105)),R103+R104+R105,"SLO 不可達")</f>
        <v>24875085.6759183</v>
      </c>
      <c r="S106" s="72" t="n">
        <f aca="false">IF(AND(ISNUMBER(S104),ISNUMBER(S105)),S103+S104+S105,"SLO 不可達")</f>
        <v>2138163.65067722</v>
      </c>
      <c r="T106" s="72" t="n">
        <f aca="false">IF(AND(ISNUMBER(T104),ISNUMBER(T105)),T103+T104+T105,"SLO 不可達")</f>
        <v>14201317.1713302</v>
      </c>
      <c r="U106" s="72" t="n">
        <f aca="false">IF(AND(ISNUMBER(U104),ISNUMBER(U105)),U103+U104+U105,"SLO 不可達")</f>
        <v>2029342.04499648</v>
      </c>
      <c r="V106" s="72" t="n">
        <f aca="false">IF(AND(ISNUMBER(V104),ISNUMBER(V105)),V103+V104+V105,"SLO 不可達")</f>
        <v>12426050.4872902</v>
      </c>
      <c r="W106" s="72" t="n">
        <f aca="false">IF(AND(ISNUMBER(W104),ISNUMBER(W105)),W103+W104+W105,"SLO 不可達")</f>
        <v>2160171.75087962</v>
      </c>
      <c r="X106" s="72" t="n">
        <f aca="false">IF(AND(ISNUMBER(X104),ISNUMBER(X105)),X103+X104+X105,"SLO 不可達")</f>
        <v>14573485.5578506</v>
      </c>
      <c r="Y106" s="72" t="n">
        <f aca="false">IF(AND(ISNUMBER(Y104),ISNUMBER(Y105)),Y103+Y104+Y105,"SLO 不可達")</f>
        <v>1461907.24104754</v>
      </c>
      <c r="Z106" s="72" t="n">
        <f aca="false">IF(AND(ISNUMBER(Z104),ISNUMBER(Z105)),Z103+Z104+Z105,"SLO 不可達")</f>
        <v>11900014.437774</v>
      </c>
      <c r="AA106" s="72" t="n">
        <f aca="false">IF(AND(ISNUMBER(AA104),ISNUMBER(AA105)),AA103+AA104+AA105,"SLO 不可達")</f>
        <v>3230053.29666758</v>
      </c>
      <c r="AB106" s="72" t="n">
        <f aca="false">IF(AND(ISNUMBER(AB104),ISNUMBER(AB105)),AB103+AB104+AB105,"SLO 不可達")</f>
        <v>14552233.521204</v>
      </c>
      <c r="AC106" s="72" t="n">
        <f aca="false">IF(AND(ISNUMBER(AC104),ISNUMBER(AC105)),AC103+AC104+AC105,"SLO 不可達")</f>
        <v>2051289.25958755</v>
      </c>
      <c r="AD106" s="72" t="n">
        <f aca="false">IF(AND(ISNUMBER(AD104),ISNUMBER(AD105)),AD103+AD104+AD105,"SLO 不可達")</f>
        <v>12784087.465584</v>
      </c>
      <c r="AE106" s="72" t="n">
        <f aca="false">IF(AND(ISNUMBER(AE104),ISNUMBER(AE105)),AE103+AE104+AE105,"SLO 不可達")</f>
        <v>2051289.25958755</v>
      </c>
      <c r="AF106" s="72" t="n">
        <f aca="false">IF(AND(ISNUMBER(AF104),ISNUMBER(AF105)),AF103+AF104+AF105,"SLO 不可達")</f>
        <v>12784087.465584</v>
      </c>
      <c r="AG106" s="72" t="n">
        <f aca="false">IF(AND(ISNUMBER(AG104),ISNUMBER(AG105)),AG103+AG104+AG105,"SLO 不可達")</f>
        <v>2207402.81767502</v>
      </c>
      <c r="AH106" s="72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1359</v>
      </c>
      <c r="B107" s="62" t="s">
        <v>355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1360</v>
      </c>
      <c r="B108" s="62" t="s">
        <v>355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1361</v>
      </c>
      <c r="B109" s="62" t="s">
        <v>355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1362</v>
      </c>
      <c r="B110" s="62" t="s">
        <v>127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1363</v>
      </c>
      <c r="B111" s="62" t="s">
        <v>127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1364</v>
      </c>
      <c r="B112" s="62" t="s">
        <v>1292</v>
      </c>
      <c r="C112" s="69" t="n">
        <f aca="false">IF(AND(ISNUMBER(C65),ISNUMBER(C86),ISNUMBER(C97),ISNUMBER(C100)),C65+C74+C86+C87+C97+C100,"SLO 不可達")</f>
        <v>802380.794887774</v>
      </c>
      <c r="D112" s="69" t="n">
        <f aca="false">IF(AND(ISNUMBER(D65),ISNUMBER(D86),ISNUMBER(D97),ISNUMBER(D100)),D65+D74+D86+D87+D97+D100,"SLO 不可達")</f>
        <v>4318070.1314041</v>
      </c>
      <c r="E112" s="69" t="n">
        <f aca="false">IF(AND(ISNUMBER(E65),ISNUMBER(E86),ISNUMBER(E97),ISNUMBER(E100)),E65+E74+E86+E87+E97+E100,"SLO 不可達")</f>
        <v>802380.794887774</v>
      </c>
      <c r="F112" s="69" t="n">
        <f aca="false">IF(AND(ISNUMBER(F65),ISNUMBER(F86),ISNUMBER(F97),ISNUMBER(F100)),F65+F74+F86+F87+F97+F100,"SLO 不可達")</f>
        <v>4318070.1314041</v>
      </c>
      <c r="G112" s="69" t="n">
        <f aca="false">IF(AND(ISNUMBER(G65),ISNUMBER(G86),ISNUMBER(G97),ISNUMBER(G100)),G65+G74+G86+G87+G97+G100,"SLO 不可達")</f>
        <v>802380.794887774</v>
      </c>
      <c r="H112" s="69" t="n">
        <f aca="false">IF(AND(ISNUMBER(H65),ISNUMBER(H86),ISNUMBER(H97),ISNUMBER(H100)),H65+H74+H86+H87+H97+H100,"SLO 不可達")</f>
        <v>4318070.1314041</v>
      </c>
      <c r="I112" s="69" t="n">
        <f aca="false">IF(AND(ISNUMBER(I65),ISNUMBER(I86),ISNUMBER(I97),ISNUMBER(I100)),I65+I74+I86+I87+I97+I100,"SLO 不可達")</f>
        <v>802380.794887774</v>
      </c>
      <c r="J112" s="69" t="n">
        <f aca="false">IF(AND(ISNUMBER(J65),ISNUMBER(J86),ISNUMBER(J97),ISNUMBER(J100)),J65+J74+J86+J87+J97+J100,"SLO 不可達")</f>
        <v>4318070.1314041</v>
      </c>
      <c r="K112" s="69" t="n">
        <f aca="false">IF(AND(ISNUMBER(K65),ISNUMBER(K86),ISNUMBER(K97),ISNUMBER(K100)),K65+K74+K86+K87+K97+K100,"SLO 不可達")</f>
        <v>802380.794887774</v>
      </c>
      <c r="L112" s="69" t="n">
        <f aca="false">IF(AND(ISNUMBER(L65),ISNUMBER(L86),ISNUMBER(L97),ISNUMBER(L100)),L65+L74+L86+L87+L97+L100,"SLO 不可達")</f>
        <v>4318070.1314041</v>
      </c>
      <c r="M112" s="69" t="n">
        <f aca="false">IF(AND(ISNUMBER(M65),ISNUMBER(M86),ISNUMBER(M97),ISNUMBER(M100)),M65+M74+M86+M87+M97+M100,"SLO 不可達")</f>
        <v>802380.794887774</v>
      </c>
      <c r="N112" s="69" t="n">
        <f aca="false">IF(AND(ISNUMBER(N65),ISNUMBER(N86),ISNUMBER(N97),ISNUMBER(N100)),N65+N74+N86+N87+N97+N100,"SLO 不可達")</f>
        <v>4318070.1314041</v>
      </c>
      <c r="O112" s="69" t="n">
        <f aca="false">IF(AND(ISNUMBER(O65),ISNUMBER(O86),ISNUMBER(O97),ISNUMBER(O100)),O65+O74+O86+O87+O97+O100,"SLO 不可達")</f>
        <v>667817.571680837</v>
      </c>
      <c r="P112" s="69" t="n">
        <f aca="false">IF(AND(ISNUMBER(P65),ISNUMBER(P86),ISNUMBER(P97),ISNUMBER(P100)),P65+P74+P86+P87+P97+P100,"SLO 不可達")</f>
        <v>1985661.56845377</v>
      </c>
      <c r="Q112" s="69" t="n">
        <f aca="false">IF(AND(ISNUMBER(Q65),ISNUMBER(Q86),ISNUMBER(Q97),ISNUMBER(Q100)),Q65+Q74+Q86+Q87+Q97+Q100,"SLO 不可達")</f>
        <v>1186847.14690759</v>
      </c>
      <c r="R112" s="69" t="n">
        <f aca="false">IF(AND(ISNUMBER(R65),ISNUMBER(R86),ISNUMBER(R97),ISNUMBER(R100)),R65+R74+R86+R87+R97+R100,"SLO 不可達")</f>
        <v>10982094.5969765</v>
      </c>
      <c r="S112" s="69" t="n">
        <f aca="false">IF(AND(ISNUMBER(S65),ISNUMBER(S86),ISNUMBER(S97),ISNUMBER(S100)),S65+S74+S86+S87+S97+S100,"SLO 不可達")</f>
        <v>889255.185977442</v>
      </c>
      <c r="T112" s="69" t="n">
        <f aca="false">IF(AND(ISNUMBER(T65),ISNUMBER(T86),ISNUMBER(T97),ISNUMBER(T100)),T65+T74+T86+T87+T97+T100,"SLO 不可達")</f>
        <v>5735299.83715031</v>
      </c>
      <c r="U112" s="69" t="n">
        <f aca="false">IF(AND(ISNUMBER(U65),ISNUMBER(U86),ISNUMBER(U97),ISNUMBER(U100)),U65+U74+U86+U87+U97+U100,"SLO 不可達")</f>
        <v>780433.5802967</v>
      </c>
      <c r="V112" s="69" t="n">
        <f aca="false">IF(AND(ISNUMBER(V65),ISNUMBER(V86),ISNUMBER(V97),ISNUMBER(V100)),V65+V74+V86+V87+V97+V100,"SLO 不可達")</f>
        <v>3960033.15311033</v>
      </c>
      <c r="W112" s="69" t="n">
        <f aca="false">IF(AND(ISNUMBER(W65),ISNUMBER(W86),ISNUMBER(W97),ISNUMBER(W100)),W65+W74+W86+W87+W97+W100,"SLO 不可達")</f>
        <v>911263.286179845</v>
      </c>
      <c r="X112" s="69" t="n">
        <f aca="false">IF(AND(ISNUMBER(X65),ISNUMBER(X86),ISNUMBER(X97),ISNUMBER(X100)),X65+X74+X86+X87+X97+X100,"SLO 不可達")</f>
        <v>6107468.22367072</v>
      </c>
      <c r="Y112" s="69" t="n">
        <f aca="false">IF(AND(ISNUMBER(Y65),ISNUMBER(Y86),ISNUMBER(Y97),ISNUMBER(Y100)),Y65+Y74+Y86+Y87+Y97+Y100,"SLO 不可達")</f>
        <v>212998.77634776</v>
      </c>
      <c r="Z112" s="69" t="n">
        <f aca="false">IF(AND(ISNUMBER(Z65),ISNUMBER(Z86),ISNUMBER(Z97),ISNUMBER(Z100)),Z65+Z74+Z86+Z87+Z97+Z100,"SLO 不可達")</f>
        <v>3433997.10359408</v>
      </c>
      <c r="AA112" s="69" t="n">
        <f aca="false">IF(AND(ISNUMBER(AA65),ISNUMBER(AA86),ISNUMBER(AA97),ISNUMBER(AA100)),AA65+AA74+AA86+AA87+AA97+AA100,"SLO 不可達")</f>
        <v>1981144.8319678</v>
      </c>
      <c r="AB112" s="69" t="n">
        <f aca="false">IF(AND(ISNUMBER(AB65),ISNUMBER(AB86),ISNUMBER(AB97),ISNUMBER(AB100)),AB65+AB74+AB86+AB87+AB97+AB100,"SLO 不可達")</f>
        <v>6086216.18702414</v>
      </c>
      <c r="AC112" s="69" t="n">
        <f aca="false">IF(AND(ISNUMBER(AC65),ISNUMBER(AC86),ISNUMBER(AC97),ISNUMBER(AC100)),AC65+AC74+AC86+AC87+AC97+AC100,"SLO 不可達")</f>
        <v>802380.794887774</v>
      </c>
      <c r="AD112" s="69" t="n">
        <f aca="false">IF(AND(ISNUMBER(AD65),ISNUMBER(AD86),ISNUMBER(AD97),ISNUMBER(AD100)),AD65+AD74+AD86+AD87+AD97+AD100,"SLO 不可達")</f>
        <v>4318070.1314041</v>
      </c>
      <c r="AE112" s="69" t="n">
        <f aca="false">IF(AND(ISNUMBER(AE65),ISNUMBER(AE86),ISNUMBER(AE97),ISNUMBER(AE100)),AE65+AE74+AE86+AE87+AE97+AE100,"SLO 不可達")</f>
        <v>802380.794887774</v>
      </c>
      <c r="AF112" s="69" t="n">
        <f aca="false">IF(AND(ISNUMBER(AF65),ISNUMBER(AF86),ISNUMBER(AF97),ISNUMBER(AF100)),AF65+AF74+AF86+AF87+AF97+AF100,"SLO 不可達")</f>
        <v>4318070.1314041</v>
      </c>
      <c r="AG112" s="69" t="n">
        <f aca="false">IF(AND(ISNUMBER(AG65),ISNUMBER(AG86),ISNUMBER(AG97),ISNUMBER(AG100)),AG65+AG74+AG86+AG87+AG97+AG100,"SLO 不可達")</f>
        <v>802380.794887774</v>
      </c>
      <c r="AH112" s="69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1365</v>
      </c>
      <c r="B113" s="62" t="s">
        <v>1292</v>
      </c>
      <c r="C113" s="69" t="n">
        <f aca="false">C36+C43+C51+C72+C89</f>
        <v>1248908.46469978</v>
      </c>
      <c r="D113" s="69" t="n">
        <f aca="false">D36+D43+D51+D72+D89</f>
        <v>8466017.33417989</v>
      </c>
      <c r="E113" s="69" t="n">
        <f aca="false">E36+E43+E51+E72+E89</f>
        <v>2081514.10783296</v>
      </c>
      <c r="F113" s="69" t="n">
        <f aca="false">F36+F43+F51+F72+F89</f>
        <v>14110028.8902998</v>
      </c>
      <c r="G113" s="69" t="n">
        <f aca="false">G36+G43+G51+G72+G89</f>
        <v>780567.790437361</v>
      </c>
      <c r="H113" s="69" t="n">
        <f aca="false">H36+H43+H51+H72+H89</f>
        <v>5291260.83386243</v>
      </c>
      <c r="I113" s="69" t="n">
        <f aca="false">I36+I43+I51+I72+I89</f>
        <v>624454.232349889</v>
      </c>
      <c r="J113" s="69" t="n">
        <f aca="false">J36+J43+J51+J72+J89</f>
        <v>4233008.66708995</v>
      </c>
      <c r="K113" s="69" t="n">
        <f aca="false">K36+K43+K51+K72+K89</f>
        <v>741592.633323412</v>
      </c>
      <c r="L113" s="69" t="n">
        <f aca="false">L36+L43+L51+L72+L89</f>
        <v>5784305.45269841</v>
      </c>
      <c r="M113" s="69" t="n">
        <f aca="false">M36+M43+M51+M72+M89</f>
        <v>1928711.67874411</v>
      </c>
      <c r="N113" s="69" t="n">
        <f aca="false">N36+N43+N51+N72+N89</f>
        <v>12059511.2553651</v>
      </c>
      <c r="O113" s="69" t="n">
        <f aca="false">O36+O43+O51+O72+O89</f>
        <v>1119689.43403061</v>
      </c>
      <c r="P113" s="69" t="n">
        <f aca="false">P36+P43+P51+P72+P89</f>
        <v>6566576.52351323</v>
      </c>
      <c r="Q113" s="69" t="n">
        <f aca="false">Q36+Q43+Q51+Q72+Q89</f>
        <v>1618105.69518312</v>
      </c>
      <c r="R113" s="69" t="n">
        <f aca="false">R36+R43+R51+R72+R89</f>
        <v>13892991.0789418</v>
      </c>
      <c r="S113" s="69" t="n">
        <f aca="false">S36+S43+S51+S72+S89</f>
        <v>1248908.46469978</v>
      </c>
      <c r="T113" s="69" t="n">
        <f aca="false">T36+T43+T51+T72+T89</f>
        <v>8466017.33417989</v>
      </c>
      <c r="U113" s="69" t="n">
        <f aca="false">U36+U43+U51+U72+U89</f>
        <v>1248908.46469978</v>
      </c>
      <c r="V113" s="69" t="n">
        <f aca="false">V36+V43+V51+V72+V89</f>
        <v>8466017.33417989</v>
      </c>
      <c r="W113" s="69" t="n">
        <f aca="false">W36+W43+W51+W72+W89</f>
        <v>1248908.46469978</v>
      </c>
      <c r="X113" s="69" t="n">
        <f aca="false">X36+X43+X51+X72+X89</f>
        <v>8466017.33417989</v>
      </c>
      <c r="Y113" s="69" t="n">
        <f aca="false">Y36+Y43+Y51+Y72+Y89</f>
        <v>1248908.46469978</v>
      </c>
      <c r="Z113" s="69" t="n">
        <f aca="false">Z36+Z43+Z51+Z72+Z89</f>
        <v>8466017.33417989</v>
      </c>
      <c r="AA113" s="69" t="n">
        <f aca="false">AA36+AA43+AA51+AA72+AA89</f>
        <v>1248908.46469978</v>
      </c>
      <c r="AB113" s="69" t="n">
        <f aca="false">AB36+AB43+AB51+AB72+AB89</f>
        <v>8466017.33417989</v>
      </c>
      <c r="AC113" s="69" t="n">
        <f aca="false">AC36+AC43+AC51+AC72+AC89</f>
        <v>1248908.46469978</v>
      </c>
      <c r="AD113" s="69" t="n">
        <f aca="false">AD36+AD43+AD51+AD72+AD89</f>
        <v>8466017.33417989</v>
      </c>
      <c r="AE113" s="69" t="n">
        <f aca="false">AE36+AE43+AE51+AE72+AE89</f>
        <v>1248908.46469978</v>
      </c>
      <c r="AF113" s="69" t="n">
        <f aca="false">AF36+AF43+AF51+AF72+AF89</f>
        <v>8466017.33417989</v>
      </c>
      <c r="AG113" s="69" t="n">
        <f aca="false">AG36+AG43+AG51+AG72+AG89</f>
        <v>1405022.02278725</v>
      </c>
      <c r="AH113" s="69" t="n">
        <f aca="false">AH36+AH43+AH51+AH72+AH89</f>
        <v>9524269.50095238</v>
      </c>
    </row>
    <row r="114" customFormat="false" ht="15" hidden="false" customHeight="false" outlineLevel="0" collapsed="false">
      <c r="A114" s="61" t="s">
        <v>1367</v>
      </c>
      <c r="B114" s="62" t="s">
        <v>127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1368</v>
      </c>
      <c r="B115" s="62" t="s">
        <v>1087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13.7955490632966</v>
      </c>
      <c r="F115" s="114" t="n">
        <f aca="false">IF(AND(ISNUMBER(F106)),F106*F19/1000000,"SLO 不可達")</f>
        <v>88.1536091892121</v>
      </c>
      <c r="G115" s="114" t="n">
        <f aca="false">IF(AND(ISNUMBER(G106)),G106*G19/1000000,"SLO 不可達")</f>
        <v>7.57227486096206</v>
      </c>
      <c r="H115" s="114" t="n">
        <f aca="false">IF(AND(ISNUMBER(H106)),H106*H19/1000000,"SLO 不可達")</f>
        <v>45.9676934383856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1370</v>
      </c>
      <c r="B116" s="62" t="s">
        <v>1087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1372</v>
      </c>
      <c r="B117" s="62" t="s">
        <v>127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7" t="s">
        <v>1374</v>
      </c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</row>
    <row r="119" customFormat="false" ht="15" hidden="false" customHeight="false" outlineLevel="0" collapsed="false">
      <c r="A119" s="61" t="s">
        <v>1375</v>
      </c>
      <c r="B119" s="62" t="s">
        <v>132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1376</v>
      </c>
      <c r="B120" s="62" t="s">
        <v>1292</v>
      </c>
      <c r="C120" s="72" t="n">
        <f aca="false">IF(AND(ISNUMBER(C106)),C106*C119,"SLO 不可達")</f>
        <v>16410314.0767004</v>
      </c>
      <c r="D120" s="72" t="n">
        <f aca="false">IF(AND(ISNUMBER(D106)),D106*D119,"SLO 不可達")</f>
        <v>102272699.724672</v>
      </c>
      <c r="E120" s="72" t="n">
        <f aca="false">IF(AND(ISNUMBER(E106)),E106*E119,"SLO 不可達")</f>
        <v>23071159.2217659</v>
      </c>
      <c r="F120" s="72" t="n">
        <f aca="false">IF(AND(ISNUMBER(F106)),F106*F119,"SLO 不可達")</f>
        <v>147424792.173631</v>
      </c>
      <c r="G120" s="72" t="n">
        <f aca="false">IF(AND(ISNUMBER(G106)),G106*G119,"SLO 不可達")</f>
        <v>12663588.6826011</v>
      </c>
      <c r="H120" s="72" t="n">
        <f aca="false">IF(AND(ISNUMBER(H106)),H106*H119,"SLO 不可達")</f>
        <v>76874647.7221323</v>
      </c>
      <c r="I120" s="72" t="n">
        <f aca="false">IF(AND(ISNUMBER(I106)),I106*I119,"SLO 不可達")</f>
        <v>11414680.2179013</v>
      </c>
      <c r="J120" s="72" t="n">
        <f aca="false">IF(AND(ISNUMBER(J106)),J106*J119,"SLO 不可達")</f>
        <v>68408630.3879524</v>
      </c>
      <c r="K120" s="72" t="n">
        <f aca="false">IF(AND(ISNUMBER(K106)),K106*K119,"SLO 不可達")</f>
        <v>12351787.4256895</v>
      </c>
      <c r="L120" s="72" t="n">
        <f aca="false">IF(AND(ISNUMBER(L106)),L106*L119,"SLO 不可達")</f>
        <v>80819004.6728201</v>
      </c>
      <c r="M120" s="72" t="n">
        <f aca="false">IF(AND(ISNUMBER(M106)),M106*M119,"SLO 不可達")</f>
        <v>21848739.7890551</v>
      </c>
      <c r="N120" s="72" t="n">
        <f aca="false">IF(AND(ISNUMBER(N106)),N106*N119,"SLO 不可達")</f>
        <v>131020651.094153</v>
      </c>
      <c r="O120" s="72" t="n">
        <f aca="false">IF(AND(ISNUMBER(O106)),O106*O119,"SLO 不可達")</f>
        <v>14300056.0456916</v>
      </c>
      <c r="P120" s="72" t="n">
        <f aca="false">IF(AND(ISNUMBER(P106)),P106*P119,"SLO 不可達")</f>
        <v>68417904.735736</v>
      </c>
      <c r="Q120" s="72" t="n">
        <f aca="false">IF(AND(ISNUMBER(Q106)),Q106*Q119,"SLO 不可達")</f>
        <v>22439622.7367257</v>
      </c>
      <c r="R120" s="72" t="n">
        <f aca="false">IF(AND(ISNUMBER(R106)),R106*R119,"SLO 不可達")</f>
        <v>199000685.407346</v>
      </c>
      <c r="S120" s="72" t="n">
        <f aca="false">IF(AND(ISNUMBER(S106)),S106*S119,"SLO 不可達")</f>
        <v>17105309.2054178</v>
      </c>
      <c r="T120" s="72" t="n">
        <f aca="false">IF(AND(ISNUMBER(T106)),T106*T119,"SLO 不可達")</f>
        <v>113610537.370642</v>
      </c>
      <c r="U120" s="72" t="n">
        <f aca="false">IF(AND(ISNUMBER(U106)),U106*U119,"SLO 不可達")</f>
        <v>16234736.3599718</v>
      </c>
      <c r="V120" s="72" t="n">
        <f aca="false">IF(AND(ISNUMBER(V106)),V106*V119,"SLO 不可達")</f>
        <v>99408403.8983218</v>
      </c>
      <c r="W120" s="72" t="n">
        <f aca="false">IF(AND(ISNUMBER(W106)),W106*W119,"SLO 不可達")</f>
        <v>17281374.007037</v>
      </c>
      <c r="X120" s="72" t="n">
        <f aca="false">IF(AND(ISNUMBER(X106)),X106*X119,"SLO 不可達")</f>
        <v>116587884.462805</v>
      </c>
      <c r="Y120" s="72" t="n">
        <f aca="false">IF(AND(ISNUMBER(Y106)),Y106*Y119,"SLO 不可達")</f>
        <v>11695257.9283803</v>
      </c>
      <c r="Z120" s="72" t="n">
        <f aca="false">IF(AND(ISNUMBER(Z106)),Z106*Z119,"SLO 不可達")</f>
        <v>95200115.5021918</v>
      </c>
      <c r="AA120" s="72" t="n">
        <f aca="false">IF(AND(ISNUMBER(AA106)),AA106*AA119,"SLO 不可達")</f>
        <v>25840426.3733406</v>
      </c>
      <c r="AB120" s="72" t="n">
        <f aca="false">IF(AND(ISNUMBER(AB106)),AB106*AB119,"SLO 不可達")</f>
        <v>116417868.169632</v>
      </c>
      <c r="AC120" s="72" t="n">
        <f aca="false">IF(AND(ISNUMBER(AC106)),AC106*AC119,"SLO 不可達")</f>
        <v>9025672.74218523</v>
      </c>
      <c r="AD120" s="72" t="n">
        <f aca="false">IF(AND(ISNUMBER(AD106)),AD106*AD119,"SLO 不可達")</f>
        <v>56249984.8485696</v>
      </c>
      <c r="AE120" s="72" t="n">
        <f aca="false">IF(AND(ISNUMBER(AE106)),AE106*AE119,"SLO 不可達")</f>
        <v>21333408.2997105</v>
      </c>
      <c r="AF120" s="72" t="n">
        <f aca="false">IF(AND(ISNUMBER(AF106)),AF106*AF119,"SLO 不可達")</f>
        <v>132954509.642074</v>
      </c>
      <c r="AG120" s="72" t="n">
        <f aca="false">IF(AND(ISNUMBER(AG106)),AG106*AG119,"SLO 不可達")</f>
        <v>17659222.5414002</v>
      </c>
      <c r="AH120" s="72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1377</v>
      </c>
      <c r="B121" s="62" t="s">
        <v>1292</v>
      </c>
      <c r="C121" s="69" t="n">
        <f aca="false">IF(AND(ISNUMBER(C120),ISNUMBER(C106)),C120-C106,"SLO 不可達")</f>
        <v>14359024.8171129</v>
      </c>
      <c r="D121" s="69" t="n">
        <f aca="false">IF(AND(ISNUMBER(D120),ISNUMBER(D106)),D120-D106,"SLO 不可達")</f>
        <v>89488612.259088</v>
      </c>
      <c r="E121" s="69" t="n">
        <f aca="false">IF(AND(ISNUMBER(E120),ISNUMBER(E106)),E120-E106,"SLO 不可達")</f>
        <v>20187264.3190452</v>
      </c>
      <c r="F121" s="69" t="n">
        <f aca="false">IF(AND(ISNUMBER(F120),ISNUMBER(F106)),F120-F106,"SLO 不可達")</f>
        <v>128996693.151927</v>
      </c>
      <c r="G121" s="69" t="n">
        <f aca="false">IF(AND(ISNUMBER(G120),ISNUMBER(G106)),G120-G106,"SLO 不可達")</f>
        <v>11080640.0972759</v>
      </c>
      <c r="H121" s="69" t="n">
        <f aca="false">IF(AND(ISNUMBER(H120),ISNUMBER(H106)),H120-H106,"SLO 不可達")</f>
        <v>67265316.7568657</v>
      </c>
      <c r="I121" s="69" t="n">
        <f aca="false">IF(AND(ISNUMBER(I120),ISNUMBER(I106)),I120-I106,"SLO 不可達")</f>
        <v>9987845.19066364</v>
      </c>
      <c r="J121" s="69" t="n">
        <f aca="false">IF(AND(ISNUMBER(J120),ISNUMBER(J106)),J120-J106,"SLO 不可達")</f>
        <v>59857551.5894584</v>
      </c>
      <c r="K121" s="69" t="n">
        <f aca="false">IF(AND(ISNUMBER(K120),ISNUMBER(K106)),K120-K106,"SLO 不可達")</f>
        <v>10807813.9974783</v>
      </c>
      <c r="L121" s="69" t="n">
        <f aca="false">IF(AND(ISNUMBER(L120),ISNUMBER(L106)),L120-L106,"SLO 不可達")</f>
        <v>70716629.0887176</v>
      </c>
      <c r="M121" s="69" t="n">
        <f aca="false">IF(AND(ISNUMBER(M120),ISNUMBER(M106)),M120-M106,"SLO 不可達")</f>
        <v>19117647.3154232</v>
      </c>
      <c r="N121" s="69" t="n">
        <f aca="false">IF(AND(ISNUMBER(N120),ISNUMBER(N106)),N120-N106,"SLO 不可達")</f>
        <v>114643069.707384</v>
      </c>
      <c r="O121" s="69" t="n">
        <f aca="false">IF(AND(ISNUMBER(O120),ISNUMBER(O106)),O120-O106,"SLO 不可達")</f>
        <v>12512549.0399801</v>
      </c>
      <c r="P121" s="69" t="n">
        <f aca="false">IF(AND(ISNUMBER(P120),ISNUMBER(P106)),P120-P106,"SLO 不可達")</f>
        <v>59865666.643769</v>
      </c>
      <c r="Q121" s="69" t="n">
        <f aca="false">IF(AND(ISNUMBER(Q120),ISNUMBER(Q106)),Q120-Q106,"SLO 不可達")</f>
        <v>19634669.894635</v>
      </c>
      <c r="R121" s="69" t="n">
        <f aca="false">IF(AND(ISNUMBER(R120),ISNUMBER(R106)),R120-R106,"SLO 不可達")</f>
        <v>174125599.731428</v>
      </c>
      <c r="S121" s="69" t="n">
        <f aca="false">IF(AND(ISNUMBER(S120),ISNUMBER(S106)),S120-S106,"SLO 不可達")</f>
        <v>14967145.5547405</v>
      </c>
      <c r="T121" s="69" t="n">
        <f aca="false">IF(AND(ISNUMBER(T120),ISNUMBER(T106)),T120-T106,"SLO 不可達")</f>
        <v>99409220.1993114</v>
      </c>
      <c r="U121" s="69" t="n">
        <f aca="false">IF(AND(ISNUMBER(U120),ISNUMBER(U106)),U120-U106,"SLO 不可達")</f>
        <v>14205394.3149753</v>
      </c>
      <c r="V121" s="69" t="n">
        <f aca="false">IF(AND(ISNUMBER(V120),ISNUMBER(V106)),V120-V106,"SLO 不可達")</f>
        <v>86982353.4110315</v>
      </c>
      <c r="W121" s="69" t="n">
        <f aca="false">IF(AND(ISNUMBER(W120),ISNUMBER(W106)),W120-W106,"SLO 不可達")</f>
        <v>15121202.2561574</v>
      </c>
      <c r="X121" s="69" t="n">
        <f aca="false">IF(AND(ISNUMBER(X120),ISNUMBER(X106)),X120-X106,"SLO 不可達")</f>
        <v>102014398.904954</v>
      </c>
      <c r="Y121" s="69" t="n">
        <f aca="false">IF(AND(ISNUMBER(Y120),ISNUMBER(Y106)),Y120-Y106,"SLO 不可達")</f>
        <v>10233350.6873328</v>
      </c>
      <c r="Z121" s="69" t="n">
        <f aca="false">IF(AND(ISNUMBER(Z120),ISNUMBER(Z106)),Z120-Z106,"SLO 不可達")</f>
        <v>83300101.0644178</v>
      </c>
      <c r="AA121" s="69" t="n">
        <f aca="false">IF(AND(ISNUMBER(AA120),ISNUMBER(AA106)),AA120-AA106,"SLO 不可達")</f>
        <v>22610373.0766731</v>
      </c>
      <c r="AB121" s="69" t="n">
        <f aca="false">IF(AND(ISNUMBER(AB120),ISNUMBER(AB106)),AB120-AB106,"SLO 不可達")</f>
        <v>101865634.648428</v>
      </c>
      <c r="AC121" s="69" t="n">
        <f aca="false">IF(AND(ISNUMBER(AC120),ISNUMBER(AC106)),AC120-AC106,"SLO 不可達")</f>
        <v>6974383.48259768</v>
      </c>
      <c r="AD121" s="69" t="n">
        <f aca="false">IF(AND(ISNUMBER(AD120),ISNUMBER(AD106)),AD120-AD106,"SLO 不可達")</f>
        <v>43465897.3829856</v>
      </c>
      <c r="AE121" s="69" t="n">
        <f aca="false">IF(AND(ISNUMBER(AE120),ISNUMBER(AE106)),AE120-AE106,"SLO 不可達")</f>
        <v>19282119.040123</v>
      </c>
      <c r="AF121" s="69" t="n">
        <f aca="false">IF(AND(ISNUMBER(AF120),ISNUMBER(AF106)),AF120-AF106,"SLO 不可達")</f>
        <v>120170422.17649</v>
      </c>
      <c r="AG121" s="69" t="n">
        <f aca="false">IF(AND(ISNUMBER(AG120),ISNUMBER(AG106)),AG120-AG106,"SLO 不可達")</f>
        <v>15451819.7237252</v>
      </c>
      <c r="AH121" s="69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1379</v>
      </c>
      <c r="B122" s="62" t="s">
        <v>1087</v>
      </c>
      <c r="C122" s="72" t="n">
        <f aca="false">IF(AND(ISNUMBER(C120)),C120*C19/1000000,"SLO 不可達")</f>
        <v>78.50122859042</v>
      </c>
      <c r="D122" s="72" t="n">
        <f aca="false">IF(AND(ISNUMBER(D120)),D120*D19/1000000,"SLO 不可達")</f>
        <v>489.236984869465</v>
      </c>
      <c r="E122" s="72" t="n">
        <f aca="false">IF(AND(ISNUMBER(E120)),E120*E19/1000000,"SLO 不可達")</f>
        <v>110.364392506373</v>
      </c>
      <c r="F122" s="72" t="n">
        <f aca="false">IF(AND(ISNUMBER(F120)),F120*F19/1000000,"SLO 不可達")</f>
        <v>705.228873513697</v>
      </c>
      <c r="G122" s="72" t="n">
        <f aca="false">IF(AND(ISNUMBER(G120)),G120*G19/1000000,"SLO 不可達")</f>
        <v>60.5781988876964</v>
      </c>
      <c r="H122" s="72" t="n">
        <f aca="false">IF(AND(ISNUMBER(H120)),H120*H19/1000000,"SLO 不可達")</f>
        <v>367.741547507085</v>
      </c>
      <c r="I122" s="72" t="n">
        <f aca="false">IF(AND(ISNUMBER(I120)),I120*I19/1000000,"SLO 不可達")</f>
        <v>54.6038556534553</v>
      </c>
      <c r="J122" s="72" t="n">
        <f aca="false">IF(AND(ISNUMBER(J120)),J120*J19/1000000,"SLO 不可達")</f>
        <v>327.243068386292</v>
      </c>
      <c r="K122" s="72" t="n">
        <f aca="false">IF(AND(ISNUMBER(K120)),K120*K19/1000000,"SLO 不可達")</f>
        <v>59.0866502415709</v>
      </c>
      <c r="L122" s="72" t="n">
        <f aca="false">IF(AND(ISNUMBER(L120)),L120*L19/1000000,"SLO 不可達")</f>
        <v>386.609977762651</v>
      </c>
      <c r="M122" s="72" t="n">
        <f aca="false">IF(AND(ISNUMBER(M120)),M120*M19/1000000,"SLO 不可達")</f>
        <v>104.516763577878</v>
      </c>
      <c r="N122" s="72" t="n">
        <f aca="false">IF(AND(ISNUMBER(N120)),N120*N19/1000000,"SLO 不可達")</f>
        <v>626.757174392596</v>
      </c>
      <c r="O122" s="72" t="n">
        <f aca="false">IF(AND(ISNUMBER(O120)),O120*O19/1000000,"SLO 不可達")</f>
        <v>68.4064889466372</v>
      </c>
      <c r="P122" s="72" t="n">
        <f aca="false">IF(AND(ISNUMBER(P120)),P120*P19/1000000,"SLO 不可達")</f>
        <v>327.287433636828</v>
      </c>
      <c r="Q122" s="72" t="n">
        <f aca="false">IF(AND(ISNUMBER(Q120)),Q120*Q19/1000000,"SLO 不可達")</f>
        <v>107.343341858371</v>
      </c>
      <c r="R122" s="72" t="n">
        <f aca="false">IF(AND(ISNUMBER(R120)),R120*R19/1000000,"SLO 不可達")</f>
        <v>951.949988391287</v>
      </c>
      <c r="S122" s="72" t="n">
        <f aca="false">IF(AND(ISNUMBER(S120)),S120*S19/1000000,"SLO 不可達")</f>
        <v>81.8258432939332</v>
      </c>
      <c r="T122" s="72" t="n">
        <f aca="false">IF(AND(ISNUMBER(T120)),T120*T19/1000000,"SLO 不可達")</f>
        <v>543.473252414827</v>
      </c>
      <c r="U122" s="72" t="n">
        <f aca="false">IF(AND(ISNUMBER(U120)),U120*U19/1000000,"SLO 不可達")</f>
        <v>77.6613259284798</v>
      </c>
      <c r="V122" s="72" t="n">
        <f aca="false">IF(AND(ISNUMBER(V120)),V120*V19/1000000,"SLO 不可達")</f>
        <v>475.535190963269</v>
      </c>
      <c r="W122" s="72" t="n">
        <f aca="false">IF(AND(ISNUMBER(W120)),W120*W19/1000000,"SLO 不可達")</f>
        <v>82.6680760003908</v>
      </c>
      <c r="X122" s="72" t="n">
        <f aca="false">IF(AND(ISNUMBER(X120)),X120*X19/1000000,"SLO 不可達")</f>
        <v>557.715844213041</v>
      </c>
      <c r="Y122" s="72" t="n">
        <f aca="false">IF(AND(ISNUMBER(Y120)),Y120*Y19/1000000,"SLO 不可達")</f>
        <v>55.9460417252601</v>
      </c>
      <c r="Z122" s="72" t="n">
        <f aca="false">IF(AND(ISNUMBER(Z120)),Z120*Z19/1000000,"SLO 不可達")</f>
        <v>455.404204571725</v>
      </c>
      <c r="AA122" s="72" t="n">
        <f aca="false">IF(AND(ISNUMBER(AA120)),AA120*AA19/1000000,"SLO 不可達")</f>
        <v>123.61160232074</v>
      </c>
      <c r="AB122" s="72" t="n">
        <f aca="false">IF(AND(ISNUMBER(AB120)),AB120*AB19/1000000,"SLO 不可達")</f>
        <v>556.902545464945</v>
      </c>
      <c r="AC122" s="72" t="n">
        <f aca="false">IF(AND(ISNUMBER(AC120)),AC120*AC19/1000000,"SLO 不可達")</f>
        <v>43.175675724731</v>
      </c>
      <c r="AD122" s="72" t="n">
        <f aca="false">IF(AND(ISNUMBER(AD120)),AD120*AD19/1000000,"SLO 不可達")</f>
        <v>269.080341678206</v>
      </c>
      <c r="AE122" s="72" t="n">
        <f aca="false">IF(AND(ISNUMBER(AE120)),AE120*AE19/1000000,"SLO 不可達")</f>
        <v>102.051597167546</v>
      </c>
      <c r="AF122" s="72" t="n">
        <f aca="false">IF(AND(ISNUMBER(AF120)),AF120*AF19/1000000,"SLO 不可達")</f>
        <v>636.008080330305</v>
      </c>
      <c r="AG122" s="72" t="n">
        <f aca="false">IF(AND(ISNUMBER(AG120)),AG120*AG19/1000000,"SLO 不可達")</f>
        <v>84.4755718246611</v>
      </c>
      <c r="AH122" s="72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1381</v>
      </c>
      <c r="B123" s="62" t="s">
        <v>127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7" t="s">
        <v>1382</v>
      </c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</row>
    <row r="125" customFormat="false" ht="15" hidden="false" customHeight="false" outlineLevel="0" collapsed="false">
      <c r="A125" s="61" t="s">
        <v>1383</v>
      </c>
      <c r="B125" s="62" t="s">
        <v>1292</v>
      </c>
      <c r="C125" s="69" t="n">
        <f aca="false">C103</f>
        <v>1046714.22569904</v>
      </c>
      <c r="D125" s="69" t="n">
        <f aca="false">D103</f>
        <v>5684233.89686067</v>
      </c>
      <c r="E125" s="69" t="n">
        <f aca="false">E103</f>
        <v>1744523.70949839</v>
      </c>
      <c r="F125" s="69" t="n">
        <f aca="false">F103</f>
        <v>9473723.16143445</v>
      </c>
      <c r="G125" s="69" t="n">
        <f aca="false">G103</f>
        <v>654196.391061898</v>
      </c>
      <c r="H125" s="69" t="n">
        <f aca="false">H103</f>
        <v>3552646.18553792</v>
      </c>
      <c r="I125" s="69" t="n">
        <f aca="false">I103</f>
        <v>523357.112849518</v>
      </c>
      <c r="J125" s="69" t="n">
        <f aca="false">J103</f>
        <v>2842116.94843034</v>
      </c>
      <c r="K125" s="69" t="n">
        <f aca="false">K103</f>
        <v>539398.39432267</v>
      </c>
      <c r="L125" s="69" t="n">
        <f aca="false">L103</f>
        <v>3002522.01537919</v>
      </c>
      <c r="M125" s="69" t="n">
        <f aca="false">M103</f>
        <v>1726517.43974337</v>
      </c>
      <c r="N125" s="69" t="n">
        <f aca="false">N103</f>
        <v>9277727.81804586</v>
      </c>
      <c r="O125" s="69" t="n">
        <f aca="false">O103</f>
        <v>1046714.22569904</v>
      </c>
      <c r="P125" s="69" t="n">
        <f aca="false">P103</f>
        <v>5684233.89686067</v>
      </c>
      <c r="Q125" s="69" t="n">
        <f aca="false">Q103</f>
        <v>1046714.22569904</v>
      </c>
      <c r="R125" s="69" t="n">
        <f aca="false">R103</f>
        <v>5684233.89686067</v>
      </c>
      <c r="S125" s="69" t="n">
        <f aca="false">S103</f>
        <v>1046714.22569904</v>
      </c>
      <c r="T125" s="69" t="n">
        <f aca="false">T103</f>
        <v>5684233.89686067</v>
      </c>
      <c r="U125" s="69" t="n">
        <f aca="false">U103</f>
        <v>1046714.22569904</v>
      </c>
      <c r="V125" s="69" t="n">
        <f aca="false">V103</f>
        <v>5684233.89686067</v>
      </c>
      <c r="W125" s="69" t="n">
        <f aca="false">W103</f>
        <v>1046714.22569904</v>
      </c>
      <c r="X125" s="69" t="n">
        <f aca="false">X103</f>
        <v>5684233.89686067</v>
      </c>
      <c r="Y125" s="69" t="n">
        <f aca="false">Y103</f>
        <v>1046714.22569904</v>
      </c>
      <c r="Z125" s="69" t="n">
        <f aca="false">Z103</f>
        <v>5684233.89686067</v>
      </c>
      <c r="AA125" s="69" t="n">
        <f aca="false">AA103</f>
        <v>1046714.22569904</v>
      </c>
      <c r="AB125" s="69" t="n">
        <f aca="false">AB103</f>
        <v>5684233.89686067</v>
      </c>
      <c r="AC125" s="69" t="n">
        <f aca="false">AC103</f>
        <v>1046714.22569904</v>
      </c>
      <c r="AD125" s="69" t="n">
        <f aca="false">AD103</f>
        <v>5684233.89686067</v>
      </c>
      <c r="AE125" s="69" t="n">
        <f aca="false">AE103</f>
        <v>1046714.22569904</v>
      </c>
      <c r="AF125" s="69" t="n">
        <f aca="false">AF103</f>
        <v>5684233.89686067</v>
      </c>
      <c r="AG125" s="69" t="n">
        <f aca="false">AG103</f>
        <v>1177553.50391142</v>
      </c>
      <c r="AH125" s="69" t="n">
        <f aca="false">AH103</f>
        <v>6394763.13396825</v>
      </c>
    </row>
    <row r="126" customFormat="false" ht="15" hidden="false" customHeight="false" outlineLevel="0" collapsed="false">
      <c r="A126" s="61" t="s">
        <v>1385</v>
      </c>
      <c r="B126" s="62" t="s">
        <v>1292</v>
      </c>
      <c r="C126" s="69" t="n">
        <f aca="false">IF(AND(ISNUMBER(C65),ISNUMBER(C86)),C65+C74+C86+C87,"SLO 不可達")</f>
        <v>209542.386794135</v>
      </c>
      <c r="D126" s="69" t="n">
        <f aca="false">IF(AND(ISNUMBER(D65),ISNUMBER(D86)),D65+D74+D86+D87,"SLO 不可達")</f>
        <v>3404528.00266708</v>
      </c>
      <c r="E126" s="69" t="n">
        <f aca="false">IF(AND(ISNUMBER(E65),ISNUMBER(E86)),E65+E74+E86+E87,"SLO 不可達")</f>
        <v>209542.386794135</v>
      </c>
      <c r="F126" s="69" t="n">
        <f aca="false">IF(AND(ISNUMBER(F65),ISNUMBER(F86)),F65+F74+F86+F87,"SLO 不可達")</f>
        <v>3404528.00266708</v>
      </c>
      <c r="G126" s="69" t="n">
        <f aca="false">IF(AND(ISNUMBER(G65),ISNUMBER(G86)),G65+G74+G86+G87,"SLO 不可達")</f>
        <v>209542.386794135</v>
      </c>
      <c r="H126" s="69" t="n">
        <f aca="false">IF(AND(ISNUMBER(H65),ISNUMBER(H86)),H65+H74+H86+H87,"SLO 不可達")</f>
        <v>3404528.00266708</v>
      </c>
      <c r="I126" s="69" t="n">
        <f aca="false">IF(AND(ISNUMBER(I65),ISNUMBER(I86)),I65+I74+I86+I87,"SLO 不可達")</f>
        <v>209542.386794135</v>
      </c>
      <c r="J126" s="69" t="n">
        <f aca="false">IF(AND(ISNUMBER(J65),ISNUMBER(J86)),J65+J74+J86+J87,"SLO 不可達")</f>
        <v>3404528.00266708</v>
      </c>
      <c r="K126" s="69" t="n">
        <f aca="false">IF(AND(ISNUMBER(K65),ISNUMBER(K86)),K65+K74+K86+K87,"SLO 不可達")</f>
        <v>209542.386794135</v>
      </c>
      <c r="L126" s="69" t="n">
        <f aca="false">IF(AND(ISNUMBER(L65),ISNUMBER(L86)),L65+L74+L86+L87,"SLO 不可達")</f>
        <v>3404528.00266708</v>
      </c>
      <c r="M126" s="69" t="n">
        <f aca="false">IF(AND(ISNUMBER(M65),ISNUMBER(M86)),M65+M74+M86+M87,"SLO 不可達")</f>
        <v>209542.386794135</v>
      </c>
      <c r="N126" s="69" t="n">
        <f aca="false">IF(AND(ISNUMBER(N65),ISNUMBER(N86)),N65+N74+N86+N87,"SLO 不可達")</f>
        <v>3404528.00266708</v>
      </c>
      <c r="O126" s="69" t="n">
        <f aca="false">IF(AND(ISNUMBER(O65),ISNUMBER(O86)),O65+O74+O86+O87,"SLO 不可達")</f>
        <v>74979.1635871987</v>
      </c>
      <c r="P126" s="69" t="n">
        <f aca="false">IF(AND(ISNUMBER(P65),ISNUMBER(P86)),P65+P74+P86+P87,"SLO 不可達")</f>
        <v>1072119.43971675</v>
      </c>
      <c r="Q126" s="69" t="n">
        <f aca="false">IF(AND(ISNUMBER(Q65),ISNUMBER(Q86)),Q65+Q74+Q86+Q87,"SLO 不可達")</f>
        <v>594008.738813953</v>
      </c>
      <c r="R126" s="69" t="n">
        <f aca="false">IF(AND(ISNUMBER(R65),ISNUMBER(R86)),R65+R74+R86+R87,"SLO 不可達")</f>
        <v>10068552.4682394</v>
      </c>
      <c r="S126" s="69" t="n">
        <f aca="false">IF(AND(ISNUMBER(S65),ISNUMBER(S86)),S65+S74+S86+S87,"SLO 不可達")</f>
        <v>296416.777883803</v>
      </c>
      <c r="T126" s="69" t="n">
        <f aca="false">IF(AND(ISNUMBER(T65),ISNUMBER(T86)),T65+T74+T86+T87,"SLO 不可達")</f>
        <v>4821757.70841329</v>
      </c>
      <c r="U126" s="69" t="n">
        <f aca="false">IF(AND(ISNUMBER(U65),ISNUMBER(U86)),U65+U74+U86+U87,"SLO 不可達")</f>
        <v>187595.172203061</v>
      </c>
      <c r="V126" s="69" t="n">
        <f aca="false">IF(AND(ISNUMBER(V65),ISNUMBER(V86)),V65+V74+V86+V87,"SLO 不可達")</f>
        <v>3046491.0243733</v>
      </c>
      <c r="W126" s="69" t="n">
        <f aca="false">IF(AND(ISNUMBER(W65),ISNUMBER(W86)),W65+W74+W86+W87,"SLO 不可達")</f>
        <v>316651.707962845</v>
      </c>
      <c r="X126" s="69" t="n">
        <f aca="false">IF(AND(ISNUMBER(X65),ISNUMBER(X86)),X65+X74+X86+X87,"SLO 不可達")</f>
        <v>5178571.39923769</v>
      </c>
      <c r="Y126" s="69" t="n">
        <f aca="false">IF(AND(ISNUMBER(Y65),ISNUMBER(Y86)),Y65+Y74+Y86+Y87,"SLO 不可達")</f>
        <v>209542.386794135</v>
      </c>
      <c r="Z126" s="69" t="n">
        <f aca="false">IF(AND(ISNUMBER(Z65),ISNUMBER(Z86)),Z65+Z74+Z86+Z87,"SLO 不可達")</f>
        <v>3404528.00266708</v>
      </c>
      <c r="AA126" s="69" t="n">
        <f aca="false">IF(AND(ISNUMBER(AA65),ISNUMBER(AA86)),AA65+AA74+AA86+AA87,"SLO 不可達")</f>
        <v>209542.386794135</v>
      </c>
      <c r="AB126" s="69" t="n">
        <f aca="false">IF(AND(ISNUMBER(AB65),ISNUMBER(AB86)),AB65+AB74+AB86+AB87,"SLO 不可達")</f>
        <v>3404528.00266708</v>
      </c>
      <c r="AC126" s="69" t="n">
        <f aca="false">IF(AND(ISNUMBER(AC65),ISNUMBER(AC86)),AC65+AC74+AC86+AC87,"SLO 不可達")</f>
        <v>209542.386794135</v>
      </c>
      <c r="AD126" s="69" t="n">
        <f aca="false">IF(AND(ISNUMBER(AD65),ISNUMBER(AD86)),AD65+AD74+AD86+AD87,"SLO 不可達")</f>
        <v>3404528.00266708</v>
      </c>
      <c r="AE126" s="69" t="n">
        <f aca="false">IF(AND(ISNUMBER(AE65),ISNUMBER(AE86)),AE65+AE74+AE86+AE87,"SLO 不可達")</f>
        <v>209542.386794135</v>
      </c>
      <c r="AF126" s="69" t="n">
        <f aca="false">IF(AND(ISNUMBER(AF65),ISNUMBER(AF86)),AF65+AF74+AF86+AF87,"SLO 不可達")</f>
        <v>3404528.00266708</v>
      </c>
      <c r="AG126" s="69" t="n">
        <f aca="false">IF(AND(ISNUMBER(AG65),ISNUMBER(AG86)),AG65+AG74+AG86+AG87,"SLO 不可達")</f>
        <v>209542.386794135</v>
      </c>
      <c r="AH126" s="69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1387</v>
      </c>
      <c r="B127" s="62" t="s">
        <v>1292</v>
      </c>
      <c r="C127" s="69" t="n">
        <f aca="false">C51+C72+C89</f>
        <v>202194.239000742</v>
      </c>
      <c r="D127" s="69" t="n">
        <f aca="false">D51+D72+D89</f>
        <v>2781783.43731922</v>
      </c>
      <c r="E127" s="69" t="n">
        <f aca="false">E51+E72+E89</f>
        <v>336990.39833457</v>
      </c>
      <c r="F127" s="69" t="n">
        <f aca="false">F51+F72+F89</f>
        <v>4636305.72886537</v>
      </c>
      <c r="G127" s="69" t="n">
        <f aca="false">G51+G72+G89</f>
        <v>126371.399375464</v>
      </c>
      <c r="H127" s="69" t="n">
        <f aca="false">H51+H72+H89</f>
        <v>1738614.64832451</v>
      </c>
      <c r="I127" s="69" t="n">
        <f aca="false">I51+I72+I89</f>
        <v>101097.119500371</v>
      </c>
      <c r="J127" s="69" t="n">
        <f aca="false">J51+J72+J89</f>
        <v>1390891.71865961</v>
      </c>
      <c r="K127" s="69" t="n">
        <f aca="false">K51+K72+K89</f>
        <v>202194.239000742</v>
      </c>
      <c r="L127" s="69" t="n">
        <f aca="false">L51+L72+L89</f>
        <v>2781783.43731922</v>
      </c>
      <c r="M127" s="69" t="n">
        <f aca="false">M51+M72+M89</f>
        <v>202194.239000742</v>
      </c>
      <c r="N127" s="69" t="n">
        <f aca="false">N51+N72+N89</f>
        <v>2781783.43731922</v>
      </c>
      <c r="O127" s="69" t="n">
        <f aca="false">O51+O72+O89</f>
        <v>72975.2083315734</v>
      </c>
      <c r="P127" s="69" t="n">
        <f aca="false">P51+P72+P89</f>
        <v>882342.626652557</v>
      </c>
      <c r="Q127" s="69" t="n">
        <f aca="false">Q51+Q72+Q89</f>
        <v>571391.469484081</v>
      </c>
      <c r="R127" s="69" t="n">
        <f aca="false">R51+R72+R89</f>
        <v>8208757.18208113</v>
      </c>
      <c r="S127" s="69" t="n">
        <f aca="false">S51+S72+S89</f>
        <v>202194.239000742</v>
      </c>
      <c r="T127" s="69" t="n">
        <f aca="false">T51+T72+T89</f>
        <v>2781783.43731922</v>
      </c>
      <c r="U127" s="69" t="n">
        <f aca="false">U51+U72+U89</f>
        <v>202194.239000742</v>
      </c>
      <c r="V127" s="69" t="n">
        <f aca="false">V51+V72+V89</f>
        <v>2781783.43731922</v>
      </c>
      <c r="W127" s="69" t="n">
        <f aca="false">W51+W72+W89</f>
        <v>202194.239000742</v>
      </c>
      <c r="X127" s="69" t="n">
        <f aca="false">X51+X72+X89</f>
        <v>2781783.43731922</v>
      </c>
      <c r="Y127" s="69" t="n">
        <f aca="false">Y51+Y72+Y89</f>
        <v>202194.239000742</v>
      </c>
      <c r="Z127" s="69" t="n">
        <f aca="false">Z51+Z72+Z89</f>
        <v>2781783.43731922</v>
      </c>
      <c r="AA127" s="69" t="n">
        <f aca="false">AA51+AA72+AA89</f>
        <v>202194.239000742</v>
      </c>
      <c r="AB127" s="69" t="n">
        <f aca="false">AB51+AB72+AB89</f>
        <v>2781783.43731922</v>
      </c>
      <c r="AC127" s="69" t="n">
        <f aca="false">AC51+AC72+AC89</f>
        <v>202194.239000742</v>
      </c>
      <c r="AD127" s="69" t="n">
        <f aca="false">AD51+AD72+AD89</f>
        <v>2781783.43731922</v>
      </c>
      <c r="AE127" s="69" t="n">
        <f aca="false">AE51+AE72+AE89</f>
        <v>202194.239000742</v>
      </c>
      <c r="AF127" s="69" t="n">
        <f aca="false">AF51+AF72+AF89</f>
        <v>2781783.43731922</v>
      </c>
      <c r="AG127" s="69" t="n">
        <f aca="false">AG51+AG72+AG89</f>
        <v>227468.518875835</v>
      </c>
      <c r="AH127" s="69" t="n">
        <f aca="false">AH51+AH72+AH89</f>
        <v>3129506.36698413</v>
      </c>
    </row>
    <row r="128" customFormat="false" ht="15" hidden="false" customHeight="false" outlineLevel="0" collapsed="false">
      <c r="A128" s="61" t="s">
        <v>1389</v>
      </c>
      <c r="B128" s="62" t="s">
        <v>1292</v>
      </c>
      <c r="C128" s="69" t="n">
        <f aca="false">IF(AND(ISNUMBER(C105)),C105,"SLO 不可達")</f>
        <v>592838.408093639</v>
      </c>
      <c r="D128" s="69" t="n">
        <f aca="false">IF(AND(ISNUMBER(D105)),D105,"SLO 不可達")</f>
        <v>913542.128737021</v>
      </c>
      <c r="E128" s="69" t="n">
        <f aca="false">IF(AND(ISNUMBER(E105)),E105,"SLO 不可達")</f>
        <v>592838.408093639</v>
      </c>
      <c r="F128" s="69" t="n">
        <f aca="false">IF(AND(ISNUMBER(F105)),F105,"SLO 不可達")</f>
        <v>913542.128737021</v>
      </c>
      <c r="G128" s="69" t="n">
        <f aca="false">IF(AND(ISNUMBER(G105)),G105,"SLO 不可達")</f>
        <v>592838.408093639</v>
      </c>
      <c r="H128" s="69" t="n">
        <f aca="false">IF(AND(ISNUMBER(H105)),H105,"SLO 不可達")</f>
        <v>913542.128737021</v>
      </c>
      <c r="I128" s="69" t="n">
        <f aca="false">IF(AND(ISNUMBER(I105)),I105,"SLO 不可達")</f>
        <v>592838.408093639</v>
      </c>
      <c r="J128" s="69" t="n">
        <f aca="false">IF(AND(ISNUMBER(J105)),J105,"SLO 不可達")</f>
        <v>913542.128737021</v>
      </c>
      <c r="K128" s="69" t="n">
        <f aca="false">IF(AND(ISNUMBER(K105)),K105,"SLO 不可達")</f>
        <v>592838.408093639</v>
      </c>
      <c r="L128" s="69" t="n">
        <f aca="false">IF(AND(ISNUMBER(L105)),L105,"SLO 不可達")</f>
        <v>913542.128737021</v>
      </c>
      <c r="M128" s="69" t="n">
        <f aca="false">IF(AND(ISNUMBER(M105)),M105,"SLO 不可達")</f>
        <v>592838.408093639</v>
      </c>
      <c r="N128" s="69" t="n">
        <f aca="false">IF(AND(ISNUMBER(N105)),N105,"SLO 不可達")</f>
        <v>913542.128737021</v>
      </c>
      <c r="O128" s="69" t="n">
        <f aca="false">IF(AND(ISNUMBER(O105)),O105,"SLO 不可達")</f>
        <v>592838.408093639</v>
      </c>
      <c r="P128" s="69" t="n">
        <f aca="false">IF(AND(ISNUMBER(P105)),P105,"SLO 不可達")</f>
        <v>913542.128737021</v>
      </c>
      <c r="Q128" s="69" t="n">
        <f aca="false">IF(AND(ISNUMBER(Q105)),Q105,"SLO 不可達")</f>
        <v>592838.408093639</v>
      </c>
      <c r="R128" s="69" t="n">
        <f aca="false">IF(AND(ISNUMBER(R105)),R105,"SLO 不可達")</f>
        <v>913542.128737021</v>
      </c>
      <c r="S128" s="69" t="n">
        <f aca="false">IF(AND(ISNUMBER(S105)),S105,"SLO 不可達")</f>
        <v>592838.408093639</v>
      </c>
      <c r="T128" s="69" t="n">
        <f aca="false">IF(AND(ISNUMBER(T105)),T105,"SLO 不可達")</f>
        <v>913542.128737021</v>
      </c>
      <c r="U128" s="69" t="n">
        <f aca="false">IF(AND(ISNUMBER(U105)),U105,"SLO 不可達")</f>
        <v>592838.408093639</v>
      </c>
      <c r="V128" s="69" t="n">
        <f aca="false">IF(AND(ISNUMBER(V105)),V105,"SLO 不可達")</f>
        <v>913542.128737021</v>
      </c>
      <c r="W128" s="69" t="n">
        <f aca="false">IF(AND(ISNUMBER(W105)),W105,"SLO 不可達")</f>
        <v>594611.578217</v>
      </c>
      <c r="X128" s="69" t="n">
        <f aca="false">IF(AND(ISNUMBER(X105)),X105,"SLO 不可達")</f>
        <v>928896.82443303</v>
      </c>
      <c r="Y128" s="69" t="n">
        <f aca="false">IF(AND(ISNUMBER(Y105)),Y105,"SLO 不可達")</f>
        <v>3456.38955362504</v>
      </c>
      <c r="Z128" s="69" t="n">
        <f aca="false">IF(AND(ISNUMBER(Z105)),Z105,"SLO 不可達")</f>
        <v>29469.1009270007</v>
      </c>
      <c r="AA128" s="69" t="n">
        <f aca="false">IF(AND(ISNUMBER(AA105)),AA105,"SLO 不可達")</f>
        <v>1771602.44517367</v>
      </c>
      <c r="AB128" s="69" t="n">
        <f aca="false">IF(AND(ISNUMBER(AB105)),AB105,"SLO 不可達")</f>
        <v>2681688.18435706</v>
      </c>
      <c r="AC128" s="69" t="n">
        <f aca="false">IF(AND(ISNUMBER(AC105)),AC105,"SLO 不可達")</f>
        <v>592838.408093639</v>
      </c>
      <c r="AD128" s="69" t="n">
        <f aca="false">IF(AND(ISNUMBER(AD105)),AD105,"SLO 不可達")</f>
        <v>913542.128737021</v>
      </c>
      <c r="AE128" s="69" t="n">
        <f aca="false">IF(AND(ISNUMBER(AE105)),AE105,"SLO 不可達")</f>
        <v>592838.408093639</v>
      </c>
      <c r="AF128" s="69" t="n">
        <f aca="false">IF(AND(ISNUMBER(AF105)),AF105,"SLO 不可達")</f>
        <v>913542.128737021</v>
      </c>
      <c r="AG128" s="69" t="n">
        <f aca="false">IF(AND(ISNUMBER(AG105)),AG105,"SLO 不可達")</f>
        <v>592838.408093639</v>
      </c>
      <c r="AH128" s="69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1391</v>
      </c>
      <c r="B129" s="62" t="s">
        <v>1292</v>
      </c>
      <c r="C129" s="69" t="n">
        <f aca="false">IF(AND(ISNUMBER(C121)),C121,"SLO 不可達")</f>
        <v>14359024.8171129</v>
      </c>
      <c r="D129" s="69" t="n">
        <f aca="false">IF(AND(ISNUMBER(D121)),D121,"SLO 不可達")</f>
        <v>89488612.259088</v>
      </c>
      <c r="E129" s="69" t="n">
        <f aca="false">IF(AND(ISNUMBER(E121)),E121,"SLO 不可達")</f>
        <v>20187264.3190452</v>
      </c>
      <c r="F129" s="69" t="n">
        <f aca="false">IF(AND(ISNUMBER(F121)),F121,"SLO 不可達")</f>
        <v>128996693.151927</v>
      </c>
      <c r="G129" s="69" t="n">
        <f aca="false">IF(AND(ISNUMBER(G121)),G121,"SLO 不可達")</f>
        <v>11080640.0972759</v>
      </c>
      <c r="H129" s="69" t="n">
        <f aca="false">IF(AND(ISNUMBER(H121)),H121,"SLO 不可達")</f>
        <v>67265316.7568657</v>
      </c>
      <c r="I129" s="69" t="n">
        <f aca="false">IF(AND(ISNUMBER(I121)),I121,"SLO 不可達")</f>
        <v>9987845.19066364</v>
      </c>
      <c r="J129" s="69" t="n">
        <f aca="false">IF(AND(ISNUMBER(J121)),J121,"SLO 不可達")</f>
        <v>59857551.5894584</v>
      </c>
      <c r="K129" s="69" t="n">
        <f aca="false">IF(AND(ISNUMBER(K121)),K121,"SLO 不可達")</f>
        <v>10807813.9974783</v>
      </c>
      <c r="L129" s="69" t="n">
        <f aca="false">IF(AND(ISNUMBER(L121)),L121,"SLO 不可達")</f>
        <v>70716629.0887176</v>
      </c>
      <c r="M129" s="69" t="n">
        <f aca="false">IF(AND(ISNUMBER(M121)),M121,"SLO 不可達")</f>
        <v>19117647.3154232</v>
      </c>
      <c r="N129" s="69" t="n">
        <f aca="false">IF(AND(ISNUMBER(N121)),N121,"SLO 不可達")</f>
        <v>114643069.707384</v>
      </c>
      <c r="O129" s="69" t="n">
        <f aca="false">IF(AND(ISNUMBER(O121)),O121,"SLO 不可達")</f>
        <v>12512549.0399801</v>
      </c>
      <c r="P129" s="69" t="n">
        <f aca="false">IF(AND(ISNUMBER(P121)),P121,"SLO 不可達")</f>
        <v>59865666.643769</v>
      </c>
      <c r="Q129" s="69" t="n">
        <f aca="false">IF(AND(ISNUMBER(Q121)),Q121,"SLO 不可達")</f>
        <v>19634669.894635</v>
      </c>
      <c r="R129" s="69" t="n">
        <f aca="false">IF(AND(ISNUMBER(R121)),R121,"SLO 不可達")</f>
        <v>174125599.731428</v>
      </c>
      <c r="S129" s="69" t="n">
        <f aca="false">IF(AND(ISNUMBER(S121)),S121,"SLO 不可達")</f>
        <v>14967145.5547405</v>
      </c>
      <c r="T129" s="69" t="n">
        <f aca="false">IF(AND(ISNUMBER(T121)),T121,"SLO 不可達")</f>
        <v>99409220.1993114</v>
      </c>
      <c r="U129" s="69" t="n">
        <f aca="false">IF(AND(ISNUMBER(U121)),U121,"SLO 不可達")</f>
        <v>14205394.3149753</v>
      </c>
      <c r="V129" s="69" t="n">
        <f aca="false">IF(AND(ISNUMBER(V121)),V121,"SLO 不可達")</f>
        <v>86982353.4110315</v>
      </c>
      <c r="W129" s="69" t="n">
        <f aca="false">IF(AND(ISNUMBER(W121)),W121,"SLO 不可達")</f>
        <v>15121202.2561574</v>
      </c>
      <c r="X129" s="69" t="n">
        <f aca="false">IF(AND(ISNUMBER(X121)),X121,"SLO 不可達")</f>
        <v>102014398.904954</v>
      </c>
      <c r="Y129" s="69" t="n">
        <f aca="false">IF(AND(ISNUMBER(Y121)),Y121,"SLO 不可達")</f>
        <v>10233350.6873328</v>
      </c>
      <c r="Z129" s="69" t="n">
        <f aca="false">IF(AND(ISNUMBER(Z121)),Z121,"SLO 不可達")</f>
        <v>83300101.0644178</v>
      </c>
      <c r="AA129" s="69" t="n">
        <f aca="false">IF(AND(ISNUMBER(AA121)),AA121,"SLO 不可達")</f>
        <v>22610373.0766731</v>
      </c>
      <c r="AB129" s="69" t="n">
        <f aca="false">IF(AND(ISNUMBER(AB121)),AB121,"SLO 不可達")</f>
        <v>101865634.648428</v>
      </c>
      <c r="AC129" s="69" t="n">
        <f aca="false">IF(AND(ISNUMBER(AC121)),AC121,"SLO 不可達")</f>
        <v>6974383.48259768</v>
      </c>
      <c r="AD129" s="69" t="n">
        <f aca="false">IF(AND(ISNUMBER(AD121)),AD121,"SLO 不可達")</f>
        <v>43465897.3829856</v>
      </c>
      <c r="AE129" s="69" t="n">
        <f aca="false">IF(AND(ISNUMBER(AE121)),AE121,"SLO 不可達")</f>
        <v>19282119.040123</v>
      </c>
      <c r="AF129" s="69" t="n">
        <f aca="false">IF(AND(ISNUMBER(AF121)),AF121,"SLO 不可達")</f>
        <v>120170422.17649</v>
      </c>
      <c r="AG129" s="69" t="n">
        <f aca="false">IF(AND(ISNUMBER(AG121)),AG121,"SLO 不可達")</f>
        <v>15451819.7237252</v>
      </c>
      <c r="AH129" s="69" t="n">
        <f aca="false">IF(AND(ISNUMBER(AH121)),AH121,"SLO 不可達")</f>
        <v>96896377.4264954</v>
      </c>
    </row>
    <row r="130" customFormat="false" ht="15" hidden="false" customHeight="false" outlineLevel="0" collapsed="false">
      <c r="A130" s="77" t="s">
        <v>1416</v>
      </c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</row>
    <row r="131" customFormat="false" ht="15" hidden="false" customHeight="false" outlineLevel="0" collapsed="false">
      <c r="A131" s="61" t="s">
        <v>1417</v>
      </c>
      <c r="B131" s="62" t="s">
        <v>132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1418</v>
      </c>
      <c r="B132" s="62" t="s">
        <v>132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1419</v>
      </c>
      <c r="B133" s="62" t="s">
        <v>132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1420</v>
      </c>
    </row>
    <row r="2" customFormat="false" ht="15" hidden="false" customHeight="false" outlineLevel="0" collapsed="false">
      <c r="A2" s="59" t="s">
        <v>1421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7" t="s">
        <v>1422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0" t="s">
        <v>411</v>
      </c>
      <c r="B5" s="60" t="s">
        <v>109</v>
      </c>
      <c r="C5" s="60" t="s">
        <v>1423</v>
      </c>
      <c r="D5" s="10" t="s">
        <v>1424</v>
      </c>
      <c r="E5" s="10" t="s">
        <v>1425</v>
      </c>
      <c r="F5" s="60" t="s">
        <v>113</v>
      </c>
      <c r="G5" s="60" t="s">
        <v>379</v>
      </c>
    </row>
    <row r="6" customFormat="false" ht="15" hidden="false" customHeight="false" outlineLevel="0" collapsed="false">
      <c r="A6" s="61" t="s">
        <v>1426</v>
      </c>
      <c r="B6" s="62" t="s">
        <v>1040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164</v>
      </c>
      <c r="G6" s="88" t="s">
        <v>1427</v>
      </c>
    </row>
    <row r="7" customFormat="false" ht="15" hidden="false" customHeight="false" outlineLevel="0" collapsed="false">
      <c r="A7" s="61" t="s">
        <v>1428</v>
      </c>
      <c r="B7" s="62" t="s">
        <v>1040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164</v>
      </c>
      <c r="G7" s="93" t="s">
        <v>1429</v>
      </c>
    </row>
    <row r="8" customFormat="false" ht="15" hidden="false" customHeight="false" outlineLevel="0" collapsed="false">
      <c r="A8" s="61" t="s">
        <v>1430</v>
      </c>
      <c r="B8" s="62" t="s">
        <v>1040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164</v>
      </c>
      <c r="G8" s="93" t="s">
        <v>1431</v>
      </c>
    </row>
    <row r="10" customFormat="false" ht="15" hidden="false" customHeight="false" outlineLevel="0" collapsed="false">
      <c r="A10" s="77" t="s">
        <v>1432</v>
      </c>
      <c r="B10" s="71"/>
      <c r="C10" s="71"/>
      <c r="D10" s="71"/>
      <c r="E10" s="71"/>
      <c r="F10" s="71"/>
      <c r="G10" s="71"/>
    </row>
    <row r="11" customFormat="false" ht="15" hidden="false" customHeight="false" outlineLevel="0" collapsed="false">
      <c r="A11" s="60" t="s">
        <v>411</v>
      </c>
      <c r="B11" s="60" t="s">
        <v>109</v>
      </c>
      <c r="C11" s="60" t="s">
        <v>111</v>
      </c>
      <c r="D11" s="60" t="s">
        <v>1433</v>
      </c>
      <c r="E11" s="60" t="s">
        <v>1434</v>
      </c>
      <c r="F11" s="60" t="s">
        <v>113</v>
      </c>
      <c r="G11" s="60" t="s">
        <v>379</v>
      </c>
    </row>
    <row r="12" customFormat="false" ht="15" hidden="false" customHeight="false" outlineLevel="0" collapsed="false">
      <c r="A12" s="5" t="s">
        <v>1435</v>
      </c>
      <c r="B12" s="62" t="s">
        <v>127</v>
      </c>
      <c r="C12" s="67" t="n">
        <v>0.2</v>
      </c>
      <c r="D12" s="67" t="n">
        <v>0.1</v>
      </c>
      <c r="E12" s="67" t="n">
        <v>0.4</v>
      </c>
      <c r="F12" s="59" t="s">
        <v>128</v>
      </c>
      <c r="G12" s="93" t="s">
        <v>1436</v>
      </c>
    </row>
    <row r="13" customFormat="false" ht="15" hidden="false" customHeight="false" outlineLevel="0" collapsed="false">
      <c r="A13" s="5" t="s">
        <v>1437</v>
      </c>
      <c r="B13" s="62" t="s">
        <v>127</v>
      </c>
      <c r="C13" s="67" t="n">
        <v>0.55</v>
      </c>
      <c r="D13" s="67" t="n">
        <v>0.3</v>
      </c>
      <c r="E13" s="67" t="n">
        <v>0.75</v>
      </c>
      <c r="F13" s="59" t="s">
        <v>128</v>
      </c>
      <c r="G13" s="93" t="s">
        <v>1438</v>
      </c>
      <c r="O13" s="65" t="s">
        <v>1439</v>
      </c>
    </row>
    <row r="14" customFormat="false" ht="26.85" hidden="false" customHeight="false" outlineLevel="0" collapsed="false">
      <c r="A14" s="5" t="s">
        <v>1440</v>
      </c>
      <c r="B14" s="62" t="s">
        <v>132</v>
      </c>
      <c r="C14" s="80" t="n">
        <v>0</v>
      </c>
      <c r="D14" s="80" t="n">
        <v>0</v>
      </c>
      <c r="E14" s="80" t="n">
        <v>0.5</v>
      </c>
      <c r="F14" s="59" t="s">
        <v>128</v>
      </c>
      <c r="G14" s="88" t="s">
        <v>1441</v>
      </c>
      <c r="O14" s="65" t="s">
        <v>1439</v>
      </c>
    </row>
    <row r="15" customFormat="false" ht="15" hidden="false" customHeight="false" outlineLevel="0" collapsed="false">
      <c r="A15" s="5" t="s">
        <v>1442</v>
      </c>
      <c r="B15" s="62" t="s">
        <v>132</v>
      </c>
      <c r="C15" s="80" t="n">
        <v>1</v>
      </c>
      <c r="D15" s="80" t="n">
        <v>0.5</v>
      </c>
      <c r="E15" s="80" t="n">
        <v>7</v>
      </c>
      <c r="F15" s="59" t="s">
        <v>128</v>
      </c>
      <c r="G15" s="93" t="s">
        <v>1443</v>
      </c>
      <c r="O15" s="65" t="s">
        <v>1439</v>
      </c>
    </row>
    <row r="16" customFormat="false" ht="15" hidden="false" customHeight="false" outlineLevel="0" collapsed="false">
      <c r="A16" s="5" t="s">
        <v>1444</v>
      </c>
      <c r="B16" s="61" t="s">
        <v>122</v>
      </c>
      <c r="C16" s="68" t="n">
        <v>2</v>
      </c>
      <c r="D16" s="68" t="n">
        <v>1</v>
      </c>
      <c r="E16" s="68" t="n">
        <v>2</v>
      </c>
      <c r="F16" s="59" t="s">
        <v>118</v>
      </c>
      <c r="G16" s="88" t="s">
        <v>1445</v>
      </c>
      <c r="O16" s="65" t="s">
        <v>1446</v>
      </c>
    </row>
    <row r="17" customFormat="false" ht="15" hidden="false" customHeight="false" outlineLevel="0" collapsed="false">
      <c r="A17" s="5" t="s">
        <v>1447</v>
      </c>
      <c r="B17" s="62" t="s">
        <v>1448</v>
      </c>
      <c r="C17" s="90" t="n">
        <f aca="false">SRC_PRC_028</f>
        <v>35</v>
      </c>
      <c r="F17" s="59" t="s">
        <v>164</v>
      </c>
      <c r="G17" s="88" t="s">
        <v>1449</v>
      </c>
    </row>
    <row r="18" customFormat="false" ht="15" hidden="false" customHeight="false" outlineLevel="0" collapsed="false">
      <c r="A18" s="5" t="s">
        <v>1450</v>
      </c>
      <c r="B18" s="62" t="s">
        <v>132</v>
      </c>
      <c r="C18" s="97" t="n">
        <f aca="false">SRC_PRC_027</f>
        <v>0.5</v>
      </c>
      <c r="F18" s="59" t="s">
        <v>164</v>
      </c>
      <c r="G18" s="88" t="s">
        <v>1451</v>
      </c>
    </row>
    <row r="20" customFormat="false" ht="15" hidden="false" customHeight="false" outlineLevel="0" collapsed="false">
      <c r="A20" s="77" t="s">
        <v>1452</v>
      </c>
      <c r="B20" s="71"/>
      <c r="C20" s="71"/>
      <c r="D20" s="71"/>
      <c r="E20" s="71"/>
      <c r="F20" s="71"/>
      <c r="G20" s="71"/>
    </row>
    <row r="21" customFormat="false" ht="15" hidden="false" customHeight="false" outlineLevel="0" collapsed="false">
      <c r="A21" s="60" t="s">
        <v>411</v>
      </c>
      <c r="B21" s="60" t="s">
        <v>109</v>
      </c>
      <c r="C21" s="60" t="s">
        <v>1423</v>
      </c>
      <c r="D21" s="10" t="s">
        <v>1424</v>
      </c>
      <c r="E21" s="10" t="s">
        <v>1425</v>
      </c>
      <c r="F21" s="60" t="s">
        <v>113</v>
      </c>
      <c r="G21" s="60" t="s">
        <v>379</v>
      </c>
    </row>
    <row r="22" customFormat="false" ht="15" hidden="false" customHeight="false" outlineLevel="0" collapsed="false">
      <c r="A22" s="61" t="s">
        <v>1453</v>
      </c>
      <c r="B22" s="61" t="s">
        <v>1454</v>
      </c>
      <c r="C22" s="68" t="n">
        <v>12</v>
      </c>
      <c r="D22" s="68" t="n">
        <v>12</v>
      </c>
      <c r="E22" s="68" t="n">
        <v>9</v>
      </c>
      <c r="F22" s="59" t="s">
        <v>128</v>
      </c>
      <c r="G22" s="65" t="s">
        <v>1455</v>
      </c>
    </row>
    <row r="23" customFormat="false" ht="15" hidden="false" customHeight="false" outlineLevel="0" collapsed="false">
      <c r="A23" s="61" t="s">
        <v>1456</v>
      </c>
      <c r="B23" s="61" t="s">
        <v>1454</v>
      </c>
      <c r="C23" s="68" t="n">
        <v>6</v>
      </c>
      <c r="D23" s="68" t="n">
        <v>6</v>
      </c>
      <c r="E23" s="68" t="n">
        <v>6</v>
      </c>
      <c r="F23" s="59" t="s">
        <v>128</v>
      </c>
      <c r="G23" s="65"/>
      <c r="O23" s="65" t="s">
        <v>1457</v>
      </c>
    </row>
    <row r="24" customFormat="false" ht="15" hidden="false" customHeight="false" outlineLevel="0" collapsed="false">
      <c r="A24" s="61" t="s">
        <v>1458</v>
      </c>
      <c r="B24" s="61" t="s">
        <v>1454</v>
      </c>
      <c r="C24" s="68" t="n">
        <v>24</v>
      </c>
      <c r="D24" s="68" t="n">
        <v>24</v>
      </c>
      <c r="E24" s="68" t="n">
        <v>18</v>
      </c>
      <c r="F24" s="59" t="s">
        <v>128</v>
      </c>
      <c r="G24" s="65"/>
      <c r="O24" s="65" t="s">
        <v>1459</v>
      </c>
    </row>
    <row r="26" customFormat="false" ht="15" hidden="false" customHeight="false" outlineLevel="0" collapsed="false">
      <c r="A26" s="77" t="s">
        <v>1460</v>
      </c>
      <c r="B26" s="71"/>
      <c r="C26" s="71"/>
      <c r="D26" s="71"/>
      <c r="E26" s="71"/>
      <c r="F26" s="71"/>
      <c r="G26" s="71"/>
    </row>
    <row r="27" customFormat="false" ht="15" hidden="false" customHeight="false" outlineLevel="0" collapsed="false">
      <c r="A27" s="60" t="s">
        <v>411</v>
      </c>
      <c r="B27" s="60" t="s">
        <v>109</v>
      </c>
      <c r="C27" s="60" t="s">
        <v>111</v>
      </c>
      <c r="D27" s="60" t="s">
        <v>1433</v>
      </c>
      <c r="E27" s="60" t="s">
        <v>1434</v>
      </c>
      <c r="F27" s="60" t="s">
        <v>113</v>
      </c>
      <c r="G27" s="60" t="s">
        <v>379</v>
      </c>
    </row>
    <row r="28" customFormat="false" ht="26.85" hidden="false" customHeight="false" outlineLevel="0" collapsed="false">
      <c r="A28" s="61" t="s">
        <v>1461</v>
      </c>
      <c r="B28" s="62" t="s">
        <v>127</v>
      </c>
      <c r="C28" s="67" t="n">
        <v>0.41</v>
      </c>
      <c r="D28" s="67" t="n">
        <v>0.3</v>
      </c>
      <c r="E28" s="67" t="n">
        <v>0.6</v>
      </c>
      <c r="F28" s="59" t="s">
        <v>1462</v>
      </c>
      <c r="G28" s="88" t="s">
        <v>1463</v>
      </c>
      <c r="O28" s="65" t="s">
        <v>1439</v>
      </c>
    </row>
    <row r="29" customFormat="false" ht="15" hidden="false" customHeight="false" outlineLevel="0" collapsed="false">
      <c r="A29" s="61" t="s">
        <v>1464</v>
      </c>
      <c r="B29" s="62" t="s">
        <v>127</v>
      </c>
      <c r="C29" s="67" t="n">
        <v>0.46</v>
      </c>
      <c r="D29" s="67" t="n">
        <v>0.35</v>
      </c>
      <c r="E29" s="67" t="n">
        <v>0.6</v>
      </c>
      <c r="F29" s="59" t="s">
        <v>241</v>
      </c>
      <c r="G29" s="88" t="s">
        <v>1465</v>
      </c>
      <c r="O29" s="65" t="s">
        <v>1439</v>
      </c>
    </row>
    <row r="30" customFormat="false" ht="15" hidden="false" customHeight="false" outlineLevel="0" collapsed="false">
      <c r="A30" s="60" t="s">
        <v>411</v>
      </c>
      <c r="B30" s="60" t="s">
        <v>109</v>
      </c>
      <c r="C30" s="60" t="s">
        <v>1423</v>
      </c>
      <c r="D30" s="10" t="s">
        <v>1424</v>
      </c>
      <c r="E30" s="10" t="s">
        <v>1425</v>
      </c>
      <c r="F30" s="60" t="s">
        <v>113</v>
      </c>
      <c r="G30" s="60" t="s">
        <v>379</v>
      </c>
    </row>
    <row r="31" customFormat="false" ht="15" hidden="false" customHeight="false" outlineLevel="0" collapsed="false">
      <c r="A31" s="61" t="s">
        <v>1466</v>
      </c>
      <c r="B31" s="62" t="s">
        <v>127</v>
      </c>
      <c r="C31" s="67" t="n">
        <v>0.4</v>
      </c>
      <c r="D31" s="67" t="n">
        <v>0.45</v>
      </c>
      <c r="E31" s="67" t="n">
        <v>0.15</v>
      </c>
      <c r="F31" s="59" t="s">
        <v>128</v>
      </c>
      <c r="G31" s="88" t="s">
        <v>1467</v>
      </c>
    </row>
    <row r="32" customFormat="false" ht="15" hidden="false" customHeight="false" outlineLevel="0" collapsed="false">
      <c r="A32" s="61" t="s">
        <v>1468</v>
      </c>
      <c r="B32" s="62" t="s">
        <v>127</v>
      </c>
      <c r="C32" s="67" t="n">
        <v>0.9</v>
      </c>
      <c r="D32" s="67" t="n">
        <v>0.1</v>
      </c>
      <c r="E32" s="67" t="n">
        <v>0</v>
      </c>
      <c r="F32" s="59" t="s">
        <v>128</v>
      </c>
      <c r="G32" s="88" t="s">
        <v>1469</v>
      </c>
    </row>
    <row r="34" customFormat="false" ht="15" hidden="false" customHeight="false" outlineLevel="0" collapsed="false">
      <c r="A34" s="77" t="s">
        <v>1470</v>
      </c>
      <c r="B34" s="71"/>
      <c r="C34" s="71"/>
      <c r="D34" s="71"/>
      <c r="E34" s="71"/>
      <c r="F34" s="71"/>
      <c r="G34" s="71"/>
    </row>
    <row r="35" customFormat="false" ht="15" hidden="false" customHeight="false" outlineLevel="0" collapsed="false">
      <c r="A35" s="60" t="s">
        <v>411</v>
      </c>
      <c r="B35" s="60" t="s">
        <v>109</v>
      </c>
      <c r="C35" s="60" t="s">
        <v>111</v>
      </c>
      <c r="D35" s="60" t="s">
        <v>1433</v>
      </c>
      <c r="E35" s="60" t="s">
        <v>1434</v>
      </c>
      <c r="F35" s="60" t="s">
        <v>113</v>
      </c>
      <c r="G35" s="60" t="s">
        <v>379</v>
      </c>
    </row>
    <row r="36" customFormat="false" ht="15" hidden="false" customHeight="false" outlineLevel="0" collapsed="false">
      <c r="A36" s="5" t="s">
        <v>1471</v>
      </c>
      <c r="B36" s="61" t="s">
        <v>122</v>
      </c>
      <c r="C36" s="68" t="n">
        <v>2</v>
      </c>
      <c r="D36" s="68" t="n">
        <v>1</v>
      </c>
      <c r="E36" s="68" t="n">
        <v>3</v>
      </c>
      <c r="F36" s="59" t="s">
        <v>128</v>
      </c>
      <c r="G36" s="93" t="s">
        <v>1472</v>
      </c>
      <c r="O36" s="65" t="s">
        <v>1439</v>
      </c>
    </row>
    <row r="37" customFormat="false" ht="15" hidden="false" customHeight="false" outlineLevel="0" collapsed="false">
      <c r="A37" s="5" t="s">
        <v>1473</v>
      </c>
      <c r="B37" s="62" t="s">
        <v>1448</v>
      </c>
      <c r="C37" s="148" t="n">
        <v>0.0833333333333333</v>
      </c>
      <c r="D37" s="148" t="n">
        <v>0.0833333333333333</v>
      </c>
      <c r="E37" s="148" t="n">
        <v>1</v>
      </c>
      <c r="F37" s="59" t="s">
        <v>133</v>
      </c>
      <c r="G37" s="88" t="s">
        <v>1474</v>
      </c>
      <c r="O37" s="65" t="s">
        <v>1439</v>
      </c>
    </row>
    <row r="38" customFormat="false" ht="15" hidden="false" customHeight="false" outlineLevel="0" collapsed="false">
      <c r="A38" s="5" t="s">
        <v>1475</v>
      </c>
      <c r="B38" s="61" t="s">
        <v>1476</v>
      </c>
      <c r="C38" s="68" t="n">
        <v>5</v>
      </c>
      <c r="D38" s="68" t="n">
        <v>1</v>
      </c>
      <c r="E38" s="68" t="n">
        <v>20</v>
      </c>
      <c r="F38" s="59" t="s">
        <v>128</v>
      </c>
      <c r="G38" s="93" t="s">
        <v>1477</v>
      </c>
      <c r="O38" s="65" t="s">
        <v>1439</v>
      </c>
    </row>
    <row r="39" customFormat="false" ht="15" hidden="false" customHeight="false" outlineLevel="0" collapsed="false">
      <c r="A39" s="6" t="s">
        <v>1478</v>
      </c>
      <c r="B39" s="62" t="s">
        <v>1479</v>
      </c>
      <c r="C39" s="80" t="n">
        <v>10</v>
      </c>
      <c r="D39" s="80" t="n">
        <v>5</v>
      </c>
      <c r="E39" s="80" t="n">
        <v>20</v>
      </c>
      <c r="F39" s="59" t="s">
        <v>128</v>
      </c>
      <c r="G39" s="88" t="s">
        <v>1480</v>
      </c>
      <c r="O39" s="65" t="s">
        <v>1439</v>
      </c>
    </row>
    <row r="40" customFormat="false" ht="15" hidden="false" customHeight="false" outlineLevel="0" collapsed="false">
      <c r="A40" s="6" t="s">
        <v>1481</v>
      </c>
      <c r="B40" s="61" t="s">
        <v>163</v>
      </c>
      <c r="C40" s="68" t="n">
        <v>4</v>
      </c>
      <c r="D40" s="68" t="n">
        <v>3</v>
      </c>
      <c r="E40" s="68" t="n">
        <v>6</v>
      </c>
      <c r="F40" s="59" t="s">
        <v>128</v>
      </c>
      <c r="G40" s="93"/>
      <c r="O40" s="65" t="s">
        <v>1439</v>
      </c>
    </row>
    <row r="41" customFormat="false" ht="15" hidden="false" customHeight="false" outlineLevel="0" collapsed="false">
      <c r="A41" s="6" t="s">
        <v>1482</v>
      </c>
      <c r="B41" s="62" t="s">
        <v>1479</v>
      </c>
      <c r="C41" s="80" t="n">
        <v>0.1</v>
      </c>
      <c r="D41" s="80" t="n">
        <v>0.05</v>
      </c>
      <c r="E41" s="80" t="n">
        <v>0.3</v>
      </c>
      <c r="F41" s="59" t="s">
        <v>128</v>
      </c>
      <c r="G41" s="93" t="s">
        <v>1483</v>
      </c>
      <c r="O41" s="65" t="s">
        <v>1439</v>
      </c>
    </row>
    <row r="42" customFormat="false" ht="15" hidden="false" customHeight="false" outlineLevel="0" collapsed="false">
      <c r="A42" s="6" t="s">
        <v>1484</v>
      </c>
      <c r="B42" s="61" t="s">
        <v>163</v>
      </c>
      <c r="C42" s="68" t="n">
        <v>5</v>
      </c>
      <c r="D42" s="68" t="n">
        <v>3</v>
      </c>
      <c r="E42" s="68" t="n">
        <v>6</v>
      </c>
      <c r="F42" s="59" t="s">
        <v>128</v>
      </c>
      <c r="G42" s="93"/>
      <c r="O42" s="65" t="s">
        <v>1439</v>
      </c>
    </row>
    <row r="44" customFormat="false" ht="15" hidden="false" customHeight="false" outlineLevel="0" collapsed="false">
      <c r="A44" s="77" t="s">
        <v>1485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</row>
    <row r="45" customFormat="false" ht="29.85" hidden="false" customHeight="false" outlineLevel="0" collapsed="false">
      <c r="A45" s="84" t="s">
        <v>1486</v>
      </c>
      <c r="B45" s="84" t="s">
        <v>1487</v>
      </c>
      <c r="C45" s="84" t="s">
        <v>1488</v>
      </c>
      <c r="D45" s="84" t="s">
        <v>1489</v>
      </c>
      <c r="E45" s="84" t="s">
        <v>1490</v>
      </c>
      <c r="F45" s="84" t="s">
        <v>1491</v>
      </c>
      <c r="G45" s="84" t="s">
        <v>1492</v>
      </c>
      <c r="H45" s="84" t="s">
        <v>1493</v>
      </c>
      <c r="I45" s="84" t="s">
        <v>1494</v>
      </c>
      <c r="J45" s="84" t="s">
        <v>1495</v>
      </c>
      <c r="K45" s="84" t="s">
        <v>1496</v>
      </c>
      <c r="L45" s="84" t="s">
        <v>113</v>
      </c>
      <c r="M45" s="84" t="s">
        <v>512</v>
      </c>
      <c r="N45" s="84" t="s">
        <v>1497</v>
      </c>
    </row>
    <row r="46" customFormat="false" ht="15" hidden="false" customHeight="false" outlineLevel="0" collapsed="false">
      <c r="A46" s="136" t="s">
        <v>1498</v>
      </c>
      <c r="B46" s="136" t="s">
        <v>1499</v>
      </c>
      <c r="C46" s="109" t="s">
        <v>1500</v>
      </c>
      <c r="D46" s="109" t="s">
        <v>840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8" t="n">
        <v>0</v>
      </c>
      <c r="I46" s="90" t="n">
        <f aca="false">SRC_CAP_009</f>
        <v>37</v>
      </c>
      <c r="J46" s="136" t="s">
        <v>1501</v>
      </c>
      <c r="K46" s="136" t="s">
        <v>1502</v>
      </c>
      <c r="L46" s="136" t="s">
        <v>164</v>
      </c>
      <c r="M46" s="88" t="s">
        <v>1503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1504</v>
      </c>
      <c r="B47" s="136" t="s">
        <v>1499</v>
      </c>
      <c r="C47" s="109" t="s">
        <v>1500</v>
      </c>
      <c r="D47" s="109" t="s">
        <v>840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8" t="n">
        <v>0</v>
      </c>
      <c r="I47" s="90" t="n">
        <f aca="false">SRC_CAP_008</f>
        <v>48</v>
      </c>
      <c r="J47" s="136" t="s">
        <v>1501</v>
      </c>
      <c r="K47" s="136" t="s">
        <v>1502</v>
      </c>
      <c r="L47" s="136" t="s">
        <v>164</v>
      </c>
      <c r="M47" s="88" t="s">
        <v>1505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1506</v>
      </c>
      <c r="B48" s="136" t="s">
        <v>1499</v>
      </c>
      <c r="C48" s="109" t="s">
        <v>1500</v>
      </c>
      <c r="D48" s="109" t="s">
        <v>840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8" t="n">
        <v>0</v>
      </c>
      <c r="I48" s="90" t="n">
        <f aca="false">SRC_CAP_001</f>
        <v>53</v>
      </c>
      <c r="J48" s="136" t="s">
        <v>1507</v>
      </c>
      <c r="K48" s="136" t="s">
        <v>1502</v>
      </c>
      <c r="L48" s="136" t="s">
        <v>164</v>
      </c>
      <c r="M48" s="88" t="s">
        <v>1508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1509</v>
      </c>
      <c r="B49" s="136" t="s">
        <v>1510</v>
      </c>
      <c r="C49" s="109" t="s">
        <v>1500</v>
      </c>
      <c r="D49" s="109" t="s">
        <v>840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8" t="n">
        <v>0</v>
      </c>
      <c r="I49" s="90" t="n">
        <f aca="false">SRC_CAP_002</f>
        <v>53</v>
      </c>
      <c r="J49" s="136" t="s">
        <v>1507</v>
      </c>
      <c r="K49" s="136" t="s">
        <v>1511</v>
      </c>
      <c r="L49" s="136" t="s">
        <v>241</v>
      </c>
      <c r="M49" s="88" t="s">
        <v>1512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1513</v>
      </c>
      <c r="B50" s="136" t="s">
        <v>1510</v>
      </c>
      <c r="C50" s="109" t="s">
        <v>1500</v>
      </c>
      <c r="D50" s="109" t="s">
        <v>840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8" t="n">
        <v>0</v>
      </c>
      <c r="I50" s="90" t="n">
        <f aca="false">SRC_CAP_003</f>
        <v>51</v>
      </c>
      <c r="J50" s="136" t="s">
        <v>1507</v>
      </c>
      <c r="K50" s="136" t="s">
        <v>1514</v>
      </c>
      <c r="L50" s="136" t="s">
        <v>241</v>
      </c>
      <c r="M50" s="88" t="s">
        <v>1515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1516</v>
      </c>
      <c r="B51" s="136" t="s">
        <v>1510</v>
      </c>
      <c r="C51" s="109" t="s">
        <v>1500</v>
      </c>
      <c r="D51" s="109" t="s">
        <v>840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8" t="n">
        <v>0</v>
      </c>
      <c r="J51" s="109" t="s">
        <v>1517</v>
      </c>
      <c r="K51" s="136" t="s">
        <v>1518</v>
      </c>
      <c r="L51" s="136" t="s">
        <v>241</v>
      </c>
      <c r="M51" s="88" t="s">
        <v>1519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1520</v>
      </c>
      <c r="B52" s="136" t="s">
        <v>1521</v>
      </c>
      <c r="C52" s="109" t="s">
        <v>1522</v>
      </c>
      <c r="D52" s="109" t="s">
        <v>812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8" t="n">
        <v>1</v>
      </c>
      <c r="I52" s="90" t="n">
        <f aca="false">SRC_CAP_010</f>
        <v>39</v>
      </c>
      <c r="J52" s="136" t="s">
        <v>1501</v>
      </c>
      <c r="K52" s="136" t="s">
        <v>1523</v>
      </c>
      <c r="L52" s="136" t="s">
        <v>164</v>
      </c>
      <c r="M52" s="88" t="s">
        <v>1524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1525</v>
      </c>
      <c r="B53" s="136" t="s">
        <v>1521</v>
      </c>
      <c r="C53" s="109" t="s">
        <v>1522</v>
      </c>
      <c r="D53" s="109" t="s">
        <v>812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8" t="n">
        <v>1</v>
      </c>
      <c r="I53" s="68" t="n">
        <v>36</v>
      </c>
      <c r="J53" s="136" t="s">
        <v>1507</v>
      </c>
      <c r="K53" s="136" t="s">
        <v>1523</v>
      </c>
      <c r="L53" s="136" t="s">
        <v>164</v>
      </c>
      <c r="M53" s="88" t="s">
        <v>1526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1527</v>
      </c>
      <c r="B54" s="136" t="s">
        <v>1528</v>
      </c>
      <c r="C54" s="109" t="s">
        <v>1522</v>
      </c>
      <c r="D54" s="109" t="s">
        <v>1529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8" t="n">
        <v>0</v>
      </c>
      <c r="I54" s="90" t="n">
        <f aca="false">SRC_CAP_011</f>
        <v>45</v>
      </c>
      <c r="J54" s="136" t="s">
        <v>1501</v>
      </c>
      <c r="K54" s="136" t="s">
        <v>1523</v>
      </c>
      <c r="L54" s="136" t="s">
        <v>164</v>
      </c>
      <c r="M54" s="88" t="s">
        <v>1530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1531</v>
      </c>
      <c r="B55" s="136" t="s">
        <v>1528</v>
      </c>
      <c r="C55" s="109" t="s">
        <v>1522</v>
      </c>
      <c r="D55" s="109" t="s">
        <v>812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8" t="n">
        <v>0</v>
      </c>
      <c r="I55" s="90" t="n">
        <f aca="false">SRC_CAP_005</f>
        <v>42</v>
      </c>
      <c r="J55" s="136" t="s">
        <v>1507</v>
      </c>
      <c r="K55" s="136" t="s">
        <v>1523</v>
      </c>
      <c r="L55" s="136" t="s">
        <v>164</v>
      </c>
      <c r="M55" s="88" t="s">
        <v>1532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1533</v>
      </c>
      <c r="B56" s="136" t="s">
        <v>1534</v>
      </c>
      <c r="C56" s="109" t="s">
        <v>1522</v>
      </c>
      <c r="D56" s="109" t="s">
        <v>1535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8" t="n">
        <v>0</v>
      </c>
      <c r="I56" s="68" t="n">
        <v>40</v>
      </c>
      <c r="J56" s="136" t="s">
        <v>1507</v>
      </c>
      <c r="K56" s="136" t="s">
        <v>1511</v>
      </c>
      <c r="L56" s="136" t="s">
        <v>241</v>
      </c>
      <c r="M56" s="88" t="s">
        <v>1536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1537</v>
      </c>
      <c r="B57" s="136" t="s">
        <v>1538</v>
      </c>
      <c r="C57" s="109" t="s">
        <v>1522</v>
      </c>
      <c r="D57" s="109" t="s">
        <v>1539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8" t="n">
        <v>0</v>
      </c>
      <c r="J57" s="109" t="s">
        <v>1517</v>
      </c>
      <c r="K57" s="136" t="s">
        <v>1540</v>
      </c>
      <c r="L57" s="136" t="s">
        <v>241</v>
      </c>
      <c r="M57" s="88" t="s">
        <v>1541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1542</v>
      </c>
      <c r="B58" s="136" t="s">
        <v>1543</v>
      </c>
      <c r="C58" s="109" t="s">
        <v>1522</v>
      </c>
      <c r="D58" s="109" t="s">
        <v>840</v>
      </c>
      <c r="E58" s="94" t="n">
        <f aca="false">SRC_PRC_043</f>
        <v>0.3</v>
      </c>
      <c r="G58" s="94" t="n">
        <f aca="false">SRC_PRC_044</f>
        <v>1.2</v>
      </c>
      <c r="H58" s="68" t="n">
        <v>0</v>
      </c>
      <c r="J58" s="109" t="s">
        <v>1517</v>
      </c>
      <c r="K58" s="136" t="s">
        <v>1514</v>
      </c>
      <c r="L58" s="136" t="s">
        <v>241</v>
      </c>
      <c r="M58" s="88" t="s">
        <v>1544</v>
      </c>
      <c r="N58" s="105" t="n">
        <f aca="false">IF($C58="中國",1,0)</f>
        <v>1</v>
      </c>
    </row>
    <row r="59" customFormat="false" ht="15" hidden="false" customHeight="false" outlineLevel="0" collapsed="false">
      <c r="A59" s="65" t="s">
        <v>1545</v>
      </c>
    </row>
    <row r="61" customFormat="false" ht="15" hidden="false" customHeight="false" outlineLevel="0" collapsed="false">
      <c r="A61" s="77" t="s">
        <v>1546</v>
      </c>
      <c r="B61" s="71"/>
      <c r="C61" s="71"/>
      <c r="D61" s="71"/>
      <c r="E61" s="71"/>
      <c r="F61" s="71"/>
      <c r="G61" s="71"/>
    </row>
    <row r="62" customFormat="false" ht="15" hidden="false" customHeight="false" outlineLevel="0" collapsed="false">
      <c r="A62" s="60" t="s">
        <v>411</v>
      </c>
      <c r="B62" s="60" t="s">
        <v>109</v>
      </c>
      <c r="C62" s="60" t="s">
        <v>378</v>
      </c>
      <c r="F62" s="60" t="s">
        <v>113</v>
      </c>
      <c r="G62" s="60" t="s">
        <v>379</v>
      </c>
    </row>
    <row r="63" customFormat="false" ht="52.2" hidden="false" customHeight="false" outlineLevel="0" collapsed="false">
      <c r="A63" s="5" t="s">
        <v>1547</v>
      </c>
      <c r="B63" s="62" t="s">
        <v>132</v>
      </c>
      <c r="C63" s="80" t="n">
        <v>1</v>
      </c>
      <c r="F63" s="59" t="s">
        <v>1548</v>
      </c>
      <c r="G63" s="93" t="s">
        <v>1549</v>
      </c>
    </row>
    <row r="64" customFormat="false" ht="39.55" hidden="false" customHeight="false" outlineLevel="0" collapsed="false">
      <c r="A64" s="5" t="s">
        <v>1550</v>
      </c>
      <c r="B64" s="62" t="s">
        <v>132</v>
      </c>
      <c r="C64" s="80" t="n">
        <v>1</v>
      </c>
      <c r="F64" s="59" t="s">
        <v>128</v>
      </c>
      <c r="G64" s="93" t="s">
        <v>1551</v>
      </c>
    </row>
    <row r="66" customFormat="false" ht="15" hidden="false" customHeight="false" outlineLevel="0" collapsed="false">
      <c r="A66" s="77" t="s">
        <v>1552</v>
      </c>
      <c r="B66" s="71"/>
      <c r="C66" s="71"/>
      <c r="D66" s="71"/>
      <c r="E66" s="71"/>
      <c r="F66" s="71"/>
      <c r="G66" s="71"/>
    </row>
    <row r="67" customFormat="false" ht="15" hidden="false" customHeight="false" outlineLevel="0" collapsed="false">
      <c r="A67" s="60" t="s">
        <v>411</v>
      </c>
      <c r="B67" s="60" t="s">
        <v>109</v>
      </c>
      <c r="C67" s="60" t="s">
        <v>111</v>
      </c>
      <c r="D67" s="10" t="s">
        <v>1553</v>
      </c>
      <c r="E67" s="10" t="s">
        <v>1554</v>
      </c>
      <c r="F67" s="60" t="s">
        <v>113</v>
      </c>
      <c r="G67" s="60" t="s">
        <v>379</v>
      </c>
    </row>
    <row r="68" customFormat="false" ht="15" hidden="false" customHeight="false" outlineLevel="0" collapsed="false">
      <c r="A68" s="10" t="s">
        <v>1555</v>
      </c>
    </row>
    <row r="69" customFormat="false" ht="15" hidden="false" customHeight="false" outlineLevel="0" collapsed="false">
      <c r="A69" s="6" t="s">
        <v>1556</v>
      </c>
      <c r="B69" s="62" t="s">
        <v>1089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1557</v>
      </c>
      <c r="G69" s="88" t="s">
        <v>1558</v>
      </c>
    </row>
    <row r="70" customFormat="false" ht="39.55" hidden="false" customHeight="false" outlineLevel="0" collapsed="false">
      <c r="A70" s="5" t="s">
        <v>1559</v>
      </c>
      <c r="B70" s="62" t="s">
        <v>127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1560</v>
      </c>
      <c r="G70" s="93" t="s">
        <v>1561</v>
      </c>
    </row>
    <row r="71" customFormat="false" ht="29.85" hidden="false" customHeight="false" outlineLevel="0" collapsed="false">
      <c r="A71" s="6" t="s">
        <v>1562</v>
      </c>
      <c r="B71" s="62" t="s">
        <v>127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176</v>
      </c>
      <c r="G71" s="88" t="s">
        <v>1563</v>
      </c>
      <c r="O71" s="65" t="s">
        <v>1564</v>
      </c>
    </row>
    <row r="72" customFormat="false" ht="15" hidden="false" customHeight="false" outlineLevel="0" collapsed="false">
      <c r="A72" s="5" t="s">
        <v>1565</v>
      </c>
      <c r="B72" s="62" t="s">
        <v>1089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176</v>
      </c>
      <c r="G72" s="93" t="s">
        <v>1566</v>
      </c>
      <c r="O72" s="65" t="s">
        <v>1567</v>
      </c>
    </row>
    <row r="73" customFormat="false" ht="15" hidden="false" customHeight="false" outlineLevel="0" collapsed="false">
      <c r="A73" s="6" t="s">
        <v>1568</v>
      </c>
      <c r="B73" s="62" t="s">
        <v>1089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176</v>
      </c>
      <c r="G73" s="93" t="s">
        <v>1569</v>
      </c>
      <c r="O73" s="65" t="s">
        <v>1570</v>
      </c>
    </row>
    <row r="74" customFormat="false" ht="15" hidden="false" customHeight="false" outlineLevel="0" collapsed="false">
      <c r="A74" s="10" t="s">
        <v>1571</v>
      </c>
    </row>
    <row r="75" customFormat="false" ht="15" hidden="false" customHeight="false" outlineLevel="0" collapsed="false">
      <c r="A75" s="6" t="s">
        <v>1572</v>
      </c>
      <c r="B75" s="61" t="s">
        <v>1573</v>
      </c>
      <c r="C75" s="98" t="n">
        <f aca="false">SRC_DEM_024</f>
        <v>15.5</v>
      </c>
      <c r="D75" s="62" t="s">
        <v>809</v>
      </c>
      <c r="E75" s="62" t="s">
        <v>809</v>
      </c>
      <c r="F75" s="59" t="s">
        <v>1557</v>
      </c>
      <c r="G75" s="88" t="s">
        <v>1574</v>
      </c>
      <c r="O75" s="65" t="s">
        <v>1575</v>
      </c>
    </row>
    <row r="76" customFormat="false" ht="15" hidden="false" customHeight="false" outlineLevel="0" collapsed="false">
      <c r="A76" s="6" t="s">
        <v>1576</v>
      </c>
      <c r="B76" s="61" t="s">
        <v>1573</v>
      </c>
      <c r="C76" s="98" t="n">
        <f aca="false">SRC_DEM_025</f>
        <v>20</v>
      </c>
      <c r="D76" s="62" t="s">
        <v>809</v>
      </c>
      <c r="E76" s="62" t="s">
        <v>809</v>
      </c>
      <c r="F76" s="59" t="s">
        <v>1557</v>
      </c>
      <c r="G76" s="88" t="s">
        <v>1577</v>
      </c>
      <c r="O76" s="65" t="s">
        <v>1578</v>
      </c>
    </row>
    <row r="77" customFormat="false" ht="15" hidden="false" customHeight="false" outlineLevel="0" collapsed="false">
      <c r="A77" s="6" t="s">
        <v>1579</v>
      </c>
      <c r="B77" s="61" t="s">
        <v>1573</v>
      </c>
      <c r="C77" s="98" t="n">
        <f aca="false">SRC_DEM_026</f>
        <v>35</v>
      </c>
      <c r="D77" s="62" t="s">
        <v>809</v>
      </c>
      <c r="E77" s="62" t="s">
        <v>809</v>
      </c>
      <c r="F77" s="59" t="s">
        <v>1557</v>
      </c>
      <c r="G77" s="88" t="s">
        <v>1580</v>
      </c>
      <c r="O77" s="65" t="s">
        <v>1581</v>
      </c>
    </row>
    <row r="78" customFormat="false" ht="15" hidden="false" customHeight="false" outlineLevel="0" collapsed="false">
      <c r="A78" s="6" t="s">
        <v>1582</v>
      </c>
      <c r="B78" s="61" t="s">
        <v>1573</v>
      </c>
      <c r="C78" s="98" t="n">
        <f aca="false">SRC_DEM_019</f>
        <v>50</v>
      </c>
      <c r="D78" s="62" t="s">
        <v>809</v>
      </c>
      <c r="E78" s="62" t="s">
        <v>809</v>
      </c>
      <c r="F78" s="59" t="s">
        <v>1583</v>
      </c>
      <c r="G78" s="88" t="s">
        <v>1584</v>
      </c>
      <c r="O78" s="65" t="s">
        <v>1585</v>
      </c>
    </row>
    <row r="79" customFormat="false" ht="29.85" hidden="false" customHeight="false" outlineLevel="0" collapsed="false">
      <c r="A79" s="6" t="s">
        <v>1586</v>
      </c>
      <c r="B79" s="61" t="s">
        <v>1573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176</v>
      </c>
      <c r="G79" s="88" t="s">
        <v>1587</v>
      </c>
      <c r="O79" s="65" t="s">
        <v>1588</v>
      </c>
    </row>
    <row r="80" customFormat="false" ht="15" hidden="false" customHeight="false" outlineLevel="0" collapsed="false">
      <c r="A80" s="10" t="s">
        <v>1589</v>
      </c>
    </row>
    <row r="81" customFormat="false" ht="29.85" hidden="false" customHeight="false" outlineLevel="0" collapsed="false">
      <c r="A81" s="6" t="s">
        <v>1590</v>
      </c>
      <c r="B81" s="62" t="s">
        <v>993</v>
      </c>
      <c r="C81" s="69" t="n">
        <f aca="false">AL_DChatPaid</f>
        <v>1460000000</v>
      </c>
      <c r="D81" s="69" t="n">
        <f aca="false">SRC_DEM_012*1000000000*AL_TokPerPrompt_Hi*365/1000000*(1-AL_FreeShare_Lo)</f>
        <v>6022500000</v>
      </c>
      <c r="E81" s="69" t="n">
        <f aca="false">SRC_DEM_012*1000000000*AL_TokPerPrompt_Lo*365/1000000*(1-AL_FreeShare_Hi)</f>
        <v>365000000</v>
      </c>
      <c r="F81" s="59" t="s">
        <v>1591</v>
      </c>
      <c r="G81" s="93" t="s">
        <v>1592</v>
      </c>
    </row>
    <row r="82" customFormat="false" ht="29.85" hidden="false" customHeight="false" outlineLevel="0" collapsed="false">
      <c r="A82" s="6" t="s">
        <v>1593</v>
      </c>
      <c r="B82" s="62" t="s">
        <v>993</v>
      </c>
      <c r="C82" s="69" t="n">
        <f aca="false">AL_DAPI</f>
        <v>2365200000</v>
      </c>
      <c r="D82" s="69" t="n">
        <f aca="false">SRC_DEM_010*1000000000*525600*AL_APIratio_Hi/1000000</f>
        <v>2838240000</v>
      </c>
      <c r="E82" s="69" t="n">
        <f aca="false">SRC_DEM_010*1000000000*525600*AL_APIratio_Lo/1000000</f>
        <v>1892160000</v>
      </c>
      <c r="F82" s="59" t="s">
        <v>1591</v>
      </c>
      <c r="G82" s="93" t="s">
        <v>1594</v>
      </c>
    </row>
    <row r="83" customFormat="false" ht="15" hidden="false" customHeight="false" outlineLevel="0" collapsed="false">
      <c r="A83" s="6" t="s">
        <v>1595</v>
      </c>
      <c r="B83" s="62" t="s">
        <v>993</v>
      </c>
      <c r="C83" s="69" t="n">
        <f aca="false">C81+C82</f>
        <v>3825200000</v>
      </c>
      <c r="D83" s="69" t="n">
        <f aca="false">D81+D82</f>
        <v>8860740000</v>
      </c>
      <c r="E83" s="69" t="n">
        <f aca="false">E81+E82</f>
        <v>2257160000</v>
      </c>
      <c r="F83" s="59" t="s">
        <v>176</v>
      </c>
      <c r="G83" s="93" t="s">
        <v>1596</v>
      </c>
    </row>
    <row r="84" customFormat="false" ht="15" hidden="false" customHeight="false" outlineLevel="0" collapsed="false">
      <c r="A84" s="5" t="s">
        <v>1597</v>
      </c>
      <c r="B84" s="62" t="s">
        <v>1598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176</v>
      </c>
      <c r="G84" s="88" t="s">
        <v>1599</v>
      </c>
      <c r="O84" s="65" t="s">
        <v>1600</v>
      </c>
    </row>
    <row r="85" customFormat="false" ht="29.85" hidden="false" customHeight="false" outlineLevel="0" collapsed="false">
      <c r="A85" s="6" t="s">
        <v>1601</v>
      </c>
      <c r="B85" s="62" t="s">
        <v>993</v>
      </c>
      <c r="C85" s="69" t="n">
        <f aca="false">SRC_DEM_011*1000000000*525600/1000000</f>
        <v>7884000000</v>
      </c>
      <c r="D85" s="69" t="n">
        <f aca="false">C85</f>
        <v>7884000000</v>
      </c>
      <c r="E85" s="69" t="n">
        <f aca="false">C85</f>
        <v>7884000000</v>
      </c>
      <c r="F85" s="59" t="s">
        <v>1602</v>
      </c>
      <c r="G85" s="88" t="s">
        <v>1603</v>
      </c>
      <c r="O85" s="65" t="s">
        <v>1604</v>
      </c>
    </row>
    <row r="86" customFormat="false" ht="29.85" hidden="false" customHeight="false" outlineLevel="0" collapsed="false">
      <c r="A86" s="6" t="s">
        <v>1605</v>
      </c>
      <c r="B86" s="62" t="s">
        <v>1606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1583</v>
      </c>
      <c r="G86" s="88" t="s">
        <v>1607</v>
      </c>
    </row>
    <row r="87" customFormat="false" ht="52.2" hidden="false" customHeight="false" outlineLevel="0" collapsed="false">
      <c r="A87" s="5" t="s">
        <v>1608</v>
      </c>
      <c r="B87" s="62" t="s">
        <v>127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1609</v>
      </c>
      <c r="G87" s="88" t="s">
        <v>1610</v>
      </c>
    </row>
    <row r="88" customFormat="false" ht="15" hidden="false" customHeight="false" outlineLevel="0" collapsed="false">
      <c r="A88" s="6" t="s">
        <v>1611</v>
      </c>
      <c r="B88" s="62" t="s">
        <v>993</v>
      </c>
      <c r="C88" s="69" t="n">
        <f aca="false">C86*1000000*365*C87</f>
        <v>4616925383.84583</v>
      </c>
      <c r="D88" s="69" t="n">
        <f aca="false">D86*1000000*365*D87</f>
        <v>14600000000</v>
      </c>
      <c r="E88" s="69" t="n">
        <f aca="false">E86*1000000*365*E87</f>
        <v>1460000000</v>
      </c>
      <c r="F88" s="59" t="s">
        <v>176</v>
      </c>
      <c r="G88" s="88" t="s">
        <v>1612</v>
      </c>
    </row>
    <row r="89" customFormat="false" ht="15" hidden="false" customHeight="false" outlineLevel="0" collapsed="false">
      <c r="A89" s="10" t="s">
        <v>1613</v>
      </c>
    </row>
    <row r="90" customFormat="false" ht="29.85" hidden="false" customHeight="false" outlineLevel="0" collapsed="false">
      <c r="A90" s="5" t="s">
        <v>1614</v>
      </c>
      <c r="B90" s="62" t="s">
        <v>1040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176</v>
      </c>
      <c r="G90" s="93" t="s">
        <v>1615</v>
      </c>
      <c r="O90" s="65" t="s">
        <v>1616</v>
      </c>
    </row>
    <row r="91" customFormat="false" ht="15" hidden="false" customHeight="false" outlineLevel="0" collapsed="false">
      <c r="A91" s="10" t="s">
        <v>1617</v>
      </c>
    </row>
    <row r="92" customFormat="false" ht="15" hidden="false" customHeight="false" outlineLevel="0" collapsed="false">
      <c r="A92" s="5" t="s">
        <v>1618</v>
      </c>
      <c r="B92" s="62" t="s">
        <v>132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59" t="s">
        <v>176</v>
      </c>
      <c r="G92" s="88" t="s">
        <v>1619</v>
      </c>
      <c r="O92" s="65" t="s">
        <v>1620</v>
      </c>
    </row>
    <row r="93" customFormat="false" ht="15" hidden="false" customHeight="false" outlineLevel="0" collapsed="false">
      <c r="A93" s="5" t="s">
        <v>1621</v>
      </c>
      <c r="B93" s="62" t="s">
        <v>132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59" t="s">
        <v>176</v>
      </c>
      <c r="G93" s="93"/>
      <c r="O93" s="65" t="s">
        <v>1622</v>
      </c>
    </row>
    <row r="94" customFormat="false" ht="15" hidden="false" customHeight="false" outlineLevel="0" collapsed="false">
      <c r="A94" s="5" t="s">
        <v>1623</v>
      </c>
      <c r="B94" s="62" t="s">
        <v>132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59" t="s">
        <v>176</v>
      </c>
      <c r="G94" s="93" t="s">
        <v>1624</v>
      </c>
    </row>
    <row r="95" customFormat="false" ht="15" hidden="false" customHeight="false" outlineLevel="0" collapsed="false">
      <c r="A95" s="5" t="s">
        <v>1625</v>
      </c>
      <c r="B95" s="62" t="s">
        <v>132</v>
      </c>
      <c r="C95" s="61" t="s">
        <v>1626</v>
      </c>
      <c r="D95" s="62" t="s">
        <v>809</v>
      </c>
      <c r="E95" s="62" t="s">
        <v>809</v>
      </c>
      <c r="F95" s="59" t="s">
        <v>809</v>
      </c>
      <c r="G95" s="93" t="s">
        <v>1627</v>
      </c>
    </row>
    <row r="96" customFormat="false" ht="29.85" hidden="false" customHeight="false" outlineLevel="0" collapsed="false">
      <c r="A96" s="5" t="s">
        <v>1628</v>
      </c>
      <c r="B96" s="62" t="s">
        <v>132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59" t="s">
        <v>176</v>
      </c>
      <c r="G96" s="93" t="s">
        <v>1629</v>
      </c>
      <c r="O96" s="65" t="s">
        <v>1630</v>
      </c>
    </row>
    <row r="97" customFormat="false" ht="26.85" hidden="false" customHeight="false" outlineLevel="0" collapsed="false">
      <c r="A97" s="5" t="s">
        <v>1631</v>
      </c>
      <c r="B97" s="62" t="s">
        <v>132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59" t="s">
        <v>176</v>
      </c>
      <c r="G97" s="88" t="s">
        <v>1632</v>
      </c>
    </row>
    <row r="98" customFormat="false" ht="15" hidden="false" customHeight="false" outlineLevel="0" collapsed="false">
      <c r="A98" s="10" t="s">
        <v>1633</v>
      </c>
    </row>
    <row r="99" customFormat="false" ht="15" hidden="false" customHeight="false" outlineLevel="0" collapsed="false">
      <c r="A99" s="6" t="s">
        <v>1634</v>
      </c>
      <c r="B99" s="62" t="s">
        <v>1635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1583</v>
      </c>
      <c r="G99" s="88" t="s">
        <v>1636</v>
      </c>
      <c r="O99" s="65" t="s">
        <v>1637</v>
      </c>
    </row>
    <row r="100" customFormat="false" ht="15" hidden="false" customHeight="false" outlineLevel="0" collapsed="false">
      <c r="A100" s="5" t="s">
        <v>1638</v>
      </c>
      <c r="B100" s="61" t="s">
        <v>1639</v>
      </c>
      <c r="C100" s="68" t="n">
        <v>21</v>
      </c>
      <c r="D100" s="105" t="n">
        <f aca="false">C100</f>
        <v>21</v>
      </c>
      <c r="E100" s="105" t="n">
        <f aca="false">C100</f>
        <v>21</v>
      </c>
      <c r="F100" s="59" t="s">
        <v>128</v>
      </c>
      <c r="G100" s="88" t="s">
        <v>1640</v>
      </c>
      <c r="O100" s="65" t="s">
        <v>1641</v>
      </c>
    </row>
    <row r="101" customFormat="false" ht="15" hidden="false" customHeight="false" outlineLevel="0" collapsed="false">
      <c r="A101" s="5" t="s">
        <v>1642</v>
      </c>
      <c r="B101" s="62" t="s">
        <v>1643</v>
      </c>
      <c r="C101" s="69" t="n">
        <f aca="false">C99*C100</f>
        <v>273</v>
      </c>
      <c r="D101" s="69" t="n">
        <f aca="false">D99*D100</f>
        <v>630</v>
      </c>
      <c r="E101" s="69" t="n">
        <f aca="false">E99*E100</f>
        <v>273</v>
      </c>
      <c r="F101" s="59" t="s">
        <v>176</v>
      </c>
      <c r="G101" s="93"/>
      <c r="O101" s="65" t="s">
        <v>1644</v>
      </c>
    </row>
    <row r="102" customFormat="false" ht="29.85" hidden="false" customHeight="false" outlineLevel="0" collapsed="false">
      <c r="A102" s="5" t="s">
        <v>1645</v>
      </c>
      <c r="B102" s="62" t="s">
        <v>1646</v>
      </c>
      <c r="C102" s="64" t="n">
        <v>200</v>
      </c>
      <c r="D102" s="69" t="n">
        <f aca="false">C102</f>
        <v>200</v>
      </c>
      <c r="E102" s="69" t="n">
        <f aca="false">C102</f>
        <v>200</v>
      </c>
      <c r="F102" s="59" t="s">
        <v>128</v>
      </c>
      <c r="G102" s="88" t="s">
        <v>1647</v>
      </c>
      <c r="O102" s="65" t="s">
        <v>1648</v>
      </c>
    </row>
    <row r="103" customFormat="false" ht="29.85" hidden="false" customHeight="false" outlineLevel="0" collapsed="false">
      <c r="A103" s="5" t="s">
        <v>1649</v>
      </c>
      <c r="B103" s="62" t="s">
        <v>132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133</v>
      </c>
      <c r="G103" s="93" t="s">
        <v>1650</v>
      </c>
      <c r="O103" s="65" t="s">
        <v>1651</v>
      </c>
    </row>
    <row r="104" customFormat="false" ht="26.85" hidden="false" customHeight="false" outlineLevel="0" collapsed="false">
      <c r="A104" s="5" t="s">
        <v>1652</v>
      </c>
      <c r="B104" s="62" t="s">
        <v>127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1653</v>
      </c>
      <c r="G104" s="93" t="s">
        <v>1654</v>
      </c>
      <c r="O104" s="65" t="s">
        <v>1655</v>
      </c>
    </row>
    <row r="105" customFormat="false" ht="26.85" hidden="false" customHeight="false" outlineLevel="0" collapsed="false">
      <c r="A105" s="5" t="s">
        <v>1656</v>
      </c>
      <c r="B105" s="62" t="s">
        <v>127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1657</v>
      </c>
      <c r="G105" s="93" t="s">
        <v>1658</v>
      </c>
      <c r="O105" s="65" t="s">
        <v>1659</v>
      </c>
    </row>
    <row r="106" customFormat="false" ht="15" hidden="false" customHeight="false" outlineLevel="0" collapsed="false">
      <c r="A106" s="5" t="s">
        <v>1660</v>
      </c>
      <c r="B106" s="62" t="s">
        <v>1040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176</v>
      </c>
      <c r="G106" s="88" t="s">
        <v>1661</v>
      </c>
      <c r="O106" s="65" t="s">
        <v>1662</v>
      </c>
    </row>
    <row r="107" customFormat="false" ht="29.85" hidden="false" customHeight="false" outlineLevel="0" collapsed="false">
      <c r="A107" s="5" t="s">
        <v>1663</v>
      </c>
      <c r="B107" s="62" t="s">
        <v>132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176</v>
      </c>
      <c r="G107" s="88" t="s">
        <v>1664</v>
      </c>
      <c r="O107" s="65" t="s">
        <v>1665</v>
      </c>
    </row>
    <row r="108" customFormat="false" ht="15" hidden="false" customHeight="false" outlineLevel="0" collapsed="false">
      <c r="A108" s="10" t="s">
        <v>1666</v>
      </c>
    </row>
    <row r="109" customFormat="false" ht="52.2" hidden="false" customHeight="false" outlineLevel="0" collapsed="false">
      <c r="A109" s="5" t="s">
        <v>1667</v>
      </c>
      <c r="B109" s="62" t="s">
        <v>117</v>
      </c>
      <c r="C109" s="74" t="n">
        <f aca="false">AL_ServeGWSpend/AL_SpendBasis*AL_Kappa</f>
        <v>1.05658373061052</v>
      </c>
      <c r="D109" s="74" t="n">
        <f aca="false">AL_ServeGWSpend/AL_SpendBasis_Lo*AL_Kappa_Hi</f>
        <v>1.47632247290785</v>
      </c>
      <c r="E109" s="74" t="n">
        <f aca="false">AL_ServeGWSpend/AL_SpendBasis_Hi*AL_Kappa_Lo</f>
        <v>0.498942317232744</v>
      </c>
      <c r="F109" s="59" t="s">
        <v>1591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  <c r="O109" s="65" t="s">
        <v>1668</v>
      </c>
    </row>
    <row r="110" customFormat="false" ht="29.85" hidden="false" customHeight="false" outlineLevel="0" collapsed="false">
      <c r="A110" s="5" t="s">
        <v>1669</v>
      </c>
      <c r="B110" s="62" t="s">
        <v>1670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176</v>
      </c>
      <c r="G110" s="88" t="s">
        <v>1671</v>
      </c>
    </row>
    <row r="111" customFormat="false" ht="29.85" hidden="false" customHeight="false" outlineLevel="0" collapsed="false">
      <c r="A111" s="5" t="s">
        <v>1672</v>
      </c>
      <c r="B111" s="62" t="s">
        <v>1670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176</v>
      </c>
      <c r="G111" s="88" t="s">
        <v>1673</v>
      </c>
    </row>
    <row r="112" customFormat="false" ht="26.85" hidden="false" customHeight="false" outlineLevel="0" collapsed="false">
      <c r="A112" s="5" t="s">
        <v>1674</v>
      </c>
      <c r="B112" s="62" t="s">
        <v>132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176</v>
      </c>
      <c r="G112" s="88" t="s">
        <v>1675</v>
      </c>
    </row>
    <row r="113" customFormat="false" ht="29.85" hidden="false" customHeight="false" outlineLevel="0" collapsed="false">
      <c r="A113" s="5" t="s">
        <v>1676</v>
      </c>
      <c r="B113" s="62" t="s">
        <v>132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59" t="s">
        <v>1677</v>
      </c>
      <c r="G113" s="93" t="s">
        <v>1678</v>
      </c>
      <c r="O113" s="65" t="s">
        <v>1679</v>
      </c>
    </row>
    <row r="114" customFormat="false" ht="39.55" hidden="false" customHeight="false" outlineLevel="0" collapsed="false">
      <c r="A114" s="5" t="s">
        <v>1680</v>
      </c>
      <c r="B114" s="62" t="s">
        <v>132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1591</v>
      </c>
      <c r="G114" s="88" t="s">
        <v>1681</v>
      </c>
    </row>
    <row r="115" customFormat="false" ht="44" hidden="false" customHeight="false" outlineLevel="0" collapsed="false">
      <c r="A115" s="5" t="s">
        <v>1682</v>
      </c>
      <c r="B115" s="62" t="s">
        <v>132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59" t="s">
        <v>176</v>
      </c>
      <c r="G115" s="93" t="s">
        <v>1683</v>
      </c>
    </row>
    <row r="116" customFormat="false" ht="29.85" hidden="false" customHeight="false" outlineLevel="0" collapsed="false">
      <c r="A116" s="5" t="s">
        <v>1684</v>
      </c>
      <c r="B116" s="62" t="s">
        <v>993</v>
      </c>
      <c r="C116" s="69" t="n">
        <f aca="false">IF(AND(ISNUMBER(C110),ISNUMBER(C111),ISNUMBER(C112)),C109*C114/(1/C110+C112/C111),AL_UnavailTxt)</f>
        <v>19098300660.0604</v>
      </c>
      <c r="D116" s="69" t="n">
        <f aca="false">IF(AND(ISNUMBER(D110),ISNUMBER(D111),ISNUMBER(D112)),D109*D114/(1/D110+D112/D111),AL_UnavailTxt)</f>
        <v>42305958361.5773</v>
      </c>
      <c r="E116" s="69" t="n">
        <f aca="false">IF(AND(ISNUMBER(E110),ISNUMBER(E111),ISNUMBER(E112)),E109*E114/(1/E110+E112/E111),AL_UnavailTxt)</f>
        <v>6599006325.63064</v>
      </c>
      <c r="F116" s="59" t="s">
        <v>176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  <c r="O116" s="65" t="s">
        <v>1685</v>
      </c>
    </row>
    <row r="117" customFormat="false" ht="15" hidden="false" customHeight="false" outlineLevel="0" collapsed="false">
      <c r="A117" s="5" t="s">
        <v>1686</v>
      </c>
      <c r="B117" s="62" t="s">
        <v>993</v>
      </c>
      <c r="C117" s="69" t="n">
        <f aca="false">IF(AND(ISNUMBER(C110),ISNUMBER(C111),ISNUMBER(C113)),C109*C114/(1/C110+C113/C111),AL_UnavailTxt)</f>
        <v>11968021820.6648</v>
      </c>
      <c r="D117" s="69" t="n">
        <f aca="false">IF(AND(ISNUMBER(D110),ISNUMBER(D111),ISNUMBER(D113)),D109*D114/(1/D110+D113/D111),AL_UnavailTxt)</f>
        <v>26511187661.5462</v>
      </c>
      <c r="E117" s="69" t="n">
        <f aca="false">IF(AND(ISNUMBER(E110),ISNUMBER(E111),ISNUMBER(E113)),E109*E114/(1/E110+E113/E111),AL_UnavailTxt)</f>
        <v>4135292092.50614</v>
      </c>
      <c r="F117" s="59" t="s">
        <v>176</v>
      </c>
      <c r="G117" s="93" t="s">
        <v>1687</v>
      </c>
      <c r="O117" s="65" t="s">
        <v>1688</v>
      </c>
    </row>
    <row r="118" customFormat="false" ht="41" hidden="false" customHeight="false" outlineLevel="0" collapsed="false">
      <c r="A118" s="5" t="s">
        <v>1689</v>
      </c>
      <c r="B118" s="62" t="s">
        <v>993</v>
      </c>
      <c r="C118" s="72" t="n">
        <f aca="false">IF(AND(ISNUMBER(C110),ISNUMBER(C111),ISNUMBER(C112),ISNUMBER(C115)),C109*C115/(1/C110+C112/C111),AL_UnavailTxt)</f>
        <v>25845516859.6077</v>
      </c>
      <c r="D118" s="69" t="n">
        <f aca="false">IF(AND(ISNUMBER(D110),ISNUMBER(D111),ISNUMBER(D112),ISNUMBER(D115)),D109*D115/(1/D110+D112/D111),AL_UnavailTxt)</f>
        <v>36112913968.219</v>
      </c>
      <c r="E118" s="69" t="n">
        <f aca="false">IF(AND(ISNUMBER(E110),ISNUMBER(E111),ISNUMBER(E112),ISNUMBER(E115)),E109*E115/(1/E110+E112/E111),AL_UnavailTxt)</f>
        <v>12204827405.9259</v>
      </c>
      <c r="F118" s="59" t="s">
        <v>176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  <c r="O118" s="65" t="s">
        <v>1690</v>
      </c>
    </row>
    <row r="119" customFormat="false" ht="72.35" hidden="false" customHeight="false" outlineLevel="0" collapsed="false">
      <c r="A119" s="5" t="s">
        <v>1691</v>
      </c>
      <c r="B119" s="62" t="s">
        <v>132</v>
      </c>
      <c r="C119" s="106" t="n">
        <f aca="false">IF(ISNUMBER(C116),MAX(SRC_DEM_007*1000000000/(C116*AL_PriceFleet25),IF(ISNUMBER(C121),C121,0)),AL_UnavailTxt)</f>
        <v>0.407295434678084</v>
      </c>
      <c r="D119" s="107" t="n">
        <f aca="false">IF(ISNUMBER(D116),MAX(SRC_DEM_007*1000000000/(D116*AL_PriceFleet25),IF(ISNUMBER(D121),D121,0)),AL_UnavailTxt)</f>
        <v>0.215398033949784</v>
      </c>
      <c r="E119" s="107" t="n">
        <f aca="false">IF(ISNUMBER(E116),MAX(SRC_DEM_007*1000000000/(E116*AL_PriceFleet25),IF(ISNUMBER(E121),E121,0)),AL_UnavailTxt)</f>
        <v>1.17876090506834</v>
      </c>
      <c r="F119" s="59" t="s">
        <v>176</v>
      </c>
      <c r="G119" s="93" t="str">
        <f aca="false">"分子同 H1（毛額，SRC_DEM_007）；單價同 H4；A 段 2025 組合約 0.81（報告當時值；現值 "&amp;IF(ISNUMBER(C119),TEXT(C119,"0.00"),"—")&amp;"）"&amp;"；下限截斷：v14.1 起，低端不得低於同欄物理下限（第 121 列同欄）"</f>
        <v>分子同 H1（毛額，SRC_DEM_007）；單價同 H4；A 段 2025 組合約 0.81（報告當時值；現值 0.41）；下限截斷：v14.1 起，低端不得低於同欄物理下限（第 121 列同欄）</v>
      </c>
      <c r="O119" s="65" t="s">
        <v>1692</v>
      </c>
    </row>
    <row r="120" customFormat="false" ht="15" hidden="false" customHeight="false" outlineLevel="0" collapsed="false">
      <c r="A120" s="5" t="s">
        <v>1693</v>
      </c>
      <c r="B120" s="62" t="s">
        <v>132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59" t="s">
        <v>176</v>
      </c>
      <c r="G120" s="93"/>
      <c r="O120" s="65" t="s">
        <v>1694</v>
      </c>
    </row>
    <row r="121" customFormat="false" ht="44" hidden="false" customHeight="false" outlineLevel="0" collapsed="false">
      <c r="A121" s="6" t="s">
        <v>1695</v>
      </c>
      <c r="B121" s="62" t="s">
        <v>132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59" t="s">
        <v>176</v>
      </c>
      <c r="G121" s="93" t="str">
        <f aca="false">"A 段 2025 組合約 0.56（報告當時值；現值 "&amp;IF(ISNUMBER(C121),TEXT(C121,"0.00"),"—")&amp;"）；m 不可能低於此值（除非 C23、C24 改）"&amp;"；v14.1 起第 119 列各欄＝MAX(點估計, 本列同欄)，故 L1_MFleet 的 _Lo／基準／_Hi 都不低於各自欄的本列"</f>
        <v>A 段 2025 組合約 0.56（報告當時值；現值 0.30）；m 不可能低於此值（除非 C23、C24 改）；v14.1 起第 119 列各欄＝MAX(點估計, 本列同欄)，故 L1_MFleet 的 _Lo／基準／_Hi 都不低於各自欄的本列</v>
      </c>
      <c r="O121" s="65" t="s">
        <v>1696</v>
      </c>
    </row>
    <row r="122" customFormat="false" ht="15" hidden="false" customHeight="false" outlineLevel="0" collapsed="false">
      <c r="A122" s="60" t="s">
        <v>1697</v>
      </c>
    </row>
    <row r="123" customFormat="false" ht="15" hidden="false" customHeight="false" outlineLevel="0" collapsed="false">
      <c r="A123" s="6" t="s">
        <v>1698</v>
      </c>
      <c r="B123" s="62" t="s">
        <v>993</v>
      </c>
      <c r="C123" s="69" t="n">
        <f aca="false">IF(ISNUMBER(AL_PriceFleet25),SRC_DEM_007*1000000000/(1*AL_PriceFleet25),AL_PriceFleet25)</f>
        <v>7778650668.95205</v>
      </c>
      <c r="D123" s="78" t="n">
        <f aca="false">IF(ISNUMBER(C123),C123/AL_DPaid,C123)</f>
        <v>2.0335278335648</v>
      </c>
      <c r="E123" s="69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176</v>
      </c>
      <c r="G123" s="88" t="s">
        <v>1699</v>
      </c>
      <c r="O123" s="65" t="s">
        <v>1700</v>
      </c>
    </row>
    <row r="124" customFormat="false" ht="15" hidden="false" customHeight="false" outlineLevel="0" collapsed="false">
      <c r="A124" s="6" t="s">
        <v>1701</v>
      </c>
      <c r="B124" s="62" t="s">
        <v>993</v>
      </c>
      <c r="C124" s="69" t="n">
        <f aca="false">IF(ISNUMBER(AL_PriceFleet25),SRC_DEM_007*1000000000/(0.6*AL_PriceFleet25),AL_PriceFleet25)</f>
        <v>12964417781.5868</v>
      </c>
      <c r="D124" s="78" t="n">
        <f aca="false">IF(ISNUMBER(C124),C124/AL_DPaid,C124)</f>
        <v>3.38921305594132</v>
      </c>
      <c r="E124" s="69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176</v>
      </c>
      <c r="G124" s="88" t="s">
        <v>1699</v>
      </c>
      <c r="O124" s="65" t="s">
        <v>1702</v>
      </c>
    </row>
    <row r="125" customFormat="false" ht="15" hidden="false" customHeight="false" outlineLevel="0" collapsed="false">
      <c r="A125" s="6" t="s">
        <v>1703</v>
      </c>
      <c r="B125" s="62" t="s">
        <v>993</v>
      </c>
      <c r="C125" s="69" t="n">
        <f aca="false">IF(ISNUMBER(AL_PriceFleet25),SRC_DEM_007*1000000000/(0.3*AL_PriceFleet25),AL_PriceFleet25)</f>
        <v>25928835563.1735</v>
      </c>
      <c r="D125" s="78" t="n">
        <f aca="false">IF(ISNUMBER(C125),C125/AL_DPaid,C125)</f>
        <v>6.77842611188265</v>
      </c>
      <c r="E125" s="69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176</v>
      </c>
      <c r="G125" s="88" t="s">
        <v>1699</v>
      </c>
      <c r="O125" s="65" t="s">
        <v>1704</v>
      </c>
    </row>
    <row r="126" customFormat="false" ht="15" hidden="false" customHeight="false" outlineLevel="0" collapsed="false">
      <c r="A126" s="60" t="s">
        <v>1705</v>
      </c>
    </row>
    <row r="127" customFormat="false" ht="39.55" hidden="false" customHeight="false" outlineLevel="0" collapsed="false">
      <c r="A127" s="5" t="s">
        <v>1706</v>
      </c>
      <c r="B127" s="62" t="s">
        <v>127</v>
      </c>
      <c r="C127" s="150" t="n">
        <v>0.1</v>
      </c>
      <c r="D127" s="150" t="n">
        <v>0.2</v>
      </c>
      <c r="E127" s="150" t="n">
        <v>0.05</v>
      </c>
      <c r="F127" s="59" t="s">
        <v>128</v>
      </c>
      <c r="G127" s="93" t="s">
        <v>1707</v>
      </c>
      <c r="O127" s="65" t="s">
        <v>1708</v>
      </c>
    </row>
    <row r="128" customFormat="false" ht="15" hidden="false" customHeight="false" outlineLevel="0" collapsed="false">
      <c r="A128" s="5" t="s">
        <v>1709</v>
      </c>
      <c r="B128" s="62" t="s">
        <v>132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59" t="s">
        <v>176</v>
      </c>
      <c r="G128" s="88" t="s">
        <v>1710</v>
      </c>
      <c r="O128" s="65" t="s">
        <v>1711</v>
      </c>
    </row>
    <row r="129" customFormat="false" ht="15" hidden="false" customHeight="false" outlineLevel="0" collapsed="false">
      <c r="A129" s="5" t="s">
        <v>1712</v>
      </c>
      <c r="B129" s="62" t="s">
        <v>132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59" t="s">
        <v>176</v>
      </c>
      <c r="G129" s="88" t="s">
        <v>1713</v>
      </c>
      <c r="O129" s="65" t="s">
        <v>1714</v>
      </c>
    </row>
    <row r="130" customFormat="false" ht="15" hidden="false" customHeight="false" outlineLevel="0" collapsed="false">
      <c r="A130" s="10" t="s">
        <v>1715</v>
      </c>
    </row>
    <row r="131" customFormat="false" ht="39.55" hidden="false" customHeight="false" outlineLevel="0" collapsed="false">
      <c r="A131" s="6" t="s">
        <v>1716</v>
      </c>
      <c r="B131" s="62" t="s">
        <v>127</v>
      </c>
      <c r="C131" s="150" t="n">
        <v>0.1</v>
      </c>
      <c r="D131" s="150" t="n">
        <v>0.05</v>
      </c>
      <c r="E131" s="150" t="n">
        <v>0.15</v>
      </c>
      <c r="F131" s="59" t="s">
        <v>128</v>
      </c>
      <c r="G131" s="93" t="s">
        <v>1717</v>
      </c>
    </row>
    <row r="132" customFormat="false" ht="29.85" hidden="false" customHeight="false" outlineLevel="0" collapsed="false">
      <c r="A132" s="5" t="s">
        <v>1718</v>
      </c>
      <c r="B132" s="62" t="s">
        <v>127</v>
      </c>
      <c r="C132" s="150" t="n">
        <v>0.75</v>
      </c>
      <c r="D132" s="150" t="n">
        <v>0.9</v>
      </c>
      <c r="E132" s="150" t="n">
        <v>0.6</v>
      </c>
      <c r="F132" s="59" t="s">
        <v>128</v>
      </c>
      <c r="G132" s="93" t="s">
        <v>1719</v>
      </c>
    </row>
    <row r="133" customFormat="false" ht="29.85" hidden="false" customHeight="false" outlineLevel="0" collapsed="false">
      <c r="A133" s="6" t="s">
        <v>1720</v>
      </c>
      <c r="B133" s="62" t="s">
        <v>1089</v>
      </c>
      <c r="C133" s="149" t="n">
        <v>0.5</v>
      </c>
      <c r="D133" s="149" t="n">
        <v>0</v>
      </c>
      <c r="E133" s="149" t="n">
        <v>1</v>
      </c>
      <c r="F133" s="59" t="s">
        <v>128</v>
      </c>
      <c r="G133" s="93" t="s">
        <v>1721</v>
      </c>
      <c r="O133" s="65" t="s">
        <v>1722</v>
      </c>
    </row>
    <row r="134" customFormat="false" ht="15" hidden="false" customHeight="false" outlineLevel="0" collapsed="false">
      <c r="A134" s="10" t="s">
        <v>1723</v>
      </c>
    </row>
    <row r="135" customFormat="false" ht="15" hidden="false" customHeight="false" outlineLevel="0" collapsed="false">
      <c r="A135" s="5" t="s">
        <v>1724</v>
      </c>
      <c r="B135" s="62" t="s">
        <v>1089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176</v>
      </c>
      <c r="G135" s="93" t="s">
        <v>1725</v>
      </c>
    </row>
    <row r="136" customFormat="false" ht="15" hidden="false" customHeight="false" outlineLevel="0" collapsed="false">
      <c r="A136" s="5" t="s">
        <v>1726</v>
      </c>
      <c r="B136" s="62" t="s">
        <v>1089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176</v>
      </c>
      <c r="G136" s="93"/>
    </row>
    <row r="137" customFormat="false" ht="26.85" hidden="false" customHeight="false" outlineLevel="0" collapsed="false">
      <c r="A137" s="6" t="s">
        <v>1727</v>
      </c>
      <c r="B137" s="62" t="s">
        <v>1089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176</v>
      </c>
      <c r="G137" s="93" t="s">
        <v>1728</v>
      </c>
    </row>
    <row r="138" customFormat="false" ht="15" hidden="false" customHeight="false" outlineLevel="0" collapsed="false">
      <c r="A138" s="5"/>
      <c r="B138" s="61"/>
      <c r="C138" s="103"/>
      <c r="D138" s="103"/>
      <c r="E138" s="103"/>
      <c r="F138" s="59" t="s">
        <v>176</v>
      </c>
      <c r="G138" s="93" t="s">
        <v>1729</v>
      </c>
      <c r="O138" s="65" t="s">
        <v>1730</v>
      </c>
    </row>
    <row r="139" customFormat="false" ht="15" hidden="false" customHeight="false" outlineLevel="0" collapsed="false">
      <c r="A139" s="10" t="s">
        <v>1731</v>
      </c>
    </row>
    <row r="140" customFormat="false" ht="15" hidden="false" customHeight="false" outlineLevel="0" collapsed="false">
      <c r="A140" s="6" t="s">
        <v>1732</v>
      </c>
      <c r="B140" s="62" t="s">
        <v>993</v>
      </c>
      <c r="C140" s="69" t="n">
        <f aca="false">C82</f>
        <v>2365200000</v>
      </c>
      <c r="D140" s="69" t="n">
        <f aca="false">D82</f>
        <v>2838240000</v>
      </c>
      <c r="E140" s="69" t="n">
        <f aca="false">E82</f>
        <v>1892160000</v>
      </c>
      <c r="F140" s="59" t="s">
        <v>1591</v>
      </c>
      <c r="G140" s="88" t="s">
        <v>1733</v>
      </c>
    </row>
    <row r="141" customFormat="false" ht="29.85" hidden="false" customHeight="false" outlineLevel="0" collapsed="false">
      <c r="A141" s="5" t="s">
        <v>1734</v>
      </c>
      <c r="B141" s="62" t="s">
        <v>993</v>
      </c>
      <c r="C141" s="69" t="n">
        <f aca="false">C81*C132</f>
        <v>1095000000</v>
      </c>
      <c r="D141" s="69" t="n">
        <f aca="false">D81*D132</f>
        <v>5420250000</v>
      </c>
      <c r="E141" s="69" t="n">
        <f aca="false">E81*E132</f>
        <v>219000000</v>
      </c>
      <c r="F141" s="59" t="s">
        <v>1591</v>
      </c>
      <c r="G141" s="93"/>
    </row>
    <row r="142" customFormat="false" ht="29.85" hidden="false" customHeight="false" outlineLevel="0" collapsed="false">
      <c r="A142" s="5" t="s">
        <v>1735</v>
      </c>
      <c r="B142" s="62" t="s">
        <v>993</v>
      </c>
      <c r="C142" s="69" t="n">
        <f aca="false">C81*(1-C132)</f>
        <v>365000000</v>
      </c>
      <c r="D142" s="69" t="n">
        <f aca="false">D81*(1-D132)</f>
        <v>602250000</v>
      </c>
      <c r="E142" s="69" t="n">
        <f aca="false">E81*(1-E132)</f>
        <v>146000000</v>
      </c>
      <c r="F142" s="59" t="s">
        <v>1591</v>
      </c>
      <c r="G142" s="93"/>
    </row>
    <row r="143" customFormat="false" ht="15" hidden="false" customHeight="false" outlineLevel="0" collapsed="false">
      <c r="A143" s="10" t="s">
        <v>1736</v>
      </c>
    </row>
    <row r="144" customFormat="false" ht="15" hidden="false" customHeight="false" outlineLevel="0" collapsed="false">
      <c r="A144" s="6" t="s">
        <v>1737</v>
      </c>
      <c r="B144" s="62" t="s">
        <v>132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59" t="s">
        <v>176</v>
      </c>
      <c r="G144" s="93" t="s">
        <v>1738</v>
      </c>
    </row>
    <row r="145" customFormat="false" ht="15" hidden="false" customHeight="false" outlineLevel="0" collapsed="false">
      <c r="A145" s="6" t="s">
        <v>1739</v>
      </c>
      <c r="B145" s="62" t="s">
        <v>132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59" t="s">
        <v>176</v>
      </c>
      <c r="G145" s="88" t="s">
        <v>1740</v>
      </c>
    </row>
    <row r="146" customFormat="false" ht="15" hidden="false" customHeight="false" outlineLevel="0" collapsed="false">
      <c r="A146" s="6" t="s">
        <v>1741</v>
      </c>
      <c r="B146" s="62" t="s">
        <v>132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59" t="s">
        <v>176</v>
      </c>
      <c r="G146" s="93" t="s">
        <v>1742</v>
      </c>
    </row>
    <row r="147" customFormat="false" ht="15" hidden="false" customHeight="false" outlineLevel="0" collapsed="false">
      <c r="A147" s="6" t="s">
        <v>1743</v>
      </c>
      <c r="B147" s="62" t="s">
        <v>132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59" t="s">
        <v>176</v>
      </c>
      <c r="G147" s="93" t="s">
        <v>1744</v>
      </c>
    </row>
    <row r="148" customFormat="false" ht="29.85" hidden="false" customHeight="false" outlineLevel="0" collapsed="false">
      <c r="A148" s="5" t="s">
        <v>1745</v>
      </c>
      <c r="B148" s="62" t="s">
        <v>132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176</v>
      </c>
      <c r="G148" s="93" t="s">
        <v>1746</v>
      </c>
      <c r="O148" s="65" t="s">
        <v>1747</v>
      </c>
    </row>
    <row r="149" customFormat="false" ht="15" hidden="false" customHeight="false" outlineLevel="0" collapsed="false">
      <c r="A149" s="10" t="s">
        <v>1748</v>
      </c>
    </row>
    <row r="150" customFormat="false" ht="26.85" hidden="false" customHeight="false" outlineLevel="0" collapsed="false">
      <c r="A150" s="5" t="s">
        <v>1749</v>
      </c>
      <c r="B150" s="62" t="s">
        <v>132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1591</v>
      </c>
      <c r="G150" s="93" t="s">
        <v>1750</v>
      </c>
    </row>
    <row r="151" customFormat="false" ht="26.85" hidden="false" customHeight="false" outlineLevel="0" collapsed="false">
      <c r="A151" s="5" t="s">
        <v>1751</v>
      </c>
      <c r="B151" s="62" t="s">
        <v>132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59" t="s">
        <v>176</v>
      </c>
      <c r="G151" s="88" t="s">
        <v>1752</v>
      </c>
    </row>
    <row r="152" customFormat="false" ht="29.85" hidden="false" customHeight="false" outlineLevel="0" collapsed="false">
      <c r="A152" s="5" t="s">
        <v>1753</v>
      </c>
      <c r="B152" s="62" t="s">
        <v>132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176</v>
      </c>
      <c r="G152" s="88" t="s">
        <v>1754</v>
      </c>
      <c r="O152" s="65" t="s">
        <v>1755</v>
      </c>
    </row>
    <row r="153" customFormat="false" ht="15" hidden="false" customHeight="false" outlineLevel="0" collapsed="false">
      <c r="A153" s="10" t="s">
        <v>1756</v>
      </c>
    </row>
    <row r="154" customFormat="false" ht="15" hidden="false" customHeight="false" outlineLevel="0" collapsed="false">
      <c r="A154" s="5" t="s">
        <v>1757</v>
      </c>
      <c r="B154" s="62" t="s">
        <v>1646</v>
      </c>
      <c r="C154" s="64" t="n">
        <v>20</v>
      </c>
      <c r="D154" s="69" t="n">
        <f aca="false">C154</f>
        <v>20</v>
      </c>
      <c r="E154" s="69" t="n">
        <f aca="false">C154</f>
        <v>20</v>
      </c>
      <c r="F154" s="59" t="s">
        <v>128</v>
      </c>
      <c r="G154" s="93" t="s">
        <v>1758</v>
      </c>
      <c r="O154" s="65" t="s">
        <v>1759</v>
      </c>
    </row>
    <row r="155" customFormat="false" ht="29.85" hidden="false" customHeight="false" outlineLevel="0" collapsed="false">
      <c r="A155" s="5" t="s">
        <v>1760</v>
      </c>
      <c r="B155" s="62" t="s">
        <v>1646</v>
      </c>
      <c r="C155" s="64" t="n">
        <v>700</v>
      </c>
      <c r="D155" s="69" t="n">
        <f aca="false">C155</f>
        <v>700</v>
      </c>
      <c r="E155" s="69" t="n">
        <f aca="false">C155</f>
        <v>700</v>
      </c>
      <c r="F155" s="59" t="s">
        <v>128</v>
      </c>
      <c r="G155" s="93" t="s">
        <v>1761</v>
      </c>
      <c r="O155" s="65" t="s">
        <v>1762</v>
      </c>
    </row>
    <row r="156" customFormat="false" ht="15" hidden="false" customHeight="false" outlineLevel="0" collapsed="false">
      <c r="A156" s="5" t="s">
        <v>1763</v>
      </c>
      <c r="B156" s="62" t="s">
        <v>1646</v>
      </c>
      <c r="C156" s="64" t="n">
        <v>200</v>
      </c>
      <c r="D156" s="69" t="n">
        <f aca="false">C156</f>
        <v>200</v>
      </c>
      <c r="E156" s="69" t="n">
        <f aca="false">C156</f>
        <v>200</v>
      </c>
      <c r="F156" s="59" t="s">
        <v>128</v>
      </c>
      <c r="G156" s="93" t="s">
        <v>1764</v>
      </c>
      <c r="O156" s="65" t="s">
        <v>1765</v>
      </c>
    </row>
    <row r="157" customFormat="false" ht="29.85" hidden="false" customHeight="false" outlineLevel="0" collapsed="false">
      <c r="A157" s="5" t="s">
        <v>1766</v>
      </c>
      <c r="B157" s="62" t="s">
        <v>1646</v>
      </c>
      <c r="C157" s="64" t="n">
        <v>14000</v>
      </c>
      <c r="D157" s="69" t="n">
        <f aca="false">C157</f>
        <v>14000</v>
      </c>
      <c r="E157" s="69" t="n">
        <f aca="false">C157</f>
        <v>14000</v>
      </c>
      <c r="F157" s="59" t="s">
        <v>128</v>
      </c>
      <c r="G157" s="93" t="s">
        <v>1767</v>
      </c>
      <c r="O157" s="65" t="s">
        <v>1768</v>
      </c>
    </row>
    <row r="158" customFormat="false" ht="29.85" hidden="false" customHeight="false" outlineLevel="0" collapsed="false">
      <c r="A158" s="5" t="s">
        <v>1769</v>
      </c>
      <c r="B158" s="62" t="s">
        <v>132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133</v>
      </c>
      <c r="G158" s="88" t="s">
        <v>1770</v>
      </c>
      <c r="O158" s="65" t="s">
        <v>1771</v>
      </c>
    </row>
    <row r="159" customFormat="false" ht="29.85" hidden="false" customHeight="false" outlineLevel="0" collapsed="false">
      <c r="A159" s="5" t="s">
        <v>1772</v>
      </c>
      <c r="B159" s="62" t="s">
        <v>132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133</v>
      </c>
      <c r="G159" s="88" t="s">
        <v>1773</v>
      </c>
      <c r="O159" s="65" t="s">
        <v>1774</v>
      </c>
    </row>
    <row r="160" customFormat="false" ht="15" hidden="false" customHeight="false" outlineLevel="0" collapsed="false">
      <c r="A160" s="10" t="s">
        <v>1775</v>
      </c>
    </row>
    <row r="161" customFormat="false" ht="29.85" hidden="false" customHeight="false" outlineLevel="0" collapsed="false">
      <c r="A161" s="5" t="s">
        <v>1776</v>
      </c>
      <c r="B161" s="62" t="s">
        <v>1777</v>
      </c>
      <c r="C161" s="69" t="n">
        <f aca="false">C135*1000000000/(C79*1000000)</f>
        <v>279.358778625954</v>
      </c>
      <c r="D161" s="69" t="n">
        <f aca="false">D135*1000000000/(D79*1000000)</f>
        <v>244.274809160305</v>
      </c>
      <c r="E161" s="69" t="n">
        <f aca="false">E135*1000000000/(E79*1000000)</f>
        <v>327.248854961832</v>
      </c>
      <c r="F161" s="59" t="s">
        <v>176</v>
      </c>
      <c r="G161" s="93" t="s">
        <v>1778</v>
      </c>
      <c r="O161" s="65" t="s">
        <v>1779</v>
      </c>
    </row>
    <row r="162" customFormat="false" ht="15" hidden="false" customHeight="false" outlineLevel="0" collapsed="false">
      <c r="A162" s="6" t="s">
        <v>1780</v>
      </c>
      <c r="B162" s="62" t="s">
        <v>1598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176</v>
      </c>
      <c r="G162" s="88" t="s">
        <v>1781</v>
      </c>
      <c r="O162" s="65" t="s">
        <v>1782</v>
      </c>
    </row>
    <row r="163" customFormat="false" ht="29.85" hidden="false" customHeight="false" outlineLevel="0" collapsed="false">
      <c r="A163" s="5" t="s">
        <v>1783</v>
      </c>
      <c r="B163" s="62" t="s">
        <v>1598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133</v>
      </c>
      <c r="G163" s="88" t="s">
        <v>1784</v>
      </c>
      <c r="O163" s="65" t="s">
        <v>1785</v>
      </c>
    </row>
    <row r="164" customFormat="false" ht="29.85" hidden="false" customHeight="false" outlineLevel="0" collapsed="false">
      <c r="A164" s="5" t="s">
        <v>1786</v>
      </c>
      <c r="B164" s="62" t="s">
        <v>1598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176</v>
      </c>
      <c r="G164" s="93" t="s">
        <v>1787</v>
      </c>
      <c r="O164" s="65" t="s">
        <v>1788</v>
      </c>
    </row>
    <row r="165" customFormat="false" ht="15" hidden="false" customHeight="false" outlineLevel="0" collapsed="false">
      <c r="A165" s="5" t="s">
        <v>1789</v>
      </c>
      <c r="B165" s="62" t="s">
        <v>132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59" t="s">
        <v>176</v>
      </c>
      <c r="G165" s="93" t="s">
        <v>1790</v>
      </c>
      <c r="O165" s="65" t="s">
        <v>1791</v>
      </c>
    </row>
    <row r="166" customFormat="false" ht="15" hidden="false" customHeight="false" outlineLevel="0" collapsed="false">
      <c r="A166" s="10" t="s">
        <v>1792</v>
      </c>
    </row>
    <row r="167" customFormat="false" ht="29.85" hidden="false" customHeight="false" outlineLevel="0" collapsed="false">
      <c r="A167" s="6" t="s">
        <v>1793</v>
      </c>
      <c r="B167" s="62" t="s">
        <v>127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1794</v>
      </c>
      <c r="G167" s="88" t="s">
        <v>1795</v>
      </c>
      <c r="O167" s="65" t="s">
        <v>1796</v>
      </c>
    </row>
    <row r="168" customFormat="false" ht="26.85" hidden="false" customHeight="false" outlineLevel="0" collapsed="false">
      <c r="A168" s="6" t="s">
        <v>1797</v>
      </c>
      <c r="B168" s="62" t="s">
        <v>127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1794</v>
      </c>
      <c r="G168" s="88" t="s">
        <v>1798</v>
      </c>
      <c r="O168" s="65" t="s">
        <v>1799</v>
      </c>
    </row>
    <row r="169" customFormat="false" ht="26.85" hidden="false" customHeight="false" outlineLevel="0" collapsed="false">
      <c r="A169" s="6" t="s">
        <v>1800</v>
      </c>
      <c r="B169" s="62" t="s">
        <v>132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65" t="s">
        <v>1801</v>
      </c>
      <c r="G169" s="93" t="s">
        <v>1802</v>
      </c>
    </row>
    <row r="170" customFormat="false" ht="15" hidden="false" customHeight="false" outlineLevel="0" collapsed="false">
      <c r="A170" s="10" t="s">
        <v>1803</v>
      </c>
    </row>
    <row r="171" customFormat="false" ht="15" hidden="false" customHeight="false" outlineLevel="0" collapsed="false">
      <c r="A171" s="5" t="s">
        <v>1804</v>
      </c>
      <c r="B171" s="62" t="s">
        <v>993</v>
      </c>
      <c r="C171" s="69" t="n">
        <f aca="false">C83</f>
        <v>3825200000</v>
      </c>
      <c r="D171" s="69" t="n">
        <f aca="false">D83</f>
        <v>8860740000</v>
      </c>
      <c r="E171" s="69" t="n">
        <f aca="false">E83</f>
        <v>2257160000</v>
      </c>
      <c r="F171" s="59" t="s">
        <v>1591</v>
      </c>
      <c r="G171" s="88" t="s">
        <v>1805</v>
      </c>
      <c r="O171" s="65" t="s">
        <v>1806</v>
      </c>
    </row>
    <row r="172" customFormat="false" ht="15" hidden="false" customHeight="false" outlineLevel="0" collapsed="false">
      <c r="A172" s="5" t="s">
        <v>1807</v>
      </c>
      <c r="B172" s="62" t="s">
        <v>993</v>
      </c>
      <c r="C172" s="69" t="n">
        <f aca="false">C116</f>
        <v>19098300660.0604</v>
      </c>
      <c r="D172" s="69" t="n">
        <f aca="false">D116</f>
        <v>42305958361.5773</v>
      </c>
      <c r="E172" s="69" t="n">
        <f aca="false">E116</f>
        <v>6599006325.63064</v>
      </c>
      <c r="F172" s="59" t="s">
        <v>176</v>
      </c>
      <c r="G172" s="88" t="s">
        <v>1808</v>
      </c>
      <c r="O172" s="65" t="s">
        <v>1809</v>
      </c>
    </row>
    <row r="173" customFormat="false" ht="29.85" hidden="false" customHeight="false" outlineLevel="0" collapsed="false">
      <c r="A173" s="5" t="s">
        <v>1810</v>
      </c>
      <c r="B173" s="62" t="s">
        <v>993</v>
      </c>
      <c r="C173" s="69" t="n">
        <f aca="false">C118</f>
        <v>25845516859.6077</v>
      </c>
      <c r="D173" s="69" t="n">
        <f aca="false">D118</f>
        <v>36112913968.219</v>
      </c>
      <c r="E173" s="69" t="n">
        <f aca="false">E118</f>
        <v>12204827405.9259</v>
      </c>
      <c r="F173" s="59" t="s">
        <v>176</v>
      </c>
      <c r="G173" s="88" t="s">
        <v>1811</v>
      </c>
      <c r="O173" s="65" t="s">
        <v>1812</v>
      </c>
    </row>
    <row r="174" customFormat="false" ht="29.85" hidden="false" customHeight="false" outlineLevel="0" collapsed="false">
      <c r="A174" s="5" t="s">
        <v>1813</v>
      </c>
      <c r="B174" s="62" t="s">
        <v>132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59" t="s">
        <v>176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65" t="s">
        <v>1814</v>
      </c>
    </row>
    <row r="175" customFormat="false" ht="15" hidden="false" customHeight="false" outlineLevel="0" collapsed="false">
      <c r="A175" s="5" t="s">
        <v>1815</v>
      </c>
      <c r="B175" s="62" t="s">
        <v>132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59" t="s">
        <v>176</v>
      </c>
      <c r="G175" s="93"/>
      <c r="O175" s="65" t="s">
        <v>1816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  <c r="O176" s="65" t="s">
        <v>1817</v>
      </c>
    </row>
    <row r="177" customFormat="false" ht="29.85" hidden="false" customHeight="false" outlineLevel="0" collapsed="false">
      <c r="A177" s="6" t="s">
        <v>1818</v>
      </c>
      <c r="B177" s="62" t="s">
        <v>117</v>
      </c>
      <c r="C177" s="74" t="n">
        <f aca="false">C109*C114</f>
        <v>0.613699050196275</v>
      </c>
      <c r="D177" s="74" t="n">
        <f aca="false">D109*D114</f>
        <v>1.35944694380264</v>
      </c>
      <c r="E177" s="74" t="n">
        <f aca="false">E109*E114</f>
        <v>0.212050484823916</v>
      </c>
      <c r="F177" s="59" t="s">
        <v>176</v>
      </c>
      <c r="G177" s="88" t="s">
        <v>1819</v>
      </c>
    </row>
    <row r="178" customFormat="false" ht="44" hidden="false" customHeight="false" outlineLevel="0" collapsed="false">
      <c r="A178" s="6" t="s">
        <v>1820</v>
      </c>
      <c r="B178" s="62" t="s">
        <v>993</v>
      </c>
      <c r="C178" s="69" t="n">
        <f aca="false">IF(AND(ISNUMBER(C110),ISNUMBER(C111)),(C177-C140/C110)/((1-AL_FreeShare)/C110+AL_FreeShare/C111),AL_UnavailTxt)</f>
        <v>34844707076.4463</v>
      </c>
      <c r="D178" s="69" t="n">
        <f aca="false">IF(AND(ISNUMBER(D110),ISNUMBER(D111)),(D177-D140/D110)/((1-AL_FreeShare)/D110+AL_FreeShare/D111),AL_UnavailTxt)</f>
        <v>81412870577.7346</v>
      </c>
      <c r="E178" s="69" t="n">
        <f aca="false">IF(AND(ISNUMBER(E110),ISNUMBER(E111)),(E177-E140/E110)/((1-AL_FreeShare)/E110+AL_FreeShare/E111),AL_UnavailTxt)</f>
        <v>10147954360.655</v>
      </c>
      <c r="F178" s="59" t="s">
        <v>176</v>
      </c>
      <c r="G178" s="93" t="s">
        <v>1821</v>
      </c>
    </row>
    <row r="179" customFormat="false" ht="29.85" hidden="false" customHeight="false" outlineLevel="0" collapsed="false">
      <c r="A179" s="6" t="s">
        <v>1822</v>
      </c>
      <c r="B179" s="62" t="s">
        <v>333</v>
      </c>
      <c r="C179" s="72" t="n">
        <f aca="false">IF(ISNUMBER(C178),C178*1000000/(SRC_DEM_012*1000000000*365),AL_UnavailTxt)</f>
        <v>38185.9803577493</v>
      </c>
      <c r="D179" s="69" t="n">
        <f aca="false">IF(ISNUMBER(D178),D178*1000000/(SRC_DEM_012*1000000000*365),AL_UnavailTxt)</f>
        <v>89219.5841947776</v>
      </c>
      <c r="E179" s="69" t="n">
        <f aca="false">IF(ISNUMBER(E178),E178*1000000/(SRC_DEM_012*1000000000*365),AL_UnavailTxt)</f>
        <v>11121.0458746904</v>
      </c>
      <c r="F179" s="59" t="s">
        <v>176</v>
      </c>
      <c r="G179" s="93" t="s">
        <v>1823</v>
      </c>
    </row>
    <row r="180" customFormat="false" ht="29.85" hidden="false" customHeight="false" outlineLevel="0" collapsed="false">
      <c r="A180" s="6" t="s">
        <v>1824</v>
      </c>
      <c r="B180" s="62" t="s">
        <v>132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176</v>
      </c>
      <c r="G180" s="93" t="s">
        <v>1790</v>
      </c>
      <c r="O180" s="65" t="s">
        <v>1825</v>
      </c>
    </row>
    <row r="181" customFormat="false" ht="29.85" hidden="false" customHeight="false" outlineLevel="0" collapsed="false">
      <c r="A181" s="5" t="s">
        <v>1826</v>
      </c>
      <c r="B181" s="62" t="s">
        <v>127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59" t="s">
        <v>176</v>
      </c>
      <c r="G181" s="93" t="s">
        <v>1827</v>
      </c>
      <c r="O181" s="65" t="s">
        <v>1828</v>
      </c>
    </row>
    <row r="182" customFormat="false" ht="15" hidden="false" customHeight="false" outlineLevel="0" collapsed="false">
      <c r="A182" s="10" t="s">
        <v>1829</v>
      </c>
    </row>
    <row r="183" customFormat="false" ht="15" hidden="false" customHeight="false" outlineLevel="0" collapsed="false">
      <c r="A183" s="60" t="s">
        <v>411</v>
      </c>
      <c r="B183" s="60" t="s">
        <v>109</v>
      </c>
      <c r="C183" s="10" t="s">
        <v>1830</v>
      </c>
      <c r="D183" s="10" t="s">
        <v>1831</v>
      </c>
      <c r="E183" s="10" t="s">
        <v>1832</v>
      </c>
      <c r="F183" s="10" t="s">
        <v>1833</v>
      </c>
      <c r="G183" s="60" t="s">
        <v>113</v>
      </c>
      <c r="H183" s="60" t="s">
        <v>379</v>
      </c>
    </row>
    <row r="184" customFormat="false" ht="15" hidden="false" customHeight="false" outlineLevel="0" collapsed="false">
      <c r="A184" s="10" t="s">
        <v>1834</v>
      </c>
    </row>
    <row r="185" customFormat="false" ht="167.9" hidden="false" customHeight="false" outlineLevel="0" collapsed="false">
      <c r="A185" s="5" t="s">
        <v>1835</v>
      </c>
      <c r="B185" s="62" t="s">
        <v>1089</v>
      </c>
      <c r="C185" s="94"/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1836</v>
      </c>
      <c r="H185" s="88" t="s">
        <v>1837</v>
      </c>
      <c r="O185" s="65" t="s">
        <v>1838</v>
      </c>
    </row>
    <row r="186" customFormat="false" ht="314.15" hidden="false" customHeight="false" outlineLevel="0" collapsed="false">
      <c r="A186" s="5" t="s">
        <v>1839</v>
      </c>
      <c r="B186" s="62" t="s">
        <v>1089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1840</v>
      </c>
      <c r="H186" s="88" t="s">
        <v>1841</v>
      </c>
    </row>
    <row r="187" customFormat="false" ht="179.1" hidden="false" customHeight="false" outlineLevel="0" collapsed="false">
      <c r="A187" s="6" t="s">
        <v>1842</v>
      </c>
      <c r="B187" s="62" t="s">
        <v>1089</v>
      </c>
      <c r="C187" s="116"/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176</v>
      </c>
      <c r="H187" s="88" t="s">
        <v>1843</v>
      </c>
      <c r="O187" s="65" t="s">
        <v>1844</v>
      </c>
    </row>
    <row r="188" customFormat="false" ht="208.2" hidden="false" customHeight="false" outlineLevel="0" collapsed="false">
      <c r="A188" s="5" t="s">
        <v>1845</v>
      </c>
      <c r="B188" s="62" t="s">
        <v>127</v>
      </c>
      <c r="C188" s="103"/>
      <c r="D188" s="150" t="n">
        <v>0.6</v>
      </c>
      <c r="E188" s="150" t="n">
        <v>0.55</v>
      </c>
      <c r="F188" s="150" t="n">
        <v>0.45</v>
      </c>
      <c r="G188" s="59" t="s">
        <v>1846</v>
      </c>
      <c r="H188" s="88" t="s">
        <v>1847</v>
      </c>
      <c r="O188" s="65" t="s">
        <v>1848</v>
      </c>
    </row>
    <row r="189" customFormat="false" ht="242.5" hidden="false" customHeight="false" outlineLevel="0" collapsed="false">
      <c r="A189" s="5" t="s">
        <v>1849</v>
      </c>
      <c r="B189" s="62" t="s">
        <v>127</v>
      </c>
      <c r="C189" s="103"/>
      <c r="D189" s="150" t="n">
        <v>0.2</v>
      </c>
      <c r="E189" s="150" t="n">
        <v>0.25</v>
      </c>
      <c r="F189" s="150" t="n">
        <v>0.35</v>
      </c>
      <c r="G189" s="59" t="s">
        <v>128</v>
      </c>
      <c r="H189" s="88" t="s">
        <v>1850</v>
      </c>
      <c r="O189" s="65" t="s">
        <v>1851</v>
      </c>
    </row>
    <row r="190" customFormat="false" ht="15" hidden="false" customHeight="false" outlineLevel="0" collapsed="false">
      <c r="A190" s="5" t="s">
        <v>1852</v>
      </c>
      <c r="B190" s="62" t="s">
        <v>127</v>
      </c>
      <c r="C190" s="103"/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176</v>
      </c>
      <c r="H190" s="93" t="s">
        <v>1853</v>
      </c>
      <c r="O190" s="65" t="s">
        <v>1854</v>
      </c>
    </row>
    <row r="191" customFormat="false" ht="64.9" hidden="false" customHeight="false" outlineLevel="0" collapsed="false">
      <c r="A191" s="5" t="s">
        <v>1855</v>
      </c>
      <c r="B191" s="62" t="s">
        <v>1089</v>
      </c>
      <c r="C191" s="116"/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176</v>
      </c>
      <c r="H191" s="88" t="s">
        <v>1856</v>
      </c>
      <c r="O191" s="65" t="s">
        <v>1857</v>
      </c>
    </row>
    <row r="192" customFormat="false" ht="39.55" hidden="false" customHeight="false" outlineLevel="0" collapsed="false">
      <c r="A192" s="5" t="s">
        <v>1858</v>
      </c>
      <c r="B192" s="62" t="s">
        <v>1089</v>
      </c>
      <c r="C192" s="116"/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176</v>
      </c>
      <c r="H192" s="88" t="s">
        <v>1859</v>
      </c>
      <c r="O192" s="65" t="s">
        <v>1860</v>
      </c>
    </row>
    <row r="193" customFormat="false" ht="77.6" hidden="false" customHeight="false" outlineLevel="0" collapsed="false">
      <c r="A193" s="6" t="s">
        <v>1861</v>
      </c>
      <c r="B193" s="62" t="s">
        <v>1089</v>
      </c>
      <c r="C193" s="116"/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176</v>
      </c>
      <c r="H193" s="88" t="s">
        <v>1862</v>
      </c>
      <c r="O193" s="65" t="s">
        <v>1863</v>
      </c>
    </row>
    <row r="194" customFormat="false" ht="15" hidden="false" customHeight="false" outlineLevel="0" collapsed="false">
      <c r="A194" s="10" t="s">
        <v>1864</v>
      </c>
    </row>
    <row r="195" customFormat="false" ht="88.05" hidden="false" customHeight="false" outlineLevel="0" collapsed="false">
      <c r="A195" s="6" t="s">
        <v>1865</v>
      </c>
      <c r="B195" s="62" t="s">
        <v>132</v>
      </c>
      <c r="C195" s="62" t="s">
        <v>809</v>
      </c>
      <c r="D195" s="62" t="s">
        <v>809</v>
      </c>
      <c r="E195" s="62" t="s">
        <v>809</v>
      </c>
      <c r="F195" s="148" t="n">
        <v>1.3</v>
      </c>
      <c r="G195" s="59" t="s">
        <v>128</v>
      </c>
      <c r="H195" s="93" t="s">
        <v>1866</v>
      </c>
    </row>
    <row r="196" customFormat="false" ht="73.1" hidden="false" customHeight="false" outlineLevel="0" collapsed="false">
      <c r="A196" s="6" t="s">
        <v>1867</v>
      </c>
      <c r="B196" s="62" t="s">
        <v>993</v>
      </c>
      <c r="C196" s="63"/>
      <c r="D196" s="69" t="n">
        <f aca="false">SRC_DEM_011*1000000000*525600/1000000</f>
        <v>7884000000</v>
      </c>
      <c r="E196" s="69" t="n">
        <f aca="false">SRC_DEM_011*1000000000*525600/1000000</f>
        <v>7884000000</v>
      </c>
      <c r="F196" s="69" t="n">
        <f aca="false">E196*F195</f>
        <v>10249200000</v>
      </c>
      <c r="G196" s="59" t="s">
        <v>1794</v>
      </c>
      <c r="H196" s="88" t="s">
        <v>1868</v>
      </c>
      <c r="O196" s="65" t="s">
        <v>1869</v>
      </c>
    </row>
    <row r="197" customFormat="false" ht="121.6" hidden="false" customHeight="false" outlineLevel="0" collapsed="false">
      <c r="A197" s="6" t="s">
        <v>1870</v>
      </c>
      <c r="B197" s="62" t="s">
        <v>1871</v>
      </c>
      <c r="C197" s="97"/>
      <c r="D197" s="80" t="n">
        <v>3.2</v>
      </c>
      <c r="E197" s="80" t="n">
        <v>3.6</v>
      </c>
      <c r="F197" s="80" t="n">
        <v>3.8</v>
      </c>
      <c r="G197" s="59" t="s">
        <v>1872</v>
      </c>
      <c r="H197" s="88" t="s">
        <v>1873</v>
      </c>
      <c r="O197" s="65" t="s">
        <v>1874</v>
      </c>
    </row>
    <row r="198" customFormat="false" ht="100.7" hidden="false" customHeight="false" outlineLevel="0" collapsed="false">
      <c r="A198" s="6" t="s">
        <v>1875</v>
      </c>
      <c r="B198" s="62" t="s">
        <v>993</v>
      </c>
      <c r="C198" s="69"/>
      <c r="D198" s="69" t="n">
        <f aca="false">D197*1000000000*AL_TokPerPrompt*365/1000000*(1-AL_FreeShare)</f>
        <v>1868800000</v>
      </c>
      <c r="E198" s="69" t="n">
        <f aca="false">E197*1000000000*AL_TokPerPrompt*365/1000000*(1-AL_FreeShare)</f>
        <v>2102400000</v>
      </c>
      <c r="F198" s="69" t="n">
        <f aca="false">F197*1000000000*AL_TokPerPrompt*365/1000000*(1-AL_FreeShare)</f>
        <v>2219200000</v>
      </c>
      <c r="G198" s="59" t="s">
        <v>1591</v>
      </c>
      <c r="H198" s="88" t="s">
        <v>1876</v>
      </c>
      <c r="O198" s="65" t="s">
        <v>1877</v>
      </c>
    </row>
    <row r="199" customFormat="false" ht="26.85" hidden="false" customHeight="false" outlineLevel="0" collapsed="false">
      <c r="A199" s="6" t="s">
        <v>1878</v>
      </c>
      <c r="B199" s="62" t="s">
        <v>993</v>
      </c>
      <c r="C199" s="69"/>
      <c r="D199" s="69" t="n">
        <f aca="false">D197*1000000000*AL_TokPerPrompt*365/1000000*AL_FreeShare</f>
        <v>2803200000</v>
      </c>
      <c r="E199" s="69" t="n">
        <f aca="false">E197*1000000000*AL_TokPerPrompt*365/1000000*AL_FreeShare</f>
        <v>3153600000</v>
      </c>
      <c r="F199" s="69" t="n">
        <f aca="false">F197*1000000000*AL_TokPerPrompt*365/1000000*AL_FreeShare</f>
        <v>3328800000</v>
      </c>
      <c r="G199" s="59" t="s">
        <v>1591</v>
      </c>
      <c r="H199" s="88" t="s">
        <v>1879</v>
      </c>
      <c r="O199" s="65" t="s">
        <v>1880</v>
      </c>
    </row>
    <row r="200" customFormat="false" ht="204.45" hidden="false" customHeight="false" outlineLevel="0" collapsed="false">
      <c r="A200" s="6" t="s">
        <v>1881</v>
      </c>
      <c r="B200" s="62" t="s">
        <v>127</v>
      </c>
      <c r="C200" s="103"/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1882</v>
      </c>
      <c r="H200" s="93" t="s">
        <v>1883</v>
      </c>
      <c r="O200" s="65" t="s">
        <v>1884</v>
      </c>
    </row>
    <row r="201" customFormat="false" ht="64.9" hidden="false" customHeight="false" outlineLevel="0" collapsed="false">
      <c r="A201" s="5" t="s">
        <v>1885</v>
      </c>
      <c r="B201" s="62" t="s">
        <v>993</v>
      </c>
      <c r="C201" s="69"/>
      <c r="D201" s="69" t="n">
        <f aca="false">D198*D200</f>
        <v>1214720000</v>
      </c>
      <c r="E201" s="69" t="n">
        <f aca="false">E198*E200</f>
        <v>1366560000</v>
      </c>
      <c r="F201" s="69" t="n">
        <f aca="false">F198*F200</f>
        <v>1442480000</v>
      </c>
      <c r="G201" s="59" t="s">
        <v>1591</v>
      </c>
      <c r="H201" s="88" t="s">
        <v>1886</v>
      </c>
      <c r="O201" s="65" t="s">
        <v>1887</v>
      </c>
    </row>
    <row r="202" customFormat="false" ht="29.85" hidden="false" customHeight="false" outlineLevel="0" collapsed="false">
      <c r="A202" s="5" t="s">
        <v>1735</v>
      </c>
      <c r="B202" s="62" t="s">
        <v>993</v>
      </c>
      <c r="C202" s="69"/>
      <c r="D202" s="69" t="n">
        <f aca="false">D198*(1-D200)</f>
        <v>654080000</v>
      </c>
      <c r="E202" s="69" t="n">
        <f aca="false">E198*(1-E200)</f>
        <v>735840000</v>
      </c>
      <c r="F202" s="69" t="n">
        <f aca="false">F198*(1-F200)</f>
        <v>776720000</v>
      </c>
      <c r="G202" s="59" t="s">
        <v>1591</v>
      </c>
      <c r="H202" s="93"/>
      <c r="O202" s="65" t="s">
        <v>1888</v>
      </c>
    </row>
    <row r="203" customFormat="false" ht="15" hidden="false" customHeight="false" outlineLevel="0" collapsed="false">
      <c r="A203" s="10" t="s">
        <v>1889</v>
      </c>
    </row>
    <row r="204" customFormat="false" ht="141" hidden="false" customHeight="false" outlineLevel="0" collapsed="false">
      <c r="A204" s="5"/>
      <c r="B204" s="61"/>
      <c r="C204" s="107"/>
      <c r="D204" s="107"/>
      <c r="E204" s="107"/>
      <c r="F204" s="107"/>
      <c r="G204" s="59" t="s">
        <v>1890</v>
      </c>
      <c r="H204" s="88" t="s">
        <v>1891</v>
      </c>
      <c r="O204" s="65" t="s">
        <v>1892</v>
      </c>
    </row>
    <row r="205" customFormat="false" ht="44" hidden="false" customHeight="false" outlineLevel="0" collapsed="false">
      <c r="A205" s="5" t="s">
        <v>1893</v>
      </c>
      <c r="B205" s="62" t="s">
        <v>1040</v>
      </c>
      <c r="C205" s="126"/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176</v>
      </c>
      <c r="H205" s="93" t="s">
        <v>1894</v>
      </c>
      <c r="O205" s="65" t="s">
        <v>1895</v>
      </c>
    </row>
    <row r="206" customFormat="false" ht="138.8" hidden="false" customHeight="false" outlineLevel="0" collapsed="false">
      <c r="A206" s="6" t="s">
        <v>1896</v>
      </c>
      <c r="B206" s="62" t="s">
        <v>132</v>
      </c>
      <c r="C206" s="106" t="n">
        <f aca="false">C144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176</v>
      </c>
      <c r="H206" s="93" t="s">
        <v>1897</v>
      </c>
      <c r="O206" s="65" t="s">
        <v>1898</v>
      </c>
    </row>
    <row r="207" customFormat="false" ht="138.8" hidden="false" customHeight="false" outlineLevel="0" collapsed="false">
      <c r="A207" s="6" t="s">
        <v>1899</v>
      </c>
      <c r="B207" s="62" t="s">
        <v>132</v>
      </c>
      <c r="C207" s="107" t="n">
        <f aca="false">C145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176</v>
      </c>
      <c r="H207" s="93" t="s">
        <v>1897</v>
      </c>
      <c r="O207" s="65" t="s">
        <v>1900</v>
      </c>
    </row>
    <row r="208" customFormat="false" ht="138.8" hidden="false" customHeight="false" outlineLevel="0" collapsed="false">
      <c r="A208" s="6" t="s">
        <v>1901</v>
      </c>
      <c r="B208" s="62" t="s">
        <v>132</v>
      </c>
      <c r="C208" s="107" t="n">
        <f aca="false">C146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176</v>
      </c>
      <c r="H208" s="93" t="s">
        <v>1897</v>
      </c>
      <c r="O208" s="65" t="s">
        <v>1902</v>
      </c>
    </row>
    <row r="209" customFormat="false" ht="138.8" hidden="false" customHeight="false" outlineLevel="0" collapsed="false">
      <c r="A209" s="6" t="s">
        <v>1903</v>
      </c>
      <c r="B209" s="62" t="s">
        <v>132</v>
      </c>
      <c r="C209" s="106" t="n">
        <f aca="false">C94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176</v>
      </c>
      <c r="H209" s="93" t="s">
        <v>1897</v>
      </c>
      <c r="O209" s="65" t="s">
        <v>1904</v>
      </c>
    </row>
    <row r="210" customFormat="false" ht="15" hidden="false" customHeight="false" outlineLevel="0" collapsed="false">
      <c r="A210" s="10" t="s">
        <v>1905</v>
      </c>
    </row>
    <row r="211" customFormat="false" ht="88.05" hidden="false" customHeight="false" outlineLevel="0" collapsed="false">
      <c r="A211" s="6" t="s">
        <v>1906</v>
      </c>
      <c r="B211" s="62" t="s">
        <v>127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128</v>
      </c>
      <c r="H211" s="93" t="s">
        <v>1907</v>
      </c>
      <c r="O211" s="65" t="s">
        <v>1908</v>
      </c>
    </row>
    <row r="212" customFormat="false" ht="62.65" hidden="false" customHeight="false" outlineLevel="0" collapsed="false">
      <c r="A212" s="6" t="s">
        <v>1909</v>
      </c>
      <c r="B212" s="62" t="s">
        <v>127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128</v>
      </c>
      <c r="H212" s="93" t="s">
        <v>1910</v>
      </c>
      <c r="O212" s="65" t="s">
        <v>1911</v>
      </c>
    </row>
    <row r="213" customFormat="false" ht="62.65" hidden="false" customHeight="false" outlineLevel="0" collapsed="false">
      <c r="A213" s="6" t="s">
        <v>1912</v>
      </c>
      <c r="B213" s="62" t="s">
        <v>127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128</v>
      </c>
      <c r="H213" s="93" t="s">
        <v>1913</v>
      </c>
      <c r="O213" s="65" t="s">
        <v>1914</v>
      </c>
    </row>
    <row r="214" customFormat="false" ht="113.4" hidden="false" customHeight="false" outlineLevel="0" collapsed="false">
      <c r="A214" s="6" t="s">
        <v>1915</v>
      </c>
      <c r="B214" s="62" t="s">
        <v>127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128</v>
      </c>
      <c r="H214" s="93" t="s">
        <v>1916</v>
      </c>
      <c r="O214" s="65" t="s">
        <v>1917</v>
      </c>
    </row>
    <row r="215" customFormat="false" ht="15" hidden="false" customHeight="false" outlineLevel="0" collapsed="false">
      <c r="A215" s="5" t="s">
        <v>1918</v>
      </c>
      <c r="B215" s="62" t="s">
        <v>127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176</v>
      </c>
      <c r="H215" s="93"/>
    </row>
    <row r="216" customFormat="false" ht="180.55" hidden="false" customHeight="false" outlineLevel="0" collapsed="false">
      <c r="A216" s="5" t="s">
        <v>1919</v>
      </c>
      <c r="B216" s="62" t="s">
        <v>1089</v>
      </c>
      <c r="C216" s="94"/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1557</v>
      </c>
      <c r="H216" s="88" t="s">
        <v>1920</v>
      </c>
      <c r="O216" s="65" t="s">
        <v>1921</v>
      </c>
    </row>
    <row r="217" customFormat="false" ht="39.55" hidden="false" customHeight="false" outlineLevel="0" collapsed="false">
      <c r="A217" s="5" t="s">
        <v>1922</v>
      </c>
      <c r="B217" s="62" t="s">
        <v>1923</v>
      </c>
      <c r="C217" s="107"/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176</v>
      </c>
      <c r="H217" s="88" t="s">
        <v>1924</v>
      </c>
      <c r="O217" s="65" t="s">
        <v>1925</v>
      </c>
    </row>
    <row r="218" customFormat="false" ht="261.15" hidden="false" customHeight="false" outlineLevel="0" collapsed="false">
      <c r="A218" s="5" t="s">
        <v>1926</v>
      </c>
      <c r="B218" s="62" t="s">
        <v>117</v>
      </c>
      <c r="C218" s="74"/>
      <c r="D218" s="74" t="n">
        <f aca="false">D216/D217/AL_SpendBasis*(AL_UtilActual*CTL_ProdDerate)/IF_Util*AL_Kappa</f>
        <v>0.990101794929308</v>
      </c>
      <c r="E218" s="74" t="n">
        <f aca="false">E216/E217/AL_SpendBasis*(AL_UtilActual*CTL_ProdDerate)/IF_Util*AL_Kappa</f>
        <v>0.990101794929308</v>
      </c>
      <c r="F218" s="74" t="n">
        <f aca="false">F216/F217/AL_SpendBasis*(AL_UtilActual*CTL_ProdDerate)/IF_Util*AL_Kappa</f>
        <v>0.990101794929308</v>
      </c>
      <c r="G218" s="59" t="s">
        <v>1591</v>
      </c>
      <c r="H218" s="93" t="s">
        <v>1927</v>
      </c>
      <c r="O218" s="65" t="s">
        <v>1928</v>
      </c>
    </row>
    <row r="219" customFormat="false" ht="64.9" hidden="false" customHeight="false" outlineLevel="0" collapsed="false">
      <c r="A219" s="5" t="s">
        <v>1929</v>
      </c>
      <c r="B219" s="62" t="s">
        <v>1670</v>
      </c>
      <c r="C219" s="63"/>
      <c r="D219" s="69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9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9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176</v>
      </c>
      <c r="H219" s="88" t="s">
        <v>1930</v>
      </c>
      <c r="O219" s="65" t="s">
        <v>1931</v>
      </c>
    </row>
    <row r="220" customFormat="false" ht="26.85" hidden="false" customHeight="false" outlineLevel="0" collapsed="false">
      <c r="A220" s="5" t="s">
        <v>1932</v>
      </c>
      <c r="B220" s="62" t="s">
        <v>1670</v>
      </c>
      <c r="C220" s="63"/>
      <c r="D220" s="69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9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9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176</v>
      </c>
      <c r="H220" s="88" t="s">
        <v>1933</v>
      </c>
      <c r="O220" s="65" t="s">
        <v>1934</v>
      </c>
    </row>
    <row r="221" customFormat="false" ht="37.3" hidden="false" customHeight="false" outlineLevel="0" collapsed="false">
      <c r="A221" s="5" t="s">
        <v>1935</v>
      </c>
      <c r="B221" s="62" t="s">
        <v>132</v>
      </c>
      <c r="C221" s="107"/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176</v>
      </c>
      <c r="H221" s="88" t="s">
        <v>1936</v>
      </c>
      <c r="O221" s="65" t="s">
        <v>1937</v>
      </c>
    </row>
    <row r="222" customFormat="false" ht="29.85" hidden="false" customHeight="false" outlineLevel="0" collapsed="false">
      <c r="A222" s="5" t="s">
        <v>1684</v>
      </c>
      <c r="B222" s="62" t="s">
        <v>993</v>
      </c>
      <c r="C222" s="69"/>
      <c r="D222" s="69" t="n">
        <f aca="false">IF(AND(ISNUMBER(D219),ISNUMBER(D220)),D218/(1/D219+D221/D220),AL_UnavailTxt)</f>
        <v>59427417114.7661</v>
      </c>
      <c r="E222" s="69" t="n">
        <f aca="false">IF(AND(ISNUMBER(E219),ISNUMBER(E220)),E218/(1/E219+E221/E220),AL_UnavailTxt)</f>
        <v>58999446058.5153</v>
      </c>
      <c r="F222" s="69" t="n">
        <f aca="false">IF(AND(ISNUMBER(F219),ISNUMBER(F220)),F218/(1/F219+F221/F220),AL_UnavailTxt)</f>
        <v>59739788241.2839</v>
      </c>
      <c r="G222" s="59" t="s">
        <v>176</v>
      </c>
      <c r="H222" s="88" t="s">
        <v>1938</v>
      </c>
      <c r="O222" s="65" t="s">
        <v>1939</v>
      </c>
    </row>
    <row r="223" customFormat="false" ht="138.8" hidden="false" customHeight="false" outlineLevel="0" collapsed="false">
      <c r="A223" s="6" t="s">
        <v>1940</v>
      </c>
      <c r="B223" s="62" t="s">
        <v>132</v>
      </c>
      <c r="C223" s="106" t="n">
        <f aca="false">C119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59" t="s">
        <v>176</v>
      </c>
      <c r="H223" s="93" t="s">
        <v>1897</v>
      </c>
      <c r="O223" s="65" t="s">
        <v>1941</v>
      </c>
    </row>
    <row r="224" customFormat="false" ht="39.55" hidden="false" customHeight="false" outlineLevel="0" collapsed="false">
      <c r="A224" s="5" t="s">
        <v>1942</v>
      </c>
      <c r="B224" s="62" t="s">
        <v>132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809</v>
      </c>
      <c r="E224" s="62" t="s">
        <v>809</v>
      </c>
      <c r="F224" s="62" t="s">
        <v>809</v>
      </c>
      <c r="G224" s="59" t="s">
        <v>176</v>
      </c>
      <c r="H224" s="88" t="s">
        <v>1943</v>
      </c>
      <c r="O224" s="65" t="s">
        <v>1944</v>
      </c>
    </row>
    <row r="225" customFormat="false" ht="15" hidden="false" customHeight="false" outlineLevel="0" collapsed="false">
      <c r="A225" s="10" t="s">
        <v>1945</v>
      </c>
    </row>
    <row r="226" customFormat="false" ht="102.95" hidden="false" customHeight="false" outlineLevel="0" collapsed="false">
      <c r="A226" s="5" t="s">
        <v>1946</v>
      </c>
      <c r="B226" s="62" t="s">
        <v>127</v>
      </c>
      <c r="C226" s="150" t="n">
        <v>-0.1</v>
      </c>
      <c r="D226" s="150" t="n">
        <v>-0.25</v>
      </c>
      <c r="E226" s="150" t="n">
        <v>0.05</v>
      </c>
      <c r="F226" s="59" t="s">
        <v>128</v>
      </c>
      <c r="G226" s="93" t="s">
        <v>1947</v>
      </c>
    </row>
    <row r="227" customFormat="false" ht="26.85" hidden="false" customHeight="false" outlineLevel="0" collapsed="false">
      <c r="A227" s="5" t="s">
        <v>1948</v>
      </c>
      <c r="B227" s="61" t="s">
        <v>163</v>
      </c>
      <c r="C227" s="68" t="n">
        <v>4</v>
      </c>
      <c r="D227" s="68" t="n">
        <v>3</v>
      </c>
      <c r="E227" s="68" t="n">
        <v>5</v>
      </c>
      <c r="F227" s="59" t="s">
        <v>128</v>
      </c>
      <c r="G227" s="93" t="s">
        <v>1949</v>
      </c>
    </row>
    <row r="228" customFormat="false" ht="29.85" hidden="false" customHeight="false" outlineLevel="0" collapsed="false">
      <c r="A228" s="5" t="s">
        <v>1950</v>
      </c>
      <c r="B228" s="62" t="s">
        <v>132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1951</v>
      </c>
      <c r="G228" s="93" t="s">
        <v>1952</v>
      </c>
    </row>
    <row r="229" customFormat="false" ht="29.85" hidden="false" customHeight="false" outlineLevel="0" collapsed="false">
      <c r="A229" s="5" t="s">
        <v>1953</v>
      </c>
      <c r="B229" s="61" t="s">
        <v>163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1954</v>
      </c>
      <c r="G229" s="88" t="s">
        <v>1955</v>
      </c>
    </row>
    <row r="230" customFormat="false" ht="15" hidden="false" customHeight="false" outlineLevel="0" collapsed="false">
      <c r="A230" s="10" t="s">
        <v>1956</v>
      </c>
    </row>
    <row r="231" customFormat="false" ht="15" hidden="false" customHeight="false" outlineLevel="0" collapsed="false">
      <c r="A231" s="5"/>
      <c r="B231" s="61"/>
      <c r="C231" s="107"/>
      <c r="D231" s="107"/>
      <c r="E231" s="107"/>
      <c r="F231" s="59" t="s">
        <v>176</v>
      </c>
      <c r="G231" s="93" t="s">
        <v>1957</v>
      </c>
      <c r="O231" s="65" t="s">
        <v>1958</v>
      </c>
    </row>
    <row r="232" customFormat="false" ht="15" hidden="false" customHeight="false" outlineLevel="0" collapsed="false">
      <c r="A232" s="6" t="s">
        <v>1959</v>
      </c>
      <c r="B232" s="62" t="s">
        <v>132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176</v>
      </c>
      <c r="G232" s="93" t="s">
        <v>1960</v>
      </c>
    </row>
    <row r="233" customFormat="false" ht="29.85" hidden="false" customHeight="false" outlineLevel="0" collapsed="false">
      <c r="A233" s="6" t="s">
        <v>1961</v>
      </c>
      <c r="B233" s="62" t="s">
        <v>132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176</v>
      </c>
      <c r="G233" s="93" t="s">
        <v>1962</v>
      </c>
    </row>
    <row r="234" customFormat="false" ht="15" hidden="false" customHeight="false" outlineLevel="0" collapsed="false">
      <c r="A234" s="6" t="s">
        <v>1963</v>
      </c>
      <c r="B234" s="62" t="s">
        <v>132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176</v>
      </c>
      <c r="G234" s="93" t="s">
        <v>1964</v>
      </c>
    </row>
    <row r="235" customFormat="false" ht="15" hidden="false" customHeight="false" outlineLevel="0" collapsed="false">
      <c r="A235" s="10" t="s">
        <v>1965</v>
      </c>
    </row>
    <row r="236" customFormat="false" ht="29.85" hidden="false" customHeight="false" outlineLevel="0" collapsed="false">
      <c r="A236" s="5" t="s">
        <v>1966</v>
      </c>
      <c r="B236" s="62" t="s">
        <v>132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1967</v>
      </c>
      <c r="G236" s="88" t="s">
        <v>1968</v>
      </c>
      <c r="O236" s="65" t="s">
        <v>1969</v>
      </c>
    </row>
    <row r="237" customFormat="false" ht="29.85" hidden="false" customHeight="false" outlineLevel="0" collapsed="false">
      <c r="A237" s="5" t="s">
        <v>1970</v>
      </c>
      <c r="B237" s="62" t="s">
        <v>132</v>
      </c>
      <c r="C237" s="62" t="s">
        <v>1971</v>
      </c>
      <c r="D237" s="62" t="s">
        <v>809</v>
      </c>
      <c r="E237" s="62" t="s">
        <v>809</v>
      </c>
      <c r="F237" s="59" t="s">
        <v>1972</v>
      </c>
      <c r="G237" s="88" t="s">
        <v>1973</v>
      </c>
    </row>
    <row r="238" customFormat="false" ht="29.85" hidden="false" customHeight="false" outlineLevel="0" collapsed="false">
      <c r="A238" s="5" t="s">
        <v>1974</v>
      </c>
      <c r="B238" s="62" t="s">
        <v>132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176</v>
      </c>
      <c r="G238" s="93" t="s">
        <v>1975</v>
      </c>
      <c r="O238" s="65" t="s">
        <v>1976</v>
      </c>
    </row>
    <row r="239" customFormat="false" ht="15" hidden="false" customHeight="false" outlineLevel="0" collapsed="false">
      <c r="A239" s="10" t="s">
        <v>1977</v>
      </c>
    </row>
    <row r="240" customFormat="false" ht="41" hidden="false" customHeight="false" outlineLevel="0" collapsed="false">
      <c r="A240" s="5" t="s">
        <v>1978</v>
      </c>
      <c r="B240" s="62" t="s">
        <v>132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3.80253905516642</v>
      </c>
      <c r="F240" s="59" t="s">
        <v>176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  <c r="O240" s="65" t="s">
        <v>1979</v>
      </c>
    </row>
    <row r="241" customFormat="false" ht="29.85" hidden="false" customHeight="false" outlineLevel="0" collapsed="false">
      <c r="A241" s="5" t="s">
        <v>1980</v>
      </c>
      <c r="B241" s="62" t="s">
        <v>132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59" t="s">
        <v>176</v>
      </c>
      <c r="G241" s="88" t="s">
        <v>1981</v>
      </c>
      <c r="O241" s="65" t="s">
        <v>1982</v>
      </c>
    </row>
    <row r="242" customFormat="false" ht="15" hidden="false" customHeight="false" outlineLevel="0" collapsed="false">
      <c r="A242" s="5" t="s">
        <v>1983</v>
      </c>
      <c r="B242" s="62" t="s">
        <v>132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176</v>
      </c>
      <c r="G242" s="93" t="s">
        <v>1984</v>
      </c>
      <c r="O242" s="65" t="s">
        <v>1985</v>
      </c>
    </row>
    <row r="243" customFormat="false" ht="15" hidden="false" customHeight="false" outlineLevel="0" collapsed="false">
      <c r="A243" s="5" t="s">
        <v>1986</v>
      </c>
      <c r="B243" s="62" t="s">
        <v>132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176</v>
      </c>
      <c r="G243" s="93" t="s">
        <v>1987</v>
      </c>
      <c r="O243" s="65" t="s">
        <v>1988</v>
      </c>
    </row>
    <row r="244" customFormat="false" ht="15" hidden="false" customHeight="false" outlineLevel="0" collapsed="false">
      <c r="A244" s="10" t="s">
        <v>1989</v>
      </c>
    </row>
    <row r="245" customFormat="false" ht="15" hidden="false" customHeight="false" outlineLevel="0" collapsed="false">
      <c r="A245" s="5"/>
      <c r="B245" s="61"/>
      <c r="C245" s="107"/>
      <c r="D245" s="107"/>
      <c r="E245" s="107"/>
      <c r="F245" s="59" t="s">
        <v>1990</v>
      </c>
      <c r="G245" s="93" t="s">
        <v>1991</v>
      </c>
      <c r="O245" s="65" t="s">
        <v>1992</v>
      </c>
    </row>
    <row r="246" customFormat="false" ht="29.85" hidden="false" customHeight="false" outlineLevel="0" collapsed="false">
      <c r="A246" s="5" t="s">
        <v>1993</v>
      </c>
      <c r="B246" s="62" t="s">
        <v>132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1994</v>
      </c>
      <c r="G246" s="93" t="s">
        <v>1995</v>
      </c>
      <c r="O246" s="65" t="s">
        <v>1996</v>
      </c>
    </row>
    <row r="247" customFormat="false" ht="15" hidden="false" customHeight="false" outlineLevel="0" collapsed="false">
      <c r="A247" s="10" t="s">
        <v>1997</v>
      </c>
    </row>
    <row r="248" customFormat="false" ht="44" hidden="false" customHeight="false" outlineLevel="0" collapsed="false">
      <c r="A248" s="6" t="s">
        <v>1998</v>
      </c>
      <c r="B248" s="62" t="s">
        <v>333</v>
      </c>
      <c r="C248" s="69" t="n">
        <f aca="false">AL_TokPerPrompt</f>
        <v>4000</v>
      </c>
      <c r="D248" s="69" t="n">
        <f aca="false">AL_TokPerPrompt_Lo</f>
        <v>2000</v>
      </c>
      <c r="E248" s="69" t="n">
        <f aca="false">AL_TokPerPrompt_Hi</f>
        <v>11000</v>
      </c>
      <c r="F248" s="59" t="s">
        <v>1999</v>
      </c>
      <c r="G248" s="93" t="s">
        <v>2000</v>
      </c>
    </row>
    <row r="249" customFormat="false" ht="15" hidden="false" customHeight="false" outlineLevel="0" collapsed="false">
      <c r="A249" s="6" t="s">
        <v>2001</v>
      </c>
      <c r="B249" s="62" t="s">
        <v>117</v>
      </c>
      <c r="C249" s="74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4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4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176</v>
      </c>
      <c r="G249" s="93" t="s">
        <v>2002</v>
      </c>
    </row>
    <row r="250" customFormat="false" ht="29.85" hidden="false" customHeight="false" outlineLevel="0" collapsed="false">
      <c r="A250" s="6" t="s">
        <v>2003</v>
      </c>
      <c r="B250" s="62" t="s">
        <v>117</v>
      </c>
      <c r="C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4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176</v>
      </c>
      <c r="G250" s="88" t="s">
        <v>2004</v>
      </c>
    </row>
    <row r="251" customFormat="false" ht="26.85" hidden="false" customHeight="false" outlineLevel="0" collapsed="false">
      <c r="A251" s="5" t="s">
        <v>2005</v>
      </c>
      <c r="B251" s="62" t="s">
        <v>132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59" t="s">
        <v>176</v>
      </c>
      <c r="G251" s="93" t="s">
        <v>2006</v>
      </c>
    </row>
    <row r="252" customFormat="false" ht="29.85" hidden="false" customHeight="false" outlineLevel="0" collapsed="false">
      <c r="A252" s="5" t="s">
        <v>2007</v>
      </c>
      <c r="B252" s="62" t="s">
        <v>132</v>
      </c>
      <c r="C252" s="107" t="n">
        <f aca="false">IF(AND(ISNUMBER(C249),ISNUMBER(AL_ServeGW)),ABS(C249/AL_ServeGW-1),AL_UnavailTxt)</f>
        <v>0</v>
      </c>
      <c r="D252" s="62" t="s">
        <v>809</v>
      </c>
      <c r="E252" s="62" t="s">
        <v>809</v>
      </c>
      <c r="F252" s="59" t="s">
        <v>176</v>
      </c>
      <c r="G252" s="93" t="s">
        <v>2008</v>
      </c>
      <c r="O252" s="65" t="s">
        <v>2009</v>
      </c>
    </row>
    <row r="253" customFormat="false" ht="29.85" hidden="false" customHeight="false" outlineLevel="0" collapsed="false">
      <c r="A253" s="6" t="s">
        <v>2010</v>
      </c>
      <c r="B253" s="62" t="s">
        <v>132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59" t="s">
        <v>176</v>
      </c>
      <c r="G253" s="88" t="s">
        <v>2011</v>
      </c>
    </row>
    <row r="254" customFormat="false" ht="15" hidden="false" customHeight="false" outlineLevel="0" collapsed="false">
      <c r="A254" s="10" t="s">
        <v>2012</v>
      </c>
    </row>
    <row r="255" customFormat="false" ht="52.2" hidden="false" customHeight="false" outlineLevel="0" collapsed="false">
      <c r="A255" s="5" t="s">
        <v>2013</v>
      </c>
      <c r="B255" s="62" t="s">
        <v>132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809</v>
      </c>
      <c r="E255" s="62" t="s">
        <v>809</v>
      </c>
      <c r="F255" s="59" t="s">
        <v>176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  <c r="O255" s="65" t="s">
        <v>2014</v>
      </c>
    </row>
    <row r="256" customFormat="false" ht="29.85" hidden="false" customHeight="false" outlineLevel="0" collapsed="false">
      <c r="A256" s="5" t="s">
        <v>2015</v>
      </c>
      <c r="B256" s="62" t="s">
        <v>132</v>
      </c>
      <c r="C256" s="107" t="n">
        <f aca="false">IF(AND(ISNUMBER(C255),ISNUMBER(C174)),C255-1/C174,AL_UnavailTxt)</f>
        <v>0</v>
      </c>
      <c r="D256" s="62" t="s">
        <v>809</v>
      </c>
      <c r="E256" s="62" t="s">
        <v>809</v>
      </c>
      <c r="F256" s="59" t="s">
        <v>176</v>
      </c>
      <c r="G256" s="88" t="s">
        <v>2016</v>
      </c>
    </row>
    <row r="257" customFormat="false" ht="15" hidden="false" customHeight="false" outlineLevel="0" collapsed="false">
      <c r="A257" s="10" t="s">
        <v>2017</v>
      </c>
    </row>
    <row r="258" customFormat="false" ht="29.85" hidden="false" customHeight="false" outlineLevel="0" collapsed="false">
      <c r="A258" s="6" t="s">
        <v>2018</v>
      </c>
      <c r="B258" s="62" t="s">
        <v>1040</v>
      </c>
      <c r="C258" s="151" t="n">
        <v>2.722</v>
      </c>
      <c r="D258" s="68" t="n">
        <v>7</v>
      </c>
      <c r="E258" s="62" t="s">
        <v>809</v>
      </c>
      <c r="F258" s="59" t="s">
        <v>2019</v>
      </c>
      <c r="G258" s="93" t="s">
        <v>2020</v>
      </c>
    </row>
    <row r="259" customFormat="false" ht="29.85" hidden="false" customHeight="false" outlineLevel="0" collapsed="false">
      <c r="A259" s="6" t="s">
        <v>2021</v>
      </c>
      <c r="B259" s="62" t="s">
        <v>1040</v>
      </c>
      <c r="C259" s="151" t="n">
        <v>1.672</v>
      </c>
      <c r="D259" s="68" t="n">
        <v>4</v>
      </c>
      <c r="E259" s="62" t="s">
        <v>809</v>
      </c>
      <c r="F259" s="59" t="s">
        <v>2019</v>
      </c>
      <c r="G259" s="93" t="s">
        <v>2022</v>
      </c>
    </row>
    <row r="260" customFormat="false" ht="29.85" hidden="false" customHeight="false" outlineLevel="0" collapsed="false">
      <c r="A260" s="6" t="s">
        <v>2023</v>
      </c>
      <c r="B260" s="62" t="s">
        <v>1040</v>
      </c>
      <c r="C260" s="151" t="n">
        <v>2.341</v>
      </c>
      <c r="D260" s="68" t="n">
        <v>1</v>
      </c>
      <c r="E260" s="62" t="s">
        <v>809</v>
      </c>
      <c r="F260" s="59" t="s">
        <v>2019</v>
      </c>
      <c r="G260" s="93" t="s">
        <v>2024</v>
      </c>
    </row>
    <row r="261" customFormat="false" ht="26.85" hidden="false" customHeight="false" outlineLevel="0" collapsed="false">
      <c r="A261" s="6" t="s">
        <v>2025</v>
      </c>
      <c r="B261" s="62" t="s">
        <v>1040</v>
      </c>
      <c r="C261" s="126" t="n">
        <f aca="false">IF_PriceRef_Sol/(1-B4_Disc)</f>
        <v>2.00888888888889</v>
      </c>
      <c r="D261" s="62" t="s">
        <v>809</v>
      </c>
      <c r="E261" s="62" t="s">
        <v>809</v>
      </c>
      <c r="F261" s="59" t="s">
        <v>341</v>
      </c>
      <c r="G261" s="88" t="s">
        <v>2026</v>
      </c>
    </row>
    <row r="262" customFormat="false" ht="15" hidden="false" customHeight="false" outlineLevel="0" collapsed="false">
      <c r="A262" s="6" t="s">
        <v>2027</v>
      </c>
      <c r="B262" s="62" t="s">
        <v>1040</v>
      </c>
      <c r="C262" s="126" t="n">
        <f aca="false">(C258*D258+C259*D259+C260*D260)/(D258+D259+D260)</f>
        <v>2.34025</v>
      </c>
      <c r="D262" s="62" t="s">
        <v>809</v>
      </c>
      <c r="E262" s="62" t="s">
        <v>809</v>
      </c>
      <c r="F262" s="59" t="s">
        <v>176</v>
      </c>
      <c r="G262" s="88" t="s">
        <v>2028</v>
      </c>
    </row>
    <row r="263" customFormat="false" ht="44" hidden="false" customHeight="false" outlineLevel="0" collapsed="false">
      <c r="A263" s="5" t="s">
        <v>2029</v>
      </c>
      <c r="B263" s="62" t="s">
        <v>132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176</v>
      </c>
      <c r="G263" s="93" t="s">
        <v>2030</v>
      </c>
    </row>
    <row r="264" customFormat="false" ht="15" hidden="false" customHeight="false" outlineLevel="0" collapsed="false">
      <c r="A264" s="65" t="s">
        <v>2031</v>
      </c>
    </row>
    <row r="266" customFormat="false" ht="15" hidden="false" customHeight="false" outlineLevel="0" collapsed="false">
      <c r="A266" s="10" t="s">
        <v>2032</v>
      </c>
    </row>
    <row r="267" customFormat="false" ht="29.85" hidden="false" customHeight="false" outlineLevel="0" collapsed="false">
      <c r="A267" s="5" t="s">
        <v>2033</v>
      </c>
      <c r="B267" s="62" t="s">
        <v>1040</v>
      </c>
      <c r="C267" s="152" t="n">
        <f aca="false">AL_PriceFleet25</f>
        <v>1.68024</v>
      </c>
      <c r="D267" s="74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4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4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2034</v>
      </c>
    </row>
    <row r="268" customFormat="false" ht="44" hidden="false" customHeight="false" outlineLevel="0" collapsed="false">
      <c r="A268" s="5" t="s">
        <v>2035</v>
      </c>
      <c r="B268" s="62" t="s">
        <v>1040</v>
      </c>
      <c r="C268" s="74" t="n">
        <f aca="false">$C$281</f>
        <v>1.68024</v>
      </c>
      <c r="D268" s="74" t="n">
        <f aca="false">$C$90</f>
        <v>1.96067555555556</v>
      </c>
      <c r="E268" s="74" t="n">
        <f aca="false">$C$90</f>
        <v>1.96067555555556</v>
      </c>
      <c r="F268" s="74" t="n">
        <f aca="false">$C$90</f>
        <v>1.96067555555556</v>
      </c>
      <c r="O268" s="65" t="s">
        <v>2036</v>
      </c>
    </row>
    <row r="269" customFormat="false" ht="15" hidden="false" customHeight="false" outlineLevel="0" collapsed="false">
      <c r="A269" s="5" t="s">
        <v>2037</v>
      </c>
      <c r="B269" s="62" t="s">
        <v>132</v>
      </c>
      <c r="C269" s="74" t="n">
        <f aca="false">IF(ISNUMBER(C267),C267/C268,C267)</f>
        <v>1</v>
      </c>
      <c r="D269" s="74" t="n">
        <f aca="false">IF(ISNUMBER(D267),D267/D268,D267)</f>
        <v>1</v>
      </c>
      <c r="E269" s="74" t="n">
        <f aca="false">IF(ISNUMBER(E267),E267/E268,E267)</f>
        <v>1</v>
      </c>
      <c r="F269" s="74" t="n">
        <f aca="false">IF(ISNUMBER(F267),F267/F268,F267)</f>
        <v>1</v>
      </c>
      <c r="O269" s="65" t="s">
        <v>2038</v>
      </c>
    </row>
    <row r="271" customFormat="false" ht="15" hidden="false" customHeight="false" outlineLevel="0" collapsed="false">
      <c r="A271" s="10" t="s">
        <v>2039</v>
      </c>
    </row>
    <row r="272" customFormat="false" ht="29.85" hidden="false" customHeight="false" outlineLevel="0" collapsed="false">
      <c r="A272" s="5" t="s">
        <v>2040</v>
      </c>
      <c r="B272" s="61" t="s">
        <v>163</v>
      </c>
      <c r="C272" s="153" t="n">
        <v>1.88</v>
      </c>
      <c r="D272" s="80" t="n">
        <v>1.88</v>
      </c>
      <c r="E272" s="80" t="n">
        <v>2.17</v>
      </c>
      <c r="F272" s="62" t="s">
        <v>2041</v>
      </c>
      <c r="G272" s="65" t="s">
        <v>2042</v>
      </c>
    </row>
    <row r="273" customFormat="false" ht="29.85" hidden="false" customHeight="false" outlineLevel="0" collapsed="false">
      <c r="A273" s="5" t="s">
        <v>2043</v>
      </c>
      <c r="B273" s="61" t="s">
        <v>163</v>
      </c>
      <c r="C273" s="153" t="n">
        <v>0.41</v>
      </c>
      <c r="D273" s="80" t="n">
        <v>0.41</v>
      </c>
      <c r="E273" s="80" t="n">
        <v>0.54</v>
      </c>
      <c r="F273" s="62" t="s">
        <v>2041</v>
      </c>
      <c r="G273" s="65" t="s">
        <v>2044</v>
      </c>
    </row>
    <row r="274" customFormat="false" ht="29.85" hidden="false" customHeight="false" outlineLevel="0" collapsed="false">
      <c r="A274" s="5" t="s">
        <v>2045</v>
      </c>
      <c r="B274" s="61" t="s">
        <v>163</v>
      </c>
      <c r="C274" s="153" t="n">
        <v>1.18</v>
      </c>
      <c r="D274" s="80" t="n">
        <v>1.11</v>
      </c>
      <c r="E274" s="80" t="n">
        <v>1.24</v>
      </c>
      <c r="F274" s="62" t="s">
        <v>2041</v>
      </c>
      <c r="G274" s="65" t="s">
        <v>2046</v>
      </c>
    </row>
    <row r="276" customFormat="false" ht="15" hidden="false" customHeight="false" outlineLevel="0" collapsed="false">
      <c r="A276" s="10" t="s">
        <v>2047</v>
      </c>
    </row>
    <row r="277" customFormat="false" ht="15" hidden="false" customHeight="false" outlineLevel="0" collapsed="false">
      <c r="A277" s="10" t="s">
        <v>2048</v>
      </c>
    </row>
    <row r="278" customFormat="false" ht="29.85" hidden="false" customHeight="false" outlineLevel="0" collapsed="false">
      <c r="A278" s="6" t="s">
        <v>2049</v>
      </c>
      <c r="B278" s="62" t="s">
        <v>1040</v>
      </c>
      <c r="C278" s="154" t="n">
        <v>0.1035</v>
      </c>
      <c r="D278" s="155" t="n">
        <v>0.0669</v>
      </c>
      <c r="E278" s="155" t="n">
        <v>0.3026</v>
      </c>
      <c r="F278" s="62" t="s">
        <v>176</v>
      </c>
      <c r="G278" s="59" t="s">
        <v>2050</v>
      </c>
    </row>
    <row r="279" customFormat="false" ht="29.85" hidden="false" customHeight="false" outlineLevel="0" collapsed="false">
      <c r="A279" s="6" t="s">
        <v>2051</v>
      </c>
      <c r="B279" s="62" t="s">
        <v>1040</v>
      </c>
      <c r="C279" s="154" t="n">
        <v>2.184</v>
      </c>
      <c r="D279" s="155" t="n">
        <v>1.672</v>
      </c>
      <c r="E279" s="155" t="n">
        <v>2.338</v>
      </c>
      <c r="F279" s="62" t="s">
        <v>176</v>
      </c>
      <c r="G279" s="59" t="s">
        <v>2052</v>
      </c>
    </row>
    <row r="280" customFormat="false" ht="29.85" hidden="false" customHeight="false" outlineLevel="0" collapsed="false">
      <c r="A280" s="6" t="s">
        <v>2053</v>
      </c>
      <c r="B280" s="62" t="s">
        <v>1040</v>
      </c>
      <c r="C280" s="154" t="n">
        <v>7.174</v>
      </c>
      <c r="D280" s="155" t="n">
        <v>2.089</v>
      </c>
      <c r="E280" s="155" t="n">
        <v>16.33</v>
      </c>
      <c r="F280" s="62" t="s">
        <v>176</v>
      </c>
      <c r="G280" s="65" t="s">
        <v>2054</v>
      </c>
    </row>
    <row r="281" customFormat="false" ht="44" hidden="false" customHeight="false" outlineLevel="0" collapsed="false">
      <c r="A281" s="6" t="s">
        <v>2055</v>
      </c>
      <c r="B281" s="62" t="s">
        <v>1040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4" t="n">
        <f aca="false">(INDEX(B4_MixPaid,1,1)*CAP_Px25_Luna_Lo*(1-B4_Disc)+INDEX(B4_MixPaid,1,2)*CAP_Px25_Sol_Lo*(1-B4_Disc)+INDEX(B4_MixPaid,1,3)*CAP_Px25_Astra_Lo*(1-B4_Disc))*AL_Kappa</f>
        <v>0.874008</v>
      </c>
      <c r="E281" s="74" t="n">
        <f aca="false">(INDEX(B4_MixPaid,1,1)*CAP_Px25_Luna_Hi*(1-B4_Disc)+INDEX(B4_MixPaid,1,2)*CAP_Px25_Sol_Hi*(1-B4_Disc)+INDEX(B4_MixPaid,1,3)*CAP_Px25_Astra_Hi*(1-B4_Disc))*AL_Kappa</f>
        <v>2.898112</v>
      </c>
      <c r="F281" s="62" t="s">
        <v>176</v>
      </c>
      <c r="G281" s="65" t="s">
        <v>2056</v>
      </c>
    </row>
    <row r="282" customFormat="false" ht="15" hidden="false" customHeight="false" outlineLevel="0" collapsed="false">
      <c r="A282" s="5"/>
      <c r="B282" s="61"/>
      <c r="C282" s="107"/>
      <c r="D282" s="107"/>
      <c r="E282" s="107"/>
      <c r="F282" s="62" t="s">
        <v>176</v>
      </c>
      <c r="G282" s="65" t="s">
        <v>2057</v>
      </c>
      <c r="O282" s="65" t="s">
        <v>2058</v>
      </c>
    </row>
    <row r="283" customFormat="false" ht="15" hidden="false" customHeight="false" outlineLevel="0" collapsed="false">
      <c r="A283" s="10" t="s">
        <v>2059</v>
      </c>
    </row>
    <row r="284" customFormat="false" ht="44" hidden="false" customHeight="false" outlineLevel="0" collapsed="false">
      <c r="A284" s="6" t="s">
        <v>2060</v>
      </c>
      <c r="B284" s="62" t="s">
        <v>132</v>
      </c>
      <c r="C284" s="152" t="n">
        <f aca="false">IF(ISNUMBER(C116),SRC_DEM_007*1000000000/(C116*AL_PriceFleet),AL_UnavailTxt)</f>
        <v>0.349039941475474</v>
      </c>
      <c r="D284" s="74" t="n">
        <f aca="false">IF(ISNUMBER(D116),SRC_DEM_007*1000000000/(D116*AL_PriceFleet),AL_UnavailTxt)</f>
        <v>0.15756810631012</v>
      </c>
      <c r="E284" s="74" t="n">
        <f aca="false">IF(ISNUMBER(E116),SRC_DEM_007*1000000000/(E116*AL_PriceFleet),AL_UnavailTxt)</f>
        <v>1.01016265415255</v>
      </c>
      <c r="F284" s="62" t="s">
        <v>176</v>
      </c>
      <c r="G284" s="65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  <c r="O284" s="65" t="s">
        <v>2061</v>
      </c>
    </row>
    <row r="285" customFormat="false" ht="29.85" hidden="false" customHeight="false" outlineLevel="0" collapsed="false">
      <c r="A285" s="6" t="s">
        <v>2062</v>
      </c>
      <c r="B285" s="62" t="s">
        <v>132</v>
      </c>
      <c r="C285" s="74" t="n">
        <f aca="false">IF(ISNUMBER(C116),SRC_DEM_007*1000000000/(C116*AL_PriceFleet25_Lo),AL_UnavailTxt)</f>
        <v>0.783006655732561</v>
      </c>
      <c r="D285" s="74" t="n">
        <f aca="false">IF(ISNUMBER(D116),SRC_DEM_007*1000000000/(D116*AL_PriceFleet25_Lo),AL_UnavailTxt)</f>
        <v>0.353474950317881</v>
      </c>
      <c r="E285" s="74" t="n">
        <f aca="false">IF(ISNUMBER(E116),SRC_DEM_007*1000000000/(E116*AL_PriceFleet25_Lo),AL_UnavailTxt)</f>
        <v>2.26611338012012</v>
      </c>
      <c r="F285" s="62" t="s">
        <v>176</v>
      </c>
      <c r="G285" s="65" t="s">
        <v>2063</v>
      </c>
      <c r="O285" s="65" t="s">
        <v>2064</v>
      </c>
    </row>
    <row r="286" customFormat="false" ht="29.85" hidden="false" customHeight="false" outlineLevel="0" collapsed="false">
      <c r="A286" s="6" t="s">
        <v>2065</v>
      </c>
      <c r="B286" s="62" t="s">
        <v>132</v>
      </c>
      <c r="C286" s="74" t="n">
        <f aca="false">IF(ISNUMBER(C116),SRC_DEM_007*1000000000/(C116*AL_PriceFleet25_Hi),AL_UnavailTxt)</f>
        <v>0.236137899833928</v>
      </c>
      <c r="D286" s="74" t="n">
        <f aca="false">IF(ISNUMBER(D116),SRC_DEM_007*1000000000/(D116*AL_PriceFleet25_Hi),AL_UnavailTxt)</f>
        <v>0.106600412398634</v>
      </c>
      <c r="E286" s="74" t="n">
        <f aca="false">IF(ISNUMBER(E116),SRC_DEM_007*1000000000/(E116*AL_PriceFleet25_Hi),AL_UnavailTxt)</f>
        <v>0.683410863048779</v>
      </c>
      <c r="F286" s="62" t="s">
        <v>176</v>
      </c>
      <c r="G286" s="65" t="s">
        <v>2066</v>
      </c>
      <c r="O286" s="65" t="s">
        <v>2067</v>
      </c>
    </row>
    <row r="287" customFormat="false" ht="15" hidden="false" customHeight="false" outlineLevel="0" collapsed="false">
      <c r="A287" s="10" t="s">
        <v>2068</v>
      </c>
    </row>
    <row r="288" customFormat="false" ht="55.2" hidden="false" customHeight="false" outlineLevel="0" collapsed="false">
      <c r="A288" s="5" t="s">
        <v>2069</v>
      </c>
      <c r="B288" s="62" t="s">
        <v>132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2" t="s">
        <v>176</v>
      </c>
      <c r="G288" s="65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  <c r="O288" s="65" t="s">
        <v>2070</v>
      </c>
    </row>
    <row r="289" customFormat="false" ht="44" hidden="false" customHeight="false" outlineLevel="0" collapsed="false">
      <c r="A289" s="5" t="s">
        <v>2071</v>
      </c>
      <c r="B289" s="62" t="s">
        <v>132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176</v>
      </c>
      <c r="G289" s="65" t="s">
        <v>2072</v>
      </c>
    </row>
    <row r="290" customFormat="false" ht="15" hidden="false" customHeight="false" outlineLevel="0" collapsed="false">
      <c r="A290" s="10" t="s">
        <v>2073</v>
      </c>
    </row>
    <row r="291" customFormat="false" ht="29.85" hidden="false" customHeight="false" outlineLevel="0" collapsed="false">
      <c r="A291" s="6" t="s">
        <v>2074</v>
      </c>
      <c r="B291" s="62" t="s">
        <v>2075</v>
      </c>
      <c r="C291" s="90" t="n">
        <f aca="false">Training!$N$22</f>
        <v>180</v>
      </c>
      <c r="F291" s="62" t="s">
        <v>2076</v>
      </c>
      <c r="G291" s="65" t="s">
        <v>2077</v>
      </c>
    </row>
    <row r="292" customFormat="false" ht="29.85" hidden="false" customHeight="false" outlineLevel="0" collapsed="false">
      <c r="A292" s="6" t="s">
        <v>2078</v>
      </c>
      <c r="B292" s="62" t="s">
        <v>2075</v>
      </c>
      <c r="C292" s="156" t="n">
        <v>400</v>
      </c>
      <c r="F292" s="62" t="s">
        <v>128</v>
      </c>
      <c r="G292" s="59" t="s">
        <v>2079</v>
      </c>
    </row>
    <row r="293" customFormat="false" ht="29.85" hidden="false" customHeight="false" outlineLevel="0" collapsed="false">
      <c r="A293" s="6" t="s">
        <v>2080</v>
      </c>
      <c r="B293" s="62" t="s">
        <v>2075</v>
      </c>
      <c r="C293" s="156" t="n">
        <v>800</v>
      </c>
      <c r="F293" s="62" t="s">
        <v>128</v>
      </c>
      <c r="G293" s="59" t="s">
        <v>2079</v>
      </c>
    </row>
    <row r="294" customFormat="false" ht="41" hidden="false" customHeight="false" outlineLevel="0" collapsed="false">
      <c r="A294" s="6" t="s">
        <v>2081</v>
      </c>
      <c r="B294" s="62" t="s">
        <v>2082</v>
      </c>
      <c r="C294" s="69" t="n">
        <f aca="false">IF(ISNUMBER($C291),IF($C291&gt;0,SRC_MOD_055/(6*$C291*1000000000)/1000000000000,"—"),"—")</f>
        <v>926.018518518519</v>
      </c>
      <c r="D294" s="69" t="n">
        <f aca="false">IF(ISNUMBER($C291),IF($C291&gt;0,SRC_MOD_055_Lo/(6*$C291*1000000000)/1000000000000,"—"),"—")</f>
        <v>462.962962962963</v>
      </c>
      <c r="E294" s="69" t="n">
        <f aca="false">IF(ISNUMBER($C291),IF($C291&gt;0,SRC_MOD_055_Hi/(6*$C291*1000000000)/1000000000000,"—"),"—")</f>
        <v>1851.85185185185</v>
      </c>
      <c r="F294" s="62" t="s">
        <v>176</v>
      </c>
      <c r="G294" s="59" t="s">
        <v>2083</v>
      </c>
    </row>
    <row r="295" customFormat="false" ht="41" hidden="false" customHeight="false" outlineLevel="0" collapsed="false">
      <c r="A295" s="6" t="s">
        <v>2084</v>
      </c>
      <c r="B295" s="62" t="s">
        <v>2082</v>
      </c>
      <c r="C295" s="69" t="n">
        <f aca="false">IF(ISNUMBER($C292),IF($C292&gt;0,SRC_MOD_055/(6*$C292*1000000000)/1000000000000,"—"),"—")</f>
        <v>416.708333333333</v>
      </c>
      <c r="D295" s="69" t="n">
        <f aca="false">IF(ISNUMBER($C292),IF($C292&gt;0,SRC_MOD_055_Lo/(6*$C292*1000000000)/1000000000000,"—"),"—")</f>
        <v>208.333333333333</v>
      </c>
      <c r="E295" s="69" t="n">
        <f aca="false">IF(ISNUMBER($C292),IF($C292&gt;0,SRC_MOD_055_Hi/(6*$C292*1000000000)/1000000000000,"—"),"—")</f>
        <v>833.333333333333</v>
      </c>
      <c r="F295" s="62" t="s">
        <v>176</v>
      </c>
      <c r="G295" s="59" t="s">
        <v>2085</v>
      </c>
    </row>
    <row r="296" customFormat="false" ht="41" hidden="false" customHeight="false" outlineLevel="0" collapsed="false">
      <c r="A296" s="6" t="s">
        <v>2086</v>
      </c>
      <c r="B296" s="62" t="s">
        <v>2082</v>
      </c>
      <c r="C296" s="69" t="n">
        <f aca="false">IF(ISNUMBER($C293),IF($C293&gt;0,SRC_MOD_055/(6*$C293*1000000000)/1000000000000,"—"),"—")</f>
        <v>208.354166666667</v>
      </c>
      <c r="D296" s="69" t="n">
        <f aca="false">IF(ISNUMBER($C293),IF($C293&gt;0,SRC_MOD_055_Lo/(6*$C293*1000000000)/1000000000000,"—"),"—")</f>
        <v>104.166666666667</v>
      </c>
      <c r="E296" s="69" t="n">
        <f aca="false">IF(ISNUMBER($C293),IF($C293&gt;0,SRC_MOD_055_Hi/(6*$C293*1000000000)/1000000000000,"—"),"—")</f>
        <v>416.666666666667</v>
      </c>
      <c r="F296" s="62" t="s">
        <v>176</v>
      </c>
      <c r="G296" s="59" t="s">
        <v>2085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2087</v>
      </c>
    </row>
    <row r="2" customFormat="false" ht="15" hidden="false" customHeight="false" outlineLevel="0" collapsed="false">
      <c r="A2" s="65" t="s">
        <v>2088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7" t="s">
        <v>2089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customFormat="false" ht="30" hidden="false" customHeight="true" outlineLevel="0" collapsed="false">
      <c r="A5" s="84" t="s">
        <v>1486</v>
      </c>
      <c r="B5" s="84" t="s">
        <v>1488</v>
      </c>
      <c r="C5" s="84" t="s">
        <v>1494</v>
      </c>
      <c r="D5" s="84" t="s">
        <v>2090</v>
      </c>
      <c r="E5" s="84" t="s">
        <v>1426</v>
      </c>
      <c r="F5" s="84" t="s">
        <v>1428</v>
      </c>
      <c r="G5" s="84" t="s">
        <v>2091</v>
      </c>
      <c r="H5" s="84" t="s">
        <v>2092</v>
      </c>
      <c r="I5" s="84" t="s">
        <v>2093</v>
      </c>
      <c r="J5" s="84" t="s">
        <v>2094</v>
      </c>
      <c r="K5" s="84" t="s">
        <v>2095</v>
      </c>
      <c r="L5" s="84" t="s">
        <v>2096</v>
      </c>
      <c r="M5" s="84" t="s">
        <v>2097</v>
      </c>
      <c r="N5" s="84" t="s">
        <v>2098</v>
      </c>
      <c r="O5" s="84" t="s">
        <v>2099</v>
      </c>
      <c r="P5" s="84" t="s">
        <v>2100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90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65" t="s">
        <v>2101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90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65" t="s">
        <v>2102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90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65" t="s">
        <v>2103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90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65" t="s">
        <v>2104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90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65" t="s">
        <v>2105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90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65" t="s">
        <v>2106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90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65" t="s">
        <v>2107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90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65" t="s">
        <v>2108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90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65" t="s">
        <v>2109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90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65" t="s">
        <v>2110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90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65" t="s">
        <v>2111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90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65" t="s">
        <v>2112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90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65" t="s">
        <v>2113</v>
      </c>
    </row>
    <row r="19" customFormat="false" ht="15" hidden="false" customHeight="false" outlineLevel="0" collapsed="false">
      <c r="A19" s="65" t="s">
        <v>2114</v>
      </c>
    </row>
    <row r="21" customFormat="false" ht="15" hidden="false" customHeight="false" outlineLevel="0" collapsed="false">
      <c r="A21" s="77" t="s">
        <v>2115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</row>
    <row r="22" customFormat="false" ht="15" hidden="false" customHeight="false" outlineLevel="0" collapsed="false">
      <c r="A22" s="60" t="s">
        <v>411</v>
      </c>
      <c r="B22" s="60" t="s">
        <v>109</v>
      </c>
      <c r="C22" s="10" t="s">
        <v>302</v>
      </c>
      <c r="D22" s="10" t="s">
        <v>303</v>
      </c>
      <c r="E22" s="10" t="s">
        <v>304</v>
      </c>
    </row>
    <row r="23" customFormat="false" ht="15" hidden="false" customHeight="false" outlineLevel="0" collapsed="false">
      <c r="A23" s="5"/>
      <c r="B23" s="61"/>
      <c r="C23" s="105"/>
      <c r="D23" s="105"/>
      <c r="E23" s="105"/>
      <c r="Q23" s="65" t="s">
        <v>2116</v>
      </c>
    </row>
    <row r="24" customFormat="false" ht="29.85" hidden="false" customHeight="false" outlineLevel="0" collapsed="false">
      <c r="A24" s="6" t="s">
        <v>2117</v>
      </c>
      <c r="B24" s="62" t="s">
        <v>1040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65" t="s">
        <v>2118</v>
      </c>
    </row>
    <row r="25" customFormat="false" ht="15" hidden="false" customHeight="false" outlineLevel="0" collapsed="false">
      <c r="A25" s="5" t="s">
        <v>2119</v>
      </c>
      <c r="B25" s="62" t="s">
        <v>1040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2120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2121</v>
      </c>
      <c r="B27" s="62" t="s">
        <v>1040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  <c r="Q27" s="65" t="s">
        <v>2122</v>
      </c>
    </row>
    <row r="28" customFormat="false" ht="15" hidden="false" customHeight="false" outlineLevel="0" collapsed="false">
      <c r="A28" s="5" t="s">
        <v>2123</v>
      </c>
      <c r="B28" s="62" t="s">
        <v>1040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  <c r="Q28" s="65" t="s">
        <v>2124</v>
      </c>
    </row>
    <row r="29" customFormat="false" ht="15" hidden="false" customHeight="false" outlineLevel="0" collapsed="false">
      <c r="A29" s="5" t="s">
        <v>2125</v>
      </c>
      <c r="B29" s="62" t="s">
        <v>1040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  <c r="Q29" s="65" t="s">
        <v>2126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Q30" s="65" t="s">
        <v>2127</v>
      </c>
    </row>
    <row r="31" customFormat="false" ht="29.85" hidden="false" customHeight="false" outlineLevel="0" collapsed="false">
      <c r="A31" s="5" t="s">
        <v>2128</v>
      </c>
      <c r="B31" s="62" t="s">
        <v>1040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65" t="s">
        <v>2129</v>
      </c>
    </row>
    <row r="32" customFormat="false" ht="15" hidden="false" customHeight="false" outlineLevel="0" collapsed="false">
      <c r="A32" s="5" t="s">
        <v>2130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  <c r="Q32" s="65" t="s">
        <v>2131</v>
      </c>
    </row>
    <row r="33" customFormat="false" ht="29.85" hidden="false" customHeight="false" outlineLevel="0" collapsed="false">
      <c r="A33" s="5" t="s">
        <v>2132</v>
      </c>
      <c r="B33" s="62" t="s">
        <v>132</v>
      </c>
      <c r="C33" s="78" t="n">
        <f aca="false">IF(ISNUMBER(C31),C31/C24,"—")</f>
        <v>1.29646017699115</v>
      </c>
      <c r="D33" s="78" t="str">
        <f aca="false">IF(ISNUMBER(D31),D31/D24,"—")</f>
        <v>—</v>
      </c>
      <c r="E33" s="78" t="str">
        <f aca="false">IF(ISNUMBER(E31),E31/E24,"—")</f>
        <v>—</v>
      </c>
      <c r="Q33" s="65" t="s">
        <v>2133</v>
      </c>
    </row>
    <row r="34" customFormat="false" ht="29.85" hidden="false" customHeight="false" outlineLevel="0" collapsed="false">
      <c r="A34" s="5" t="s">
        <v>2134</v>
      </c>
      <c r="B34" s="61" t="s">
        <v>370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  <c r="Q34" s="65" t="s">
        <v>2135</v>
      </c>
    </row>
    <row r="36" customFormat="false" ht="15" hidden="false" customHeight="false" outlineLevel="0" collapsed="false">
      <c r="A36" s="77" t="s">
        <v>2136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customFormat="false" ht="44" hidden="false" customHeight="false" outlineLevel="0" collapsed="false">
      <c r="A37" s="6" t="s">
        <v>2137</v>
      </c>
      <c r="B37" s="62" t="s">
        <v>132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2138</v>
      </c>
      <c r="B38" s="62" t="s">
        <v>132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7" t="s">
        <v>2139</v>
      </c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</row>
    <row r="41" customFormat="false" ht="15" hidden="false" customHeight="false" outlineLevel="0" collapsed="false">
      <c r="A41" s="5" t="s">
        <v>2140</v>
      </c>
      <c r="B41" s="62" t="s">
        <v>1040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2141</v>
      </c>
      <c r="B42" s="62" t="s">
        <v>1040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2142</v>
      </c>
      <c r="B43" s="62" t="s">
        <v>1040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2143</v>
      </c>
      <c r="B44" s="62" t="s">
        <v>1040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2144</v>
      </c>
      <c r="B45" s="62" t="s">
        <v>1040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2145</v>
      </c>
      <c r="B46" s="62" t="s">
        <v>1040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2146</v>
      </c>
    </row>
    <row r="2" customFormat="false" ht="15" hidden="false" customHeight="false" outlineLevel="0" collapsed="false">
      <c r="A2" s="65" t="s">
        <v>2147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1077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2148</v>
      </c>
    </row>
    <row r="6" customFormat="false" ht="15" hidden="false" customHeight="false" outlineLevel="0" collapsed="false">
      <c r="A6" s="60" t="s">
        <v>494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2149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0" t="s">
        <v>2150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6" t="s">
        <v>2151</v>
      </c>
      <c r="B10" s="62" t="s">
        <v>2152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2153</v>
      </c>
      <c r="B11" s="62" t="s">
        <v>2152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2154</v>
      </c>
      <c r="B12" s="62" t="s">
        <v>2152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2155</v>
      </c>
      <c r="B13" s="62" t="s">
        <v>2152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7" t="s">
        <v>302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customFormat="false" ht="15" hidden="false" customHeight="false" outlineLevel="0" collapsed="false">
      <c r="A16" s="6" t="s">
        <v>2156</v>
      </c>
      <c r="B16" s="62" t="s">
        <v>311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2157</v>
      </c>
      <c r="B17" s="62" t="s">
        <v>1040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/>
      <c r="B18" s="61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65" t="s">
        <v>2158</v>
      </c>
    </row>
    <row r="19" customFormat="false" ht="15" hidden="false" customHeight="false" outlineLevel="0" collapsed="false">
      <c r="A19" s="5"/>
      <c r="B19" s="6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65" t="s">
        <v>2159</v>
      </c>
    </row>
    <row r="21" customFormat="false" ht="15" hidden="false" customHeight="false" outlineLevel="0" collapsed="false">
      <c r="A21" s="77" t="s">
        <v>303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</row>
    <row r="22" customFormat="false" ht="15" hidden="false" customHeight="false" outlineLevel="0" collapsed="false">
      <c r="A22" s="6" t="s">
        <v>2156</v>
      </c>
      <c r="B22" s="62" t="s">
        <v>311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2160</v>
      </c>
      <c r="B23" s="62" t="s">
        <v>1040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/>
      <c r="B24" s="61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65" t="s">
        <v>2161</v>
      </c>
    </row>
    <row r="25" customFormat="false" ht="15" hidden="false" customHeight="false" outlineLevel="0" collapsed="false">
      <c r="A25" s="5"/>
      <c r="B25" s="61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65" t="s">
        <v>2162</v>
      </c>
    </row>
    <row r="27" customFormat="false" ht="15" hidden="false" customHeight="false" outlineLevel="0" collapsed="false">
      <c r="A27" s="77" t="s">
        <v>304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6" t="s">
        <v>2156</v>
      </c>
      <c r="B28" s="62" t="s">
        <v>311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2163</v>
      </c>
      <c r="B29" s="62" t="s">
        <v>1040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/>
      <c r="B30" s="61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65" t="s">
        <v>2164</v>
      </c>
    </row>
    <row r="31" customFormat="false" ht="15" hidden="false" customHeight="false" outlineLevel="0" collapsed="false">
      <c r="A31" s="5"/>
      <c r="B31" s="61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65" t="s">
        <v>2165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2166</v>
      </c>
    </row>
    <row r="2" customFormat="false" ht="15" hidden="false" customHeight="false" outlineLevel="0" collapsed="false">
      <c r="A2" s="65" t="s">
        <v>2167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2168</v>
      </c>
    </row>
    <row r="7" customFormat="false" ht="15" hidden="false" customHeight="false" outlineLevel="0" collapsed="false">
      <c r="A7" s="60" t="s">
        <v>2149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2169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2170</v>
      </c>
      <c r="B10" s="62" t="s">
        <v>117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65" t="s">
        <v>1052</v>
      </c>
    </row>
    <row r="11" customFormat="false" ht="15" hidden="false" customHeight="false" outlineLevel="0" collapsed="false">
      <c r="A11" s="5" t="s">
        <v>2171</v>
      </c>
      <c r="B11" s="62" t="s">
        <v>117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2172</v>
      </c>
      <c r="B12" s="62" t="s">
        <v>117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2173</v>
      </c>
      <c r="B13" s="62" t="s">
        <v>117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2174</v>
      </c>
      <c r="B14" s="62" t="s">
        <v>117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  <c r="R14" s="65" t="s">
        <v>2175</v>
      </c>
    </row>
    <row r="15" customFormat="false" ht="15" hidden="false" customHeight="false" outlineLevel="0" collapsed="false">
      <c r="A15" s="5" t="s">
        <v>2176</v>
      </c>
      <c r="B15" s="62" t="s">
        <v>117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  <c r="R15" s="65" t="s">
        <v>2177</v>
      </c>
    </row>
    <row r="17" customFormat="false" ht="15" hidden="false" customHeight="false" outlineLevel="0" collapsed="false">
      <c r="A17" s="77" t="s">
        <v>2178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</row>
    <row r="18" customFormat="false" ht="29.85" hidden="false" customHeight="false" outlineLevel="0" collapsed="false">
      <c r="A18" s="5" t="s">
        <v>2179</v>
      </c>
      <c r="B18" s="61" t="s">
        <v>2180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2181</v>
      </c>
      <c r="B19" s="62" t="s">
        <v>993</v>
      </c>
      <c r="C19" s="69" t="n">
        <f aca="false">IF(C18=1,C11*IF_Util/(IF(C38=1,C44/INDEX(IF_TokGW_Luna,1,C$7),0)+IF(C39=1,C45/INDEX(IF_TokGW_Sol,1,C$7),0)+IF(C40=1,C46/INDEX(IF_TokGW_Astra,1,C$7),0)),"SLO 不可達")</f>
        <v>3408539579.55429</v>
      </c>
      <c r="D19" s="69" t="n">
        <f aca="false">IF(D18=1,D11*IF_Util/(IF(D38=1,D44/INDEX(IF_TokGW_Luna,1,D$7),0)+IF(D39=1,D45/INDEX(IF_TokGW_Sol,1,D$7),0)+IF(D40=1,D46/INDEX(IF_TokGW_Astra,1,D$7),0)),"SLO 不可達")</f>
        <v>3408539579.55429</v>
      </c>
      <c r="E19" s="69" t="n">
        <f aca="false">IF(E18=1,E11*IF_Util/(IF(E38=1,E44/INDEX(IF_TokGW_Luna,1,E$7),0)+IF(E39=1,E45/INDEX(IF_TokGW_Sol,1,E$7),0)+IF(E40=1,E46/INDEX(IF_TokGW_Astra,1,E$7),0)),"SLO 不可達")</f>
        <v>3408539579.55429</v>
      </c>
      <c r="F19" s="69" t="n">
        <f aca="false">IF(F18=1,F11*IF_Util/(IF(F38=1,F44/INDEX(IF_TokGW_Luna,1,F$7),0)+IF(F39=1,F45/INDEX(IF_TokGW_Sol,1,F$7),0)+IF(F40=1,F46/INDEX(IF_TokGW_Astra,1,F$7),0)),"SLO 不可達")</f>
        <v>14876177679.3826</v>
      </c>
      <c r="G19" s="69" t="n">
        <f aca="false">IF(G18=1,G11*IF_Util/(IF(G38=1,G44/INDEX(IF_TokGW_Luna,1,G$7),0)+IF(G39=1,G45/INDEX(IF_TokGW_Sol,1,G$7),0)+IF(G40=1,G46/INDEX(IF_TokGW_Astra,1,G$7),0)),"SLO 不可達")</f>
        <v>14876177679.3826</v>
      </c>
      <c r="H19" s="69" t="n">
        <f aca="false">IF(H18=1,H11*IF_Util/(IF(H38=1,H44/INDEX(IF_TokGW_Luna,1,H$7),0)+IF(H39=1,H45/INDEX(IF_TokGW_Sol,1,H$7),0)+IF(H40=1,H46/INDEX(IF_TokGW_Astra,1,H$7),0)),"SLO 不可達")</f>
        <v>14876177679.3826</v>
      </c>
      <c r="I19" s="69" t="n">
        <f aca="false">IF(I18=1,I11*IF_Util/(IF(I38=1,I44/INDEX(IF_TokGW_Luna,1,I$7),0)+IF(I39=1,I45/INDEX(IF_TokGW_Sol,1,I$7),0)+IF(I40=1,I46/INDEX(IF_TokGW_Astra,1,I$7),0)),"SLO 不可達")</f>
        <v>20457981993.5727</v>
      </c>
      <c r="J19" s="69" t="n">
        <f aca="false">IF(J18=1,J11*IF_Util/(IF(J38=1,J44/INDEX(IF_TokGW_Luna,1,J$7),0)+IF(J39=1,J45/INDEX(IF_TokGW_Sol,1,J$7),0)+IF(J40=1,J46/INDEX(IF_TokGW_Astra,1,J$7),0)),"SLO 不可達")</f>
        <v>20457981993.5727</v>
      </c>
      <c r="K19" s="69" t="n">
        <f aca="false">IF(K18=1,K11*IF_Util/(IF(K38=1,K44/INDEX(IF_TokGW_Luna,1,K$7),0)+IF(K39=1,K45/INDEX(IF_TokGW_Sol,1,K$7),0)+IF(K40=1,K46/INDEX(IF_TokGW_Astra,1,K$7),0)),"SLO 不可達")</f>
        <v>20457981993.5727</v>
      </c>
      <c r="L19" s="69" t="n">
        <f aca="false">IF(L18=1,L11*IF_Util/(IF(L38=1,L44/INDEX(IF_TokGW_Luna,1,L$7),0)+IF(L39=1,L45/INDEX(IF_TokGW_Sol,1,L$7),0)+IF(L40=1,L46/INDEX(IF_TokGW_Astra,1,L$7),0)),"SLO 不可達")</f>
        <v>33642913938.6076</v>
      </c>
      <c r="M19" s="69" t="n">
        <f aca="false">IF(M18=1,M11*IF_Util/(IF(M38=1,M44/INDEX(IF_TokGW_Luna,1,M$7),0)+IF(M39=1,M45/INDEX(IF_TokGW_Sol,1,M$7),0)+IF(M40=1,M46/INDEX(IF_TokGW_Astra,1,M$7),0)),"SLO 不可達")</f>
        <v>33642913938.6076</v>
      </c>
      <c r="N19" s="69" t="n">
        <f aca="false">IF(N18=1,N11*IF_Util/(IF(N38=1,N44/INDEX(IF_TokGW_Luna,1,N$7),0)+IF(N39=1,N45/INDEX(IF_TokGW_Sol,1,N$7),0)+IF(N40=1,N46/INDEX(IF_TokGW_Astra,1,N$7),0)),"SLO 不可達")</f>
        <v>33642913938.6076</v>
      </c>
      <c r="O19" s="69" t="n">
        <f aca="false">IF(O18=1,O11*IF_Util/(IF(O38=1,O44/INDEX(IF_TokGW_Luna,1,O$7),0)+IF(O39=1,O45/INDEX(IF_TokGW_Sol,1,O$7),0)+IF(O40=1,O46/INDEX(IF_TokGW_Astra,1,O$7),0)),"SLO 不可達")</f>
        <v>46721206278.4315</v>
      </c>
      <c r="P19" s="69" t="n">
        <f aca="false">IF(P18=1,P11*IF_Util/(IF(P38=1,P44/INDEX(IF_TokGW_Luna,1,P$7),0)+IF(P39=1,P45/INDEX(IF_TokGW_Sol,1,P$7),0)+IF(P40=1,P46/INDEX(IF_TokGW_Astra,1,P$7),0)),"SLO 不可達")</f>
        <v>46721206278.4315</v>
      </c>
      <c r="Q19" s="69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2182</v>
      </c>
      <c r="B20" s="62" t="s">
        <v>993</v>
      </c>
      <c r="C20" s="69" t="n">
        <f aca="false">IF(C18=1,C12*IF_Util/(IF(C38=1,C47/INDEX(IF_TokGW_Luna,1,C$7),0)+IF(C39=1,C48/INDEX(IF_TokGW_Sol,1,C$7),0)+IF(C40=1,C49/INDEX(IF_TokGW_Astra,1,C$7),0)),"SLO 不可達")</f>
        <v>10294317020.8848</v>
      </c>
      <c r="D20" s="69" t="n">
        <f aca="false">IF(D18=1,D12*IF_Util/(IF(D38=1,D47/INDEX(IF_TokGW_Luna,1,D$7),0)+IF(D39=1,D48/INDEX(IF_TokGW_Sol,1,D$7),0)+IF(D40=1,D49/INDEX(IF_TokGW_Astra,1,D$7),0)),"SLO 不可達")</f>
        <v>10294317020.8848</v>
      </c>
      <c r="E20" s="69" t="n">
        <f aca="false">IF(E18=1,E12*IF_Util/(IF(E38=1,E47/INDEX(IF_TokGW_Luna,1,E$7),0)+IF(E39=1,E48/INDEX(IF_TokGW_Sol,1,E$7),0)+IF(E40=1,E49/INDEX(IF_TokGW_Astra,1,E$7),0)),"SLO 不可達")</f>
        <v>10294317020.8848</v>
      </c>
      <c r="F20" s="69" t="n">
        <f aca="false">IF(F18=1,F12*IF_Util/(IF(F38=1,F47/INDEX(IF_TokGW_Luna,1,F$7),0)+IF(F39=1,F48/INDEX(IF_TokGW_Sol,1,F$7),0)+IF(F40=1,F49/INDEX(IF_TokGW_Astra,1,F$7),0)),"SLO 不可達")</f>
        <v>45309212326.7925</v>
      </c>
      <c r="G20" s="69" t="n">
        <f aca="false">IF(G18=1,G12*IF_Util/(IF(G38=1,G47/INDEX(IF_TokGW_Luna,1,G$7),0)+IF(G39=1,G48/INDEX(IF_TokGW_Sol,1,G$7),0)+IF(G40=1,G49/INDEX(IF_TokGW_Astra,1,G$7),0)),"SLO 不可達")</f>
        <v>45309212326.7925</v>
      </c>
      <c r="H20" s="69" t="n">
        <f aca="false">IF(H18=1,H12*IF_Util/(IF(H38=1,H47/INDEX(IF_TokGW_Luna,1,H$7),0)+IF(H39=1,H48/INDEX(IF_TokGW_Sol,1,H$7),0)+IF(H40=1,H49/INDEX(IF_TokGW_Astra,1,H$7),0)),"SLO 不可達")</f>
        <v>45309212326.7925</v>
      </c>
      <c r="I20" s="69" t="n">
        <f aca="false">IF(I18=1,I12*IF_Util/(IF(I38=1,I47/INDEX(IF_TokGW_Luna,1,I$7),0)+IF(I39=1,I48/INDEX(IF_TokGW_Sol,1,I$7),0)+IF(I40=1,I49/INDEX(IF_TokGW_Astra,1,I$7),0)),"SLO 不可達")</f>
        <v>65964595819.7211</v>
      </c>
      <c r="J20" s="69" t="n">
        <f aca="false">IF(J18=1,J12*IF_Util/(IF(J38=1,J47/INDEX(IF_TokGW_Luna,1,J$7),0)+IF(J39=1,J48/INDEX(IF_TokGW_Sol,1,J$7),0)+IF(J40=1,J49/INDEX(IF_TokGW_Astra,1,J$7),0)),"SLO 不可達")</f>
        <v>65964595819.7211</v>
      </c>
      <c r="K20" s="69" t="n">
        <f aca="false">IF(K18=1,K12*IF_Util/(IF(K38=1,K47/INDEX(IF_TokGW_Luna,1,K$7),0)+IF(K39=1,K48/INDEX(IF_TokGW_Sol,1,K$7),0)+IF(K40=1,K49/INDEX(IF_TokGW_Astra,1,K$7),0)),"SLO 不可達")</f>
        <v>65964595819.7211</v>
      </c>
      <c r="L20" s="69" t="n">
        <f aca="false">IF(L18=1,L12*IF_Util/(IF(L38=1,L47/INDEX(IF_TokGW_Luna,1,L$7),0)+IF(L39=1,L48/INDEX(IF_TokGW_Sol,1,L$7),0)+IF(L40=1,L49/INDEX(IF_TokGW_Astra,1,L$7),0)),"SLO 不可達")</f>
        <v>96210701434.4965</v>
      </c>
      <c r="M20" s="69" t="n">
        <f aca="false">IF(M18=1,M12*IF_Util/(IF(M38=1,M47/INDEX(IF_TokGW_Luna,1,M$7),0)+IF(M39=1,M48/INDEX(IF_TokGW_Sol,1,M$7),0)+IF(M40=1,M49/INDEX(IF_TokGW_Astra,1,M$7),0)),"SLO 不可達")</f>
        <v>96210701434.4965</v>
      </c>
      <c r="N20" s="69" t="n">
        <f aca="false">IF(N18=1,N12*IF_Util/(IF(N38=1,N47/INDEX(IF_TokGW_Luna,1,N$7),0)+IF(N39=1,N48/INDEX(IF_TokGW_Sol,1,N$7),0)+IF(N40=1,N49/INDEX(IF_TokGW_Astra,1,N$7),0)),"SLO 不可達")</f>
        <v>96210701434.4965</v>
      </c>
      <c r="O20" s="69" t="n">
        <f aca="false">IF(O18=1,O12*IF_Util/(IF(O38=1,O47/INDEX(IF_TokGW_Luna,1,O$7),0)+IF(O39=1,O48/INDEX(IF_TokGW_Sol,1,O$7),0)+IF(O40=1,O49/INDEX(IF_TokGW_Astra,1,O$7),0)),"SLO 不可達")</f>
        <v>129924072735.651</v>
      </c>
      <c r="P20" s="69" t="n">
        <f aca="false">IF(P18=1,P12*IF_Util/(IF(P38=1,P47/INDEX(IF_TokGW_Luna,1,P$7),0)+IF(P39=1,P48/INDEX(IF_TokGW_Sol,1,P$7),0)+IF(P40=1,P49/INDEX(IF_TokGW_Astra,1,P$7),0)),"SLO 不可達")</f>
        <v>129924072735.651</v>
      </c>
      <c r="Q20" s="69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2183</v>
      </c>
      <c r="B21" s="62" t="s">
        <v>993</v>
      </c>
      <c r="C21" s="69" t="n">
        <f aca="false">IF(AND(C18=1,C38=1),C19*C44,"SLO 不可達")</f>
        <v>1363415831.82172</v>
      </c>
      <c r="D21" s="69" t="n">
        <f aca="false">IF(AND(D18=1,D38=1),D19*D44,"SLO 不可達")</f>
        <v>1363415831.82172</v>
      </c>
      <c r="E21" s="69" t="n">
        <f aca="false">IF(AND(E18=1,E38=1),E19*E44,"SLO 不可達")</f>
        <v>1363415831.82172</v>
      </c>
      <c r="F21" s="69" t="n">
        <f aca="false">IF(AND(F18=1,F38=1),F19*F44,"SLO 不可達")</f>
        <v>5950471071.75304</v>
      </c>
      <c r="G21" s="69" t="n">
        <f aca="false">IF(AND(G18=1,G38=1),G19*G44,"SLO 不可達")</f>
        <v>5950471071.75304</v>
      </c>
      <c r="H21" s="69" t="n">
        <f aca="false">IF(AND(H18=1,H38=1),H19*H44,"SLO 不可達")</f>
        <v>5950471071.75304</v>
      </c>
      <c r="I21" s="69" t="n">
        <f aca="false">IF(AND(I18=1,I38=1),I19*I44,"SLO 不可達")</f>
        <v>8183192797.42907</v>
      </c>
      <c r="J21" s="69" t="n">
        <f aca="false">IF(AND(J18=1,J38=1),J19*J44,"SLO 不可達")</f>
        <v>8183192797.42907</v>
      </c>
      <c r="K21" s="69" t="n">
        <f aca="false">IF(AND(K18=1,K38=1),K19*K44,"SLO 不可達")</f>
        <v>8183192797.42907</v>
      </c>
      <c r="L21" s="69" t="n">
        <f aca="false">IF(AND(L18=1,L38=1),L19*L44,"SLO 不可達")</f>
        <v>13457165575.443</v>
      </c>
      <c r="M21" s="69" t="n">
        <f aca="false">IF(AND(M18=1,M38=1),M19*M44,"SLO 不可達")</f>
        <v>13457165575.443</v>
      </c>
      <c r="N21" s="69" t="n">
        <f aca="false">IF(AND(N18=1,N38=1),N19*N44,"SLO 不可達")</f>
        <v>13457165575.443</v>
      </c>
      <c r="O21" s="69" t="n">
        <f aca="false">IF(AND(O18=1,O38=1),O19*O44,"SLO 不可達")</f>
        <v>18688482511.3726</v>
      </c>
      <c r="P21" s="69" t="n">
        <f aca="false">IF(AND(P18=1,P38=1),P19*P44,"SLO 不可達")</f>
        <v>18688482511.3726</v>
      </c>
      <c r="Q21" s="69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2184</v>
      </c>
      <c r="B22" s="62" t="s">
        <v>993</v>
      </c>
      <c r="C22" s="69" t="n">
        <f aca="false">IF(AND(C18=1,C38=1),C20*C47,"SLO 不可達")</f>
        <v>9264885318.79632</v>
      </c>
      <c r="D22" s="69" t="n">
        <f aca="false">IF(AND(D18=1,D38=1),D20*D47,"SLO 不可達")</f>
        <v>9264885318.79632</v>
      </c>
      <c r="E22" s="69" t="n">
        <f aca="false">IF(AND(E18=1,E38=1),E20*E47,"SLO 不可達")</f>
        <v>9264885318.79632</v>
      </c>
      <c r="F22" s="69" t="n">
        <f aca="false">IF(AND(F18=1,F38=1),F20*F47,"SLO 不可達")</f>
        <v>40778291094.1132</v>
      </c>
      <c r="G22" s="69" t="n">
        <f aca="false">IF(AND(G18=1,G38=1),G20*G47,"SLO 不可達")</f>
        <v>40778291094.1132</v>
      </c>
      <c r="H22" s="69" t="n">
        <f aca="false">IF(AND(H18=1,H38=1),H20*H47,"SLO 不可達")</f>
        <v>40778291094.1132</v>
      </c>
      <c r="I22" s="69" t="n">
        <f aca="false">IF(AND(I18=1,I38=1),I20*I47,"SLO 不可達")</f>
        <v>59368136237.749</v>
      </c>
      <c r="J22" s="69" t="n">
        <f aca="false">IF(AND(J18=1,J38=1),J20*J47,"SLO 不可達")</f>
        <v>59368136237.749</v>
      </c>
      <c r="K22" s="69" t="n">
        <f aca="false">IF(AND(K18=1,K38=1),K20*K47,"SLO 不可達")</f>
        <v>59368136237.749</v>
      </c>
      <c r="L22" s="69" t="n">
        <f aca="false">IF(AND(L18=1,L38=1),L20*L47,"SLO 不可達")</f>
        <v>86589631291.0469</v>
      </c>
      <c r="M22" s="69" t="n">
        <f aca="false">IF(AND(M18=1,M38=1),M20*M47,"SLO 不可達")</f>
        <v>86589631291.0469</v>
      </c>
      <c r="N22" s="69" t="n">
        <f aca="false">IF(AND(N18=1,N38=1),N20*N47,"SLO 不可達")</f>
        <v>86589631291.0469</v>
      </c>
      <c r="O22" s="69" t="n">
        <f aca="false">IF(AND(O18=1,O38=1),O20*O47,"SLO 不可達")</f>
        <v>116931665462.086</v>
      </c>
      <c r="P22" s="69" t="n">
        <f aca="false">IF(AND(P18=1,P38=1),P20*P47,"SLO 不可達")</f>
        <v>116931665462.086</v>
      </c>
      <c r="Q22" s="69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2185</v>
      </c>
      <c r="B23" s="62" t="s">
        <v>117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65" t="s">
        <v>2186</v>
      </c>
    </row>
    <row r="24" customFormat="false" ht="15" hidden="false" customHeight="false" outlineLevel="0" collapsed="false">
      <c r="A24" s="6" t="s">
        <v>2187</v>
      </c>
      <c r="B24" s="62" t="s">
        <v>993</v>
      </c>
      <c r="C24" s="69" t="n">
        <f aca="false">IF(AND(C18=1,C39=1),C19*C45,"SLO 不可達")</f>
        <v>1533842810.79943</v>
      </c>
      <c r="D24" s="69" t="n">
        <f aca="false">IF(AND(D18=1,D39=1),D19*D45,"SLO 不可達")</f>
        <v>1533842810.79943</v>
      </c>
      <c r="E24" s="69" t="n">
        <f aca="false">IF(AND(E18=1,E39=1),E19*E45,"SLO 不可達")</f>
        <v>1533842810.79943</v>
      </c>
      <c r="F24" s="69" t="n">
        <f aca="false">IF(AND(F18=1,F39=1),F19*F45,"SLO 不可達")</f>
        <v>6694279955.72217</v>
      </c>
      <c r="G24" s="69" t="n">
        <f aca="false">IF(AND(G18=1,G39=1),G19*G45,"SLO 不可達")</f>
        <v>6694279955.72217</v>
      </c>
      <c r="H24" s="69" t="n">
        <f aca="false">IF(AND(H18=1,H39=1),H19*H45,"SLO 不可達")</f>
        <v>6694279955.72217</v>
      </c>
      <c r="I24" s="69" t="n">
        <f aca="false">IF(AND(I18=1,I39=1),I19*I45,"SLO 不可達")</f>
        <v>9206091897.1077</v>
      </c>
      <c r="J24" s="69" t="n">
        <f aca="false">IF(AND(J18=1,J39=1),J19*J45,"SLO 不可達")</f>
        <v>9206091897.1077</v>
      </c>
      <c r="K24" s="69" t="n">
        <f aca="false">IF(AND(K18=1,K39=1),K19*K45,"SLO 不可達")</f>
        <v>9206091897.1077</v>
      </c>
      <c r="L24" s="69" t="n">
        <f aca="false">IF(AND(L18=1,L39=1),L19*L45,"SLO 不可達")</f>
        <v>15139311272.3734</v>
      </c>
      <c r="M24" s="69" t="n">
        <f aca="false">IF(AND(M18=1,M39=1),M19*M45,"SLO 不可達")</f>
        <v>15139311272.3734</v>
      </c>
      <c r="N24" s="69" t="n">
        <f aca="false">IF(AND(N18=1,N39=1),N19*N45,"SLO 不可達")</f>
        <v>15139311272.3734</v>
      </c>
      <c r="O24" s="69" t="n">
        <f aca="false">IF(AND(O18=1,O39=1),O19*O45,"SLO 不可達")</f>
        <v>21024542825.2942</v>
      </c>
      <c r="P24" s="69" t="n">
        <f aca="false">IF(AND(P18=1,P39=1),P19*P45,"SLO 不可達")</f>
        <v>21024542825.2942</v>
      </c>
      <c r="Q24" s="69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2188</v>
      </c>
      <c r="B25" s="62" t="s">
        <v>993</v>
      </c>
      <c r="C25" s="69" t="n">
        <f aca="false">IF(AND(C18=1,C39=1),C20*C48,"SLO 不可達")</f>
        <v>1029431702.08848</v>
      </c>
      <c r="D25" s="69" t="n">
        <f aca="false">IF(AND(D18=1,D39=1),D20*D48,"SLO 不可達")</f>
        <v>1029431702.08848</v>
      </c>
      <c r="E25" s="69" t="n">
        <f aca="false">IF(AND(E18=1,E39=1),E20*E48,"SLO 不可達")</f>
        <v>1029431702.08848</v>
      </c>
      <c r="F25" s="69" t="n">
        <f aca="false">IF(AND(F18=1,F39=1),F20*F48,"SLO 不可達")</f>
        <v>4530921232.67925</v>
      </c>
      <c r="G25" s="69" t="n">
        <f aca="false">IF(AND(G18=1,G39=1),G20*G48,"SLO 不可達")</f>
        <v>4530921232.67925</v>
      </c>
      <c r="H25" s="69" t="n">
        <f aca="false">IF(AND(H18=1,H39=1),H20*H48,"SLO 不可達")</f>
        <v>4530921232.67925</v>
      </c>
      <c r="I25" s="69" t="n">
        <f aca="false">IF(AND(I18=1,I39=1),I20*I48,"SLO 不可達")</f>
        <v>6596459581.97212</v>
      </c>
      <c r="J25" s="69" t="n">
        <f aca="false">IF(AND(J18=1,J39=1),J20*J48,"SLO 不可達")</f>
        <v>6596459581.97212</v>
      </c>
      <c r="K25" s="69" t="n">
        <f aca="false">IF(AND(K18=1,K39=1),K20*K48,"SLO 不可達")</f>
        <v>6596459581.97212</v>
      </c>
      <c r="L25" s="69" t="n">
        <f aca="false">IF(AND(L18=1,L39=1),L20*L48,"SLO 不可達")</f>
        <v>9621070143.44965</v>
      </c>
      <c r="M25" s="69" t="n">
        <f aca="false">IF(AND(M18=1,M39=1),M20*M48,"SLO 不可達")</f>
        <v>9621070143.44965</v>
      </c>
      <c r="N25" s="69" t="n">
        <f aca="false">IF(AND(N18=1,N39=1),N20*N48,"SLO 不可達")</f>
        <v>9621070143.44965</v>
      </c>
      <c r="O25" s="69" t="n">
        <f aca="false">IF(AND(O18=1,O39=1),O20*O48,"SLO 不可達")</f>
        <v>12992407273.5651</v>
      </c>
      <c r="P25" s="69" t="n">
        <f aca="false">IF(AND(P18=1,P39=1),P20*P48,"SLO 不可達")</f>
        <v>12992407273.5651</v>
      </c>
      <c r="Q25" s="69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2189</v>
      </c>
      <c r="B26" s="62" t="s">
        <v>117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65" t="s">
        <v>2190</v>
      </c>
    </row>
    <row r="27" customFormat="false" ht="15" hidden="false" customHeight="false" outlineLevel="0" collapsed="false">
      <c r="A27" s="6" t="s">
        <v>2191</v>
      </c>
      <c r="B27" s="62" t="s">
        <v>993</v>
      </c>
      <c r="C27" s="69" t="n">
        <f aca="false">IF(AND(C18=1,C40=1),C19*C46,"SLO 不可達")</f>
        <v>511280936.933144</v>
      </c>
      <c r="D27" s="69" t="n">
        <f aca="false">IF(AND(D18=1,D40=1),D19*D46,"SLO 不可達")</f>
        <v>511280936.933144</v>
      </c>
      <c r="E27" s="69" t="n">
        <f aca="false">IF(AND(E18=1,E40=1),E19*E46,"SLO 不可達")</f>
        <v>511280936.933144</v>
      </c>
      <c r="F27" s="69" t="n">
        <f aca="false">IF(AND(F18=1,F40=1),F19*F46,"SLO 不可達")</f>
        <v>2231426651.90739</v>
      </c>
      <c r="G27" s="69" t="n">
        <f aca="false">IF(AND(G18=1,G40=1),G19*G46,"SLO 不可達")</f>
        <v>2231426651.90739</v>
      </c>
      <c r="H27" s="69" t="n">
        <f aca="false">IF(AND(H18=1,H40=1),H19*H46,"SLO 不可達")</f>
        <v>2231426651.90739</v>
      </c>
      <c r="I27" s="69" t="n">
        <f aca="false">IF(AND(I18=1,I40=1),I19*I46,"SLO 不可達")</f>
        <v>3068697299.0359</v>
      </c>
      <c r="J27" s="69" t="n">
        <f aca="false">IF(AND(J18=1,J40=1),J19*J46,"SLO 不可達")</f>
        <v>3068697299.0359</v>
      </c>
      <c r="K27" s="69" t="n">
        <f aca="false">IF(AND(K18=1,K40=1),K19*K46,"SLO 不可達")</f>
        <v>3068697299.0359</v>
      </c>
      <c r="L27" s="69" t="n">
        <f aca="false">IF(AND(L18=1,L40=1),L19*L46,"SLO 不可達")</f>
        <v>5046437090.79114</v>
      </c>
      <c r="M27" s="69" t="n">
        <f aca="false">IF(AND(M18=1,M40=1),M19*M46,"SLO 不可達")</f>
        <v>5046437090.79114</v>
      </c>
      <c r="N27" s="69" t="n">
        <f aca="false">IF(AND(N18=1,N40=1),N19*N46,"SLO 不可達")</f>
        <v>5046437090.79114</v>
      </c>
      <c r="O27" s="69" t="n">
        <f aca="false">IF(AND(O18=1,O40=1),O19*O46,"SLO 不可達")</f>
        <v>7008180941.76473</v>
      </c>
      <c r="P27" s="69" t="n">
        <f aca="false">IF(AND(P18=1,P40=1),P19*P46,"SLO 不可達")</f>
        <v>7008180941.76473</v>
      </c>
      <c r="Q27" s="69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2192</v>
      </c>
      <c r="B28" s="62" t="s">
        <v>993</v>
      </c>
      <c r="C28" s="69" t="n">
        <f aca="false">IF(AND(C18=1,C40=1),C20*C49,"SLO 不可達")</f>
        <v>0</v>
      </c>
      <c r="D28" s="69" t="n">
        <f aca="false">IF(AND(D18=1,D40=1),D20*D49,"SLO 不可達")</f>
        <v>0</v>
      </c>
      <c r="E28" s="69" t="n">
        <f aca="false">IF(AND(E18=1,E40=1),E20*E49,"SLO 不可達")</f>
        <v>0</v>
      </c>
      <c r="F28" s="69" t="n">
        <f aca="false">IF(AND(F18=1,F40=1),F20*F49,"SLO 不可達")</f>
        <v>0</v>
      </c>
      <c r="G28" s="69" t="n">
        <f aca="false">IF(AND(G18=1,G40=1),G20*G49,"SLO 不可達")</f>
        <v>0</v>
      </c>
      <c r="H28" s="69" t="n">
        <f aca="false">IF(AND(H18=1,H40=1),H20*H49,"SLO 不可達")</f>
        <v>0</v>
      </c>
      <c r="I28" s="69" t="n">
        <f aca="false">IF(AND(I18=1,I40=1),I20*I49,"SLO 不可達")</f>
        <v>0</v>
      </c>
      <c r="J28" s="69" t="n">
        <f aca="false">IF(AND(J18=1,J40=1),J20*J49,"SLO 不可達")</f>
        <v>0</v>
      </c>
      <c r="K28" s="69" t="n">
        <f aca="false">IF(AND(K18=1,K40=1),K20*K49,"SLO 不可達")</f>
        <v>0</v>
      </c>
      <c r="L28" s="69" t="n">
        <f aca="false">IF(AND(L18=1,L40=1),L20*L49,"SLO 不可達")</f>
        <v>0</v>
      </c>
      <c r="M28" s="69" t="n">
        <f aca="false">IF(AND(M18=1,M40=1),M20*M49,"SLO 不可達")</f>
        <v>0</v>
      </c>
      <c r="N28" s="69" t="n">
        <f aca="false">IF(AND(N18=1,N40=1),N20*N49,"SLO 不可達")</f>
        <v>0</v>
      </c>
      <c r="O28" s="69" t="n">
        <f aca="false">IF(AND(O18=1,O40=1),O20*O49,"SLO 不可達")</f>
        <v>0</v>
      </c>
      <c r="P28" s="69" t="n">
        <f aca="false">IF(AND(P18=1,P40=1),P20*P49,"SLO 不可達")</f>
        <v>0</v>
      </c>
      <c r="Q28" s="69" t="n">
        <f aca="false">IF(AND(Q18=1,Q40=1),Q20*Q49,"SLO 不可達")</f>
        <v>0</v>
      </c>
    </row>
    <row r="29" customFormat="false" ht="15" hidden="false" customHeight="false" outlineLevel="0" collapsed="false">
      <c r="A29" s="6" t="s">
        <v>2193</v>
      </c>
      <c r="B29" s="62" t="s">
        <v>117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65" t="s">
        <v>2194</v>
      </c>
    </row>
    <row r="30" customFormat="false" ht="15" hidden="false" customHeight="false" outlineLevel="0" collapsed="false">
      <c r="A30" s="5" t="s">
        <v>2195</v>
      </c>
      <c r="B30" s="62" t="s">
        <v>117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65" t="s">
        <v>2196</v>
      </c>
    </row>
    <row r="32" customFormat="false" ht="15" hidden="false" customHeight="false" outlineLevel="0" collapsed="false">
      <c r="A32" s="77" t="s">
        <v>2197</v>
      </c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</row>
    <row r="33" customFormat="false" ht="15" hidden="false" customHeight="false" outlineLevel="0" collapsed="false">
      <c r="A33" s="5" t="s">
        <v>2198</v>
      </c>
      <c r="B33" s="62" t="s">
        <v>127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0.0694649251990391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0.0694649251990391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0.0694649251990391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65" t="s">
        <v>2199</v>
      </c>
    </row>
    <row r="34" customFormat="false" ht="29.85" hidden="false" customHeight="false" outlineLevel="0" collapsed="false">
      <c r="A34" s="5" t="s">
        <v>2200</v>
      </c>
      <c r="B34" s="61" t="s">
        <v>370</v>
      </c>
      <c r="C34" s="89" t="n">
        <f aca="false">IF(ISNUMBER(C33),C13/C33,C33)</f>
        <v>3.07484102812514</v>
      </c>
      <c r="D34" s="89" t="n">
        <f aca="false">IF(ISNUMBER(D33),D13/D33,D33)</f>
        <v>3.07484102812514</v>
      </c>
      <c r="E34" s="89" t="n">
        <f aca="false">IF(ISNUMBER(E33),E13/E33,E33)</f>
        <v>3.07484102812514</v>
      </c>
      <c r="F34" s="89" t="n">
        <f aca="false">IF(ISNUMBER(F33),F13/F33,F33)</f>
        <v>8.49349507408901</v>
      </c>
      <c r="G34" s="89" t="n">
        <f aca="false">IF(ISNUMBER(G33),G13/G33,G33)</f>
        <v>8.49349507408901</v>
      </c>
      <c r="H34" s="89" t="n">
        <f aca="false">IF(ISNUMBER(H33),H13/H33,H33)</f>
        <v>8.49349507408901</v>
      </c>
      <c r="I34" s="89" t="n">
        <f aca="false">IF(ISNUMBER(I33),I13/I33,I33)</f>
        <v>7.45489057086418</v>
      </c>
      <c r="J34" s="89" t="n">
        <f aca="false">IF(ISNUMBER(J33),J13/J33,J33)</f>
        <v>7.45489057086418</v>
      </c>
      <c r="K34" s="89" t="n">
        <f aca="false">IF(ISNUMBER(K33),K13/K33,K33)</f>
        <v>7.45489057086418</v>
      </c>
      <c r="L34" s="89" t="n">
        <f aca="false">IF(ISNUMBER(L33),L13/L33,L33)</f>
        <v>12.1291102743968</v>
      </c>
      <c r="M34" s="89" t="n">
        <f aca="false">IF(ISNUMBER(M33),M13/M33,M33)</f>
        <v>12.1291102743968</v>
      </c>
      <c r="N34" s="89" t="n">
        <f aca="false">IF(ISNUMBER(N33),N13/N33,N33)</f>
        <v>12.1291102743968</v>
      </c>
      <c r="O34" s="89" t="n">
        <f aca="false">IF(ISNUMBER(O33),O13/O33,O33)</f>
        <v>17.8840183480344</v>
      </c>
      <c r="P34" s="89" t="n">
        <f aca="false">IF(ISNUMBER(P33),P13/P33,P33)</f>
        <v>17.8840183480344</v>
      </c>
      <c r="Q34" s="89" t="n">
        <f aca="false">IF(ISNUMBER(Q33),Q13/Q33,Q33)</f>
        <v>17.8840183480344</v>
      </c>
      <c r="R34" s="65" t="s">
        <v>1069</v>
      </c>
    </row>
    <row r="35" customFormat="false" ht="15" hidden="false" customHeight="false" outlineLevel="0" collapsed="false">
      <c r="A35" s="65" t="s">
        <v>2201</v>
      </c>
    </row>
    <row r="37" customFormat="false" ht="15" hidden="false" customHeight="false" outlineLevel="0" collapsed="false">
      <c r="A37" s="77" t="s">
        <v>2202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</row>
    <row r="38" customFormat="false" ht="15" hidden="false" customHeight="false" outlineLevel="0" collapsed="false">
      <c r="A38" s="6" t="s">
        <v>2203</v>
      </c>
      <c r="B38" s="61" t="s">
        <v>2180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2204</v>
      </c>
      <c r="B39" s="61" t="s">
        <v>2180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2205</v>
      </c>
      <c r="B40" s="61" t="s">
        <v>2180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2206</v>
      </c>
      <c r="B41" s="62" t="s">
        <v>127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2207</v>
      </c>
      <c r="B42" s="62" t="s">
        <v>127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2208</v>
      </c>
      <c r="B43" s="61" t="s">
        <v>1790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  <c r="R43" s="65" t="s">
        <v>2209</v>
      </c>
    </row>
    <row r="44" customFormat="false" ht="15" hidden="false" customHeight="false" outlineLevel="0" collapsed="false">
      <c r="A44" s="6" t="s">
        <v>2210</v>
      </c>
      <c r="B44" s="62" t="s">
        <v>127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2211</v>
      </c>
      <c r="B45" s="62" t="s">
        <v>127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2212</v>
      </c>
      <c r="B46" s="62" t="s">
        <v>127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2213</v>
      </c>
      <c r="B47" s="62" t="s">
        <v>127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2214</v>
      </c>
      <c r="B48" s="62" t="s">
        <v>127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2215</v>
      </c>
      <c r="B49" s="62" t="s">
        <v>127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2216</v>
      </c>
    </row>
    <row r="2" customFormat="false" ht="15" hidden="false" customHeight="false" outlineLevel="0" collapsed="false">
      <c r="A2" s="65" t="s">
        <v>2217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2168</v>
      </c>
    </row>
    <row r="7" customFormat="false" ht="15" hidden="false" customHeight="false" outlineLevel="0" collapsed="false">
      <c r="A7" s="60" t="s">
        <v>2149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302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2218</v>
      </c>
      <c r="B10" s="62" t="s">
        <v>1087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18.2732852679089</v>
      </c>
      <c r="G10" s="75" t="n">
        <f aca="false">INDEX(IF_ProgCost_Luna,1,G$7)</f>
        <v>24.3986797333728</v>
      </c>
      <c r="H10" s="75" t="n">
        <f aca="false">INDEX(IF_ProgCost_Luna,1,H$7)</f>
        <v>39.5726971458684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2219</v>
      </c>
      <c r="B11" s="62" t="s">
        <v>993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2220</v>
      </c>
      <c r="B12" s="62" t="s">
        <v>2221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2222</v>
      </c>
      <c r="B13" s="62" t="s">
        <v>1040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0.00307089725293388</v>
      </c>
      <c r="G13" s="159" t="n">
        <f aca="false">IF(AND(ISNUMBER(G12),ISNUMBER(G10)),IF(G12&gt;0,G10*1000000/G12,0),"SLO 不可達")</f>
        <v>0.00410029381525669</v>
      </c>
      <c r="H13" s="159" t="n">
        <f aca="false">IF(AND(ISNUMBER(H12),ISNUMBER(H10)),IF(H12&gt;0,H10*1000000/H12,0),"SLO 不可達")</f>
        <v>0.0066503469504659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2223</v>
      </c>
      <c r="B14" s="62" t="s">
        <v>1040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2224</v>
      </c>
      <c r="B15" s="62" t="s">
        <v>1040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2225</v>
      </c>
      <c r="B16" s="62" t="s">
        <v>132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10.4052118258267</v>
      </c>
      <c r="G16" s="75" t="n">
        <f aca="false">IF(AND(ISNUMBER(G13),ISNUMBER(G15)),IF(G13&gt;0,G15/G13,0),"SLO 不可達")</f>
        <v>10.4039374545171</v>
      </c>
      <c r="H16" s="75" t="n">
        <f aca="false">IF(AND(ISNUMBER(H13),ISNUMBER(H15)),IF(H13&gt;0,H15/H13,0),"SLO 不可達")</f>
        <v>10.4024797030589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  <c r="R16" s="65" t="s">
        <v>2226</v>
      </c>
    </row>
    <row r="18" customFormat="false" ht="15" hidden="false" customHeight="false" outlineLevel="0" collapsed="false">
      <c r="A18" s="77" t="s">
        <v>303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</row>
    <row r="19" customFormat="false" ht="15" hidden="false" customHeight="false" outlineLevel="0" collapsed="false">
      <c r="A19" s="5" t="s">
        <v>2218</v>
      </c>
      <c r="B19" s="62" t="s">
        <v>1087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58.6856239928768</v>
      </c>
      <c r="G19" s="75" t="n">
        <f aca="false">INDEX(IF_ProgCost_Sol,1,G$7)</f>
        <v>78.3576529213344</v>
      </c>
      <c r="H19" s="75" t="n">
        <f aca="false">INDEX(IF_ProgCost_Sol,1,H$7)</f>
        <v>127.089813957256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2219</v>
      </c>
      <c r="B20" s="62" t="s">
        <v>993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2220</v>
      </c>
      <c r="B21" s="62" t="s">
        <v>2221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2227</v>
      </c>
      <c r="B22" s="62" t="s">
        <v>1040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0.00876653267880038</v>
      </c>
      <c r="G22" s="159" t="n">
        <f aca="false">IF(AND(ISNUMBER(G21),ISNUMBER(G19)),IF(G21&gt;0,G19*1000000/G21,0),"SLO 不可達")</f>
        <v>0.0117051652215942</v>
      </c>
      <c r="H22" s="159" t="n">
        <f aca="false">IF(AND(ISNUMBER(H21),ISNUMBER(H19)),IF(H21&gt;0,H19*1000000/H21,0),"SLO 不可達")</f>
        <v>0.0189848370247231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2223</v>
      </c>
      <c r="B23" s="62" t="s">
        <v>1040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2228</v>
      </c>
      <c r="B24" s="62" t="s">
        <v>1040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2225</v>
      </c>
      <c r="B25" s="62" t="s">
        <v>132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12.4073750404995</v>
      </c>
      <c r="G25" s="75" t="n">
        <f aca="false">IF(AND(ISNUMBER(G22),ISNUMBER(G24)),IF(G22&gt;0,G24/G22,0),"SLO 不可達")</f>
        <v>12.4067417619253</v>
      </c>
      <c r="H25" s="75" t="n">
        <f aca="false">IF(AND(ISNUMBER(H22),ISNUMBER(H24)),IF(H22&gt;0,H24/H22,0),"SLO 不可達")</f>
        <v>12.4060173554998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  <c r="R25" s="65" t="s">
        <v>2229</v>
      </c>
    </row>
    <row r="26" customFormat="false" ht="29.85" hidden="false" customHeight="false" outlineLevel="0" collapsed="false">
      <c r="A26" s="5" t="s">
        <v>2230</v>
      </c>
      <c r="B26" s="62" t="s">
        <v>127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0.00574193599420728</v>
      </c>
      <c r="G26" s="162" t="n">
        <f aca="false">IF(ISNUMBER(G22),G22/(INDEX(B4_EffRef,1,2)-INDEX(B4_EffRef,1,1)),"SLO 不可達")</f>
        <v>0.0076666924046888</v>
      </c>
      <c r="H26" s="162" t="n">
        <f aca="false">IF(ISNUMBER(H22),H22/(INDEX(B4_EffRef,1,2)-INDEX(B4_EffRef,1,1)),"SLO 不可達")</f>
        <v>0.0124347587638644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  <c r="R26" s="65" t="s">
        <v>2231</v>
      </c>
    </row>
    <row r="28" customFormat="false" ht="15" hidden="false" customHeight="false" outlineLevel="0" collapsed="false">
      <c r="A28" s="77" t="s">
        <v>304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</row>
    <row r="29" customFormat="false" ht="15" hidden="false" customHeight="false" outlineLevel="0" collapsed="false">
      <c r="A29" s="5" t="s">
        <v>2218</v>
      </c>
      <c r="B29" s="62" t="s">
        <v>1087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382.330413796237</v>
      </c>
      <c r="G29" s="75" t="n">
        <f aca="false">INDEX(IF_ProgCost_Astra,1,G$7)</f>
        <v>510.491528029966</v>
      </c>
      <c r="H29" s="75" t="n">
        <f aca="false">INDEX(IF_ProgCost_Astra,1,H$7)</f>
        <v>827.976220640721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2219</v>
      </c>
      <c r="B30" s="62" t="s">
        <v>993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2220</v>
      </c>
      <c r="B31" s="62" t="s">
        <v>2221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2232</v>
      </c>
      <c r="B32" s="62" t="s">
        <v>1040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0.228452001604401</v>
      </c>
      <c r="G32" s="159" t="n">
        <f aca="false">IF(AND(ISNUMBER(G31),ISNUMBER(G29)),IF(G31&gt;0,G29*1000000/G31,0),"SLO 不可達")</f>
        <v>0.305031478460118</v>
      </c>
      <c r="H32" s="159" t="n">
        <f aca="false">IF(AND(ISNUMBER(H31),ISNUMBER(H29)),IF(H31&gt;0,H29*1000000/H31,0),"SLO 不可達")</f>
        <v>0.49473653693433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2223</v>
      </c>
      <c r="B33" s="62" t="s">
        <v>1040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2233</v>
      </c>
      <c r="B34" s="62" t="s">
        <v>1040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2225</v>
      </c>
      <c r="B35" s="62" t="s">
        <v>132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2.33446948009898</v>
      </c>
      <c r="G35" s="75" t="n">
        <f aca="false">IF(AND(ISNUMBER(G32),ISNUMBER(G34)),IF(G32&gt;0,G34/G32,0),"SLO 不可達")</f>
        <v>2.33411645386881</v>
      </c>
      <c r="H35" s="75" t="n">
        <f aca="false">IF(AND(ISNUMBER(H32),ISNUMBER(H34)),IF(H32&gt;0,H34/H32,0),"SLO 不可達")</f>
        <v>2.3337126276857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  <c r="R35" s="65" t="s">
        <v>2234</v>
      </c>
    </row>
    <row r="36" customFormat="false" ht="29.85" hidden="false" customHeight="false" outlineLevel="0" collapsed="false">
      <c r="A36" s="5" t="s">
        <v>2230</v>
      </c>
      <c r="B36" s="62" t="s">
        <v>127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0.0355376800062155</v>
      </c>
      <c r="G36" s="162" t="n">
        <f aca="false">IF(ISNUMBER(G32),G32/(INDEX(B4_EffRef,1,3)-INDEX(B4_EffRef,1,2)),"SLO 不可達")</f>
        <v>0.0474502783832456</v>
      </c>
      <c r="H36" s="162" t="n">
        <f aca="false">IF(ISNUMBER(H32),H32/(INDEX(B4_EffRef,1,3)-INDEX(B4_EffRef,1,2)),"SLO 不可達")</f>
        <v>0.0769605370645909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  <c r="R36" s="65" t="s">
        <v>2235</v>
      </c>
    </row>
    <row r="38" customFormat="false" ht="15" hidden="false" customHeight="false" outlineLevel="0" collapsed="false">
      <c r="A38" s="77" t="s">
        <v>2236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</row>
    <row r="39" customFormat="false" ht="15" hidden="false" customHeight="false" outlineLevel="0" collapsed="false">
      <c r="A39" s="5" t="s">
        <v>2237</v>
      </c>
      <c r="B39" s="62" t="s">
        <v>2238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2239</v>
      </c>
      <c r="B40" s="62" t="s">
        <v>2238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586.732794322435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783.411703361328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1270.63080529075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2240</v>
      </c>
      <c r="B41" s="62" t="s">
        <v>132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6.65405577203961</v>
      </c>
      <c r="G41" s="104" t="n">
        <f aca="false">IF(ISNUMBER(G39),IF(G40&gt;0,G39/G40,0),"SLO 不可達")</f>
        <v>6.65333116055444</v>
      </c>
      <c r="H41" s="104" t="n">
        <f aca="false">IF(ISNUMBER(H39),IF(H40&gt;0,H39/H40,0),"SLO 不可達")</f>
        <v>6.65250227854715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2241</v>
      </c>
      <c r="B42" s="62" t="s">
        <v>2238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2242</v>
      </c>
      <c r="B43" s="62" t="s">
        <v>1040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0.0204339215912253</v>
      </c>
      <c r="G43" s="159" t="n">
        <f aca="false">IF(AND(ISNUMBER(G13),ISNUMBER(G41)),G13*G41,"SLO 不可達")</f>
        <v>0.027280612608476</v>
      </c>
      <c r="H43" s="159" t="n">
        <f aca="false">IF(AND(ISNUMBER(H13),ISNUMBER(H41)),H13*H41,"SLO 不可達")</f>
        <v>0.0442414482411035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2243</v>
      </c>
      <c r="B44" s="62" t="s">
        <v>1040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2244</v>
      </c>
      <c r="B45" s="62" t="s">
        <v>1040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0.0583329973721456</v>
      </c>
      <c r="G45" s="159" t="n">
        <f aca="false">IF(AND(ISNUMBER(G22),ISNUMBER(G41)),G22*G41,"SLO 不可達")</f>
        <v>0.0778783405082709</v>
      </c>
      <c r="H45" s="159" t="n">
        <f aca="false">IF(AND(ISNUMBER(H22),ISNUMBER(H41)),H22*H41,"SLO 不可達")</f>
        <v>0.126296671564817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2245</v>
      </c>
      <c r="B46" s="62" t="s">
        <v>1040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2246</v>
      </c>
      <c r="B47" s="62" t="s">
        <v>1040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1.52013235990977</v>
      </c>
      <c r="G47" s="159" t="n">
        <f aca="false">IF(AND(ISNUMBER(G32),ISNUMBER(G41)),G32*G41,"SLO 不可達")</f>
        <v>2.02947544058869</v>
      </c>
      <c r="H47" s="159" t="n">
        <f aca="false">IF(AND(ISNUMBER(H32),ISNUMBER(H41)),H32*H41,"SLO 不可達")</f>
        <v>3.29123593923616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2247</v>
      </c>
      <c r="B48" s="62" t="s">
        <v>1040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2248</v>
      </c>
      <c r="B49" s="62" t="s">
        <v>127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65" t="s">
        <v>2249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2250</v>
      </c>
    </row>
    <row r="2" customFormat="false" ht="15" hidden="false" customHeight="false" outlineLevel="0" collapsed="false">
      <c r="A2" s="59" t="s">
        <v>2251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200</v>
      </c>
      <c r="C4" s="83" t="str">
        <f aca="false">Unit_Cost!C4</f>
        <v>Hopper H100</v>
      </c>
      <c r="D4" s="83" t="str">
        <f aca="false">Unit_Cost!D4</f>
        <v>Hopper H100</v>
      </c>
      <c r="E4" s="83" t="str">
        <f aca="false">Unit_Cost!E4</f>
        <v>Hopper H100</v>
      </c>
      <c r="F4" s="83" t="str">
        <f aca="false">Unit_Cost!F4</f>
        <v>GB200 NVL72</v>
      </c>
      <c r="G4" s="83" t="str">
        <f aca="false">Unit_Cost!G4</f>
        <v>GB200 NVL72</v>
      </c>
      <c r="H4" s="83" t="str">
        <f aca="false">Unit_Cost!H4</f>
        <v>GB200 NVL72</v>
      </c>
      <c r="I4" s="83" t="str">
        <f aca="false">Unit_Cost!I4</f>
        <v>GB300 NVL72</v>
      </c>
      <c r="J4" s="83" t="str">
        <f aca="false">Unit_Cost!J4</f>
        <v>GB300 NVL72</v>
      </c>
      <c r="K4" s="83" t="str">
        <f aca="false">Unit_Cost!K4</f>
        <v>GB300 NVL72</v>
      </c>
      <c r="L4" s="83" t="str">
        <f aca="false">Unit_Cost!L4</f>
        <v>VR200 NVL72</v>
      </c>
      <c r="M4" s="83" t="str">
        <f aca="false">Unit_Cost!M4</f>
        <v>VR200 NVL72</v>
      </c>
      <c r="N4" s="83" t="str">
        <f aca="false">Unit_Cost!N4</f>
        <v>VR200 NVL72</v>
      </c>
      <c r="O4" s="83" t="str">
        <f aca="false">Unit_Cost!O4</f>
        <v>Rubin Ultra（MGX NVL 單架，72 GPU）</v>
      </c>
      <c r="P4" s="83" t="str">
        <f aca="false">Unit_Cost!P4</f>
        <v>Rubin Ultra（MGX NVL 單架，72 GPU）</v>
      </c>
      <c r="Q4" s="83" t="str">
        <f aca="false">Unit_Cost!Q4</f>
        <v>Rubin Ultra（MGX NVL 單架，72 GPU）</v>
      </c>
      <c r="R4" s="65" t="s">
        <v>912</v>
      </c>
    </row>
    <row r="5" customFormat="false" ht="15" hidden="false" customHeight="false" outlineLevel="0" collapsed="false">
      <c r="A5" s="60" t="s">
        <v>28</v>
      </c>
      <c r="C5" s="83" t="str">
        <f aca="false">Unit_Cost!C5</f>
        <v>低成本</v>
      </c>
      <c r="D5" s="83" t="str">
        <f aca="false">Unit_Cost!D5</f>
        <v>基準</v>
      </c>
      <c r="E5" s="83" t="str">
        <f aca="false">Unit_Cost!E5</f>
        <v>高成本</v>
      </c>
      <c r="F5" s="83" t="str">
        <f aca="false">Unit_Cost!F5</f>
        <v>低成本</v>
      </c>
      <c r="G5" s="83" t="str">
        <f aca="false">Unit_Cost!G5</f>
        <v>基準</v>
      </c>
      <c r="H5" s="83" t="str">
        <f aca="false">Unit_Cost!H5</f>
        <v>高成本</v>
      </c>
      <c r="I5" s="83" t="str">
        <f aca="false">Unit_Cost!I5</f>
        <v>低成本</v>
      </c>
      <c r="J5" s="83" t="str">
        <f aca="false">Unit_Cost!J5</f>
        <v>基準</v>
      </c>
      <c r="K5" s="83" t="str">
        <f aca="false">Unit_Cost!K5</f>
        <v>高成本</v>
      </c>
      <c r="L5" s="83" t="str">
        <f aca="false">Unit_Cost!L5</f>
        <v>低成本</v>
      </c>
      <c r="M5" s="83" t="str">
        <f aca="false">Unit_Cost!M5</f>
        <v>基準</v>
      </c>
      <c r="N5" s="83" t="str">
        <f aca="false">Unit_Cost!N5</f>
        <v>高成本</v>
      </c>
      <c r="O5" s="83" t="str">
        <f aca="false">Unit_Cost!O5</f>
        <v>低成本</v>
      </c>
      <c r="P5" s="83" t="str">
        <f aca="false">Unit_Cost!P5</f>
        <v>基準</v>
      </c>
      <c r="Q5" s="83" t="str">
        <f aca="false">Unit_Cost!Q5</f>
        <v>高成本</v>
      </c>
      <c r="R5" s="65" t="s">
        <v>914</v>
      </c>
    </row>
    <row r="6" customFormat="false" ht="15" hidden="false" customHeight="false" outlineLevel="0" collapsed="false">
      <c r="A6" s="60" t="s">
        <v>494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65" t="s">
        <v>2168</v>
      </c>
    </row>
    <row r="7" customFormat="false" ht="15" hidden="false" customHeight="false" outlineLevel="0" collapsed="false">
      <c r="A7" s="60" t="s">
        <v>2149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7" t="s">
        <v>2252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customFormat="false" ht="15" hidden="false" customHeight="false" outlineLevel="0" collapsed="false">
      <c r="A10" s="5" t="s">
        <v>2253</v>
      </c>
      <c r="B10" s="62" t="s">
        <v>993</v>
      </c>
      <c r="C10" s="69" t="n">
        <f aca="false">IF(ISNUMBER(INDEX(IF_TokGW_Luna,1,C$7)),INDEX(IF_TokGW_Luna,1,C$7)*IF_Util,INDEX(IF_TokGW_Luna,1,C$7))</f>
        <v>67336944306.2829</v>
      </c>
      <c r="D10" s="69" t="n">
        <f aca="false">IF(ISNUMBER(INDEX(IF_TokGW_Luna,1,D$7)),INDEX(IF_TokGW_Luna,1,D$7)*IF_Util,INDEX(IF_TokGW_Luna,1,D$7))</f>
        <v>67336944306.2829</v>
      </c>
      <c r="E10" s="69" t="n">
        <f aca="false">IF(ISNUMBER(INDEX(IF_TokGW_Luna,1,E$7)),INDEX(IF_TokGW_Luna,1,E$7)*IF_Util,INDEX(IF_TokGW_Luna,1,E$7))</f>
        <v>67336944306.2829</v>
      </c>
      <c r="F10" s="69" t="n">
        <f aca="false">IF(ISNUMBER(INDEX(IF_TokGW_Luna,1,F$7)),INDEX(IF_TokGW_Luna,1,F$7)*IF_Util,INDEX(IF_TokGW_Luna,1,F$7))</f>
        <v>298037482955.404</v>
      </c>
      <c r="G10" s="69" t="n">
        <f aca="false">IF(ISNUMBER(INDEX(IF_TokGW_Luna,1,G$7)),INDEX(IF_TokGW_Luna,1,G$7)*IF_Util,INDEX(IF_TokGW_Luna,1,G$7))</f>
        <v>298037482955.404</v>
      </c>
      <c r="H10" s="69" t="n">
        <f aca="false">IF(ISNUMBER(INDEX(IF_TokGW_Luna,1,H$7)),INDEX(IF_TokGW_Luna,1,H$7)*IF_Util,INDEX(IF_TokGW_Luna,1,H$7))</f>
        <v>298037482955.404</v>
      </c>
      <c r="I10" s="69" t="n">
        <f aca="false">IF(ISNUMBER(INDEX(IF_TokGW_Luna,1,I$7)),INDEX(IF_TokGW_Luna,1,I$7)*IF_Util,INDEX(IF_TokGW_Luna,1,I$7))</f>
        <v>433905625206.705</v>
      </c>
      <c r="J10" s="69" t="n">
        <f aca="false">IF(ISNUMBER(INDEX(IF_TokGW_Luna,1,J$7)),INDEX(IF_TokGW_Luna,1,J$7)*IF_Util,INDEX(IF_TokGW_Luna,1,J$7))</f>
        <v>433905625206.705</v>
      </c>
      <c r="K10" s="69" t="n">
        <f aca="false">IF(ISNUMBER(INDEX(IF_TokGW_Luna,1,K$7)),INDEX(IF_TokGW_Luna,1,K$7)*IF_Util,INDEX(IF_TokGW_Luna,1,K$7))</f>
        <v>433905625206.705</v>
      </c>
      <c r="L10" s="69" t="n">
        <f aca="false">IF(ISNUMBER(INDEX(IF_TokGW_Luna,1,L$7)),INDEX(IF_TokGW_Luna,1,L$7)*IF_Util,INDEX(IF_TokGW_Luna,1,L$7))</f>
        <v>625960623400.238</v>
      </c>
      <c r="M10" s="69" t="n">
        <f aca="false">IF(ISNUMBER(INDEX(IF_TokGW_Luna,1,M$7)),INDEX(IF_TokGW_Luna,1,M$7)*IF_Util,INDEX(IF_TokGW_Luna,1,M$7))</f>
        <v>625960623400.238</v>
      </c>
      <c r="N10" s="69" t="n">
        <f aca="false">IF(ISNUMBER(INDEX(IF_TokGW_Luna,1,N$7)),INDEX(IF_TokGW_Luna,1,N$7)*IF_Util,INDEX(IF_TokGW_Luna,1,N$7))</f>
        <v>625960623400.238</v>
      </c>
      <c r="O10" s="69" t="n">
        <f aca="false">IF(ISNUMBER(INDEX(IF_TokGW_Luna,1,O$7)),INDEX(IF_TokGW_Luna,1,O$7)*IF_Util,INDEX(IF_TokGW_Luna,1,O$7))</f>
        <v>842752789515.931</v>
      </c>
      <c r="P10" s="69" t="n">
        <f aca="false">IF(ISNUMBER(INDEX(IF_TokGW_Luna,1,P$7)),INDEX(IF_TokGW_Luna,1,P$7)*IF_Util,INDEX(IF_TokGW_Luna,1,P$7))</f>
        <v>842752789515.931</v>
      </c>
      <c r="Q10" s="69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2254</v>
      </c>
      <c r="B11" s="62" t="s">
        <v>2255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2256</v>
      </c>
      <c r="B12" s="62" t="s">
        <v>2255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/>
      <c r="B13" s="61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65" t="s">
        <v>2257</v>
      </c>
    </row>
    <row r="14" customFormat="false" ht="15" hidden="false" customHeight="false" outlineLevel="0" collapsed="false">
      <c r="A14" s="5" t="s">
        <v>2258</v>
      </c>
      <c r="B14" s="62" t="s">
        <v>2255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  <c r="R14" s="65" t="s">
        <v>2259</v>
      </c>
    </row>
    <row r="15" customFormat="false" ht="15" hidden="false" customHeight="false" outlineLevel="0" collapsed="false">
      <c r="A15" s="5" t="s">
        <v>2260</v>
      </c>
      <c r="B15" s="62" t="s">
        <v>132</v>
      </c>
      <c r="C15" s="89" t="n">
        <f aca="false">IF(ISNUMBER(C11),C11/C14,C11)</f>
        <v>0.796766026794283</v>
      </c>
      <c r="D15" s="89" t="n">
        <f aca="false">IF(ISNUMBER(D11),D11/D14,D11)</f>
        <v>0.557647005493599</v>
      </c>
      <c r="E15" s="89" t="n">
        <f aca="false">IF(ISNUMBER(E11),E11/E14,E11)</f>
        <v>0.324710293985956</v>
      </c>
      <c r="F15" s="89" t="n">
        <f aca="false">IF(ISNUMBER(F11),F11/F14,F11)</f>
        <v>3.62214655077695</v>
      </c>
      <c r="G15" s="89" t="n">
        <f aca="false">IF(ISNUMBER(G11),G11/G14,G11)</f>
        <v>2.71279093491219</v>
      </c>
      <c r="H15" s="89" t="n">
        <f aca="false">IF(ISNUMBER(H11),H11/H14,H11)</f>
        <v>1.67258038946759</v>
      </c>
      <c r="I15" s="89" t="n">
        <f aca="false">IF(ISNUMBER(I11),I11/I14,I11)</f>
        <v>4.13656956528255</v>
      </c>
      <c r="J15" s="89" t="n">
        <f aca="false">IF(ISNUMBER(J11),J11/J14,J11)</f>
        <v>3.20277523652262</v>
      </c>
      <c r="K15" s="89" t="n">
        <f aca="false">IF(ISNUMBER(K11),K11/K14,K11)</f>
        <v>1.88116506272282</v>
      </c>
      <c r="L15" s="89" t="n">
        <f aca="false">IF(ISNUMBER(L11),L11/L14,L11)</f>
        <v>5.28795278672807</v>
      </c>
      <c r="M15" s="89" t="n">
        <f aca="false">IF(ISNUMBER(M11),M11/M14,M11)</f>
        <v>4.11431294797293</v>
      </c>
      <c r="N15" s="89" t="n">
        <f aca="false">IF(ISNUMBER(N11),N11/N14,N11)</f>
        <v>2.54672490529538</v>
      </c>
      <c r="O15" s="89" t="n">
        <f aca="false">IF(ISNUMBER(O11),O11/O14,O11)</f>
        <v>6.70324860706132</v>
      </c>
      <c r="P15" s="89" t="n">
        <f aca="false">IF(ISNUMBER(P11),P11/P14,P11)</f>
        <v>4.41042983389369</v>
      </c>
      <c r="Q15" s="89" t="n">
        <f aca="false">IF(ISNUMBER(Q11),Q11/Q14,Q11)</f>
        <v>2.41595706963646</v>
      </c>
      <c r="R15" s="65" t="s">
        <v>2261</v>
      </c>
    </row>
    <row r="16" customFormat="false" ht="15" hidden="false" customHeight="false" outlineLevel="0" collapsed="false">
      <c r="A16" s="5" t="s">
        <v>2262</v>
      </c>
      <c r="B16" s="62" t="s">
        <v>132</v>
      </c>
      <c r="C16" s="87" t="n">
        <f aca="false">IF(ISNUMBER(C12),C12/C14,C12)</f>
        <v>0.796766026794283</v>
      </c>
      <c r="D16" s="87" t="n">
        <f aca="false">IF(ISNUMBER(D12),D12/D14,D12)</f>
        <v>0.557647005493599</v>
      </c>
      <c r="E16" s="87" t="n">
        <f aca="false">IF(ISNUMBER(E12),E12/E14,E12)</f>
        <v>0.324710293985956</v>
      </c>
      <c r="F16" s="87" t="n">
        <f aca="false">IF(ISNUMBER(F12),F12/F14,F12)</f>
        <v>3.62214655077695</v>
      </c>
      <c r="G16" s="87" t="n">
        <f aca="false">IF(ISNUMBER(G12),G12/G14,G12)</f>
        <v>2.71279093491219</v>
      </c>
      <c r="H16" s="87" t="n">
        <f aca="false">IF(ISNUMBER(H12),H12/H14,H12)</f>
        <v>1.67258038946759</v>
      </c>
      <c r="I16" s="87" t="n">
        <f aca="false">IF(ISNUMBER(I12),I12/I14,I12)</f>
        <v>4.13656956528255</v>
      </c>
      <c r="J16" s="87" t="n">
        <f aca="false">IF(ISNUMBER(J12),J12/J14,J12)</f>
        <v>3.20277523652262</v>
      </c>
      <c r="K16" s="87" t="n">
        <f aca="false">IF(ISNUMBER(K12),K12/K14,K12)</f>
        <v>1.88116506272282</v>
      </c>
      <c r="L16" s="87" t="n">
        <f aca="false">IF(ISNUMBER(L12),L12/L14,L12)</f>
        <v>5.28795278672807</v>
      </c>
      <c r="M16" s="87" t="n">
        <f aca="false">IF(ISNUMBER(M12),M12/M14,M12)</f>
        <v>4.11431294797293</v>
      </c>
      <c r="N16" s="87" t="n">
        <f aca="false">IF(ISNUMBER(N12),N12/N14,N12)</f>
        <v>2.54672490529538</v>
      </c>
      <c r="O16" s="87" t="n">
        <f aca="false">IF(ISNUMBER(O12),O12/O14,O12)</f>
        <v>6.70324860706132</v>
      </c>
      <c r="P16" s="87" t="n">
        <f aca="false">IF(ISNUMBER(P12),P12/P14,P12)</f>
        <v>4.41042983389369</v>
      </c>
      <c r="Q16" s="87" t="n">
        <f aca="false">IF(ISNUMBER(Q12),Q12/Q14,Q12)</f>
        <v>2.41595706963646</v>
      </c>
      <c r="R16" s="65" t="s">
        <v>2263</v>
      </c>
    </row>
    <row r="17" customFormat="false" ht="15" hidden="false" customHeight="false" outlineLevel="0" collapsed="false">
      <c r="A17" s="5" t="s">
        <v>2264</v>
      </c>
      <c r="B17" s="62" t="s">
        <v>1040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15" hidden="false" customHeight="false" outlineLevel="0" collapsed="false">
      <c r="A18" s="5" t="s">
        <v>2265</v>
      </c>
      <c r="B18" s="62" t="s">
        <v>1040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0.0252757581494963</v>
      </c>
      <c r="G18" s="161" t="n">
        <f aca="false">IF(AND(ISNUMBER(G17),ISNUMBER(Amortize!G13)),G17+Amortize!G13,"SLO 不可達")</f>
        <v>0.0337448229061386</v>
      </c>
      <c r="H18" s="161" t="n">
        <f aca="false">IF(AND(ISNUMBER(H17),ISNUMBER(Amortize!H13)),H17+Amortize!H13,"SLO 不可達")</f>
        <v>0.0547246531537095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2266</v>
      </c>
      <c r="B19" s="62" t="s">
        <v>1040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  <c r="R19" s="65" t="s">
        <v>2267</v>
      </c>
    </row>
    <row r="20" customFormat="false" ht="26.85" hidden="false" customHeight="false" outlineLevel="0" collapsed="false">
      <c r="A20" s="5" t="s">
        <v>2268</v>
      </c>
      <c r="B20" s="62" t="s">
        <v>1040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0.0426387824877877</v>
      </c>
      <c r="G20" s="161" t="n">
        <f aca="false">IF(AND(ISNUMBER(G17),ISNUMBER(Amortize!G43)),G17+Amortize!G43,"SLO 不可達")</f>
        <v>0.0569251416993579</v>
      </c>
      <c r="H20" s="161" t="n">
        <f aca="false">IF(AND(ISNUMBER(H17),ISNUMBER(Amortize!H43)),H17+Amortize!H43,"SLO 不可達")</f>
        <v>0.0923157544443471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2269</v>
      </c>
      <c r="B21" s="62" t="s">
        <v>127</v>
      </c>
      <c r="C21" s="86" t="n">
        <f aca="false">IF(ISNUMBER(C17),1-C17/INDEX(B4_EffRef,1,1),"SLO 不可達")</f>
        <v>-0.255293395971721</v>
      </c>
      <c r="D21" s="86" t="n">
        <f aca="false">IF(ISNUMBER(D17),1-D17/INDEX(B4_EffRef,1,1),"SLO 不可達")</f>
        <v>-0.793505366332655</v>
      </c>
      <c r="E21" s="86" t="n">
        <f aca="false">IF(ISNUMBER(E17),1-E17/INDEX(B4_EffRef,1,1),"SLO 不可達")</f>
        <v>-2.08001167228443</v>
      </c>
      <c r="F21" s="86" t="n">
        <f aca="false">IF(ISNUMBER(F17),1-F17/INDEX(B4_EffRef,1,1),"SLO 不可達")</f>
        <v>0.723667383754063</v>
      </c>
      <c r="G21" s="86" t="n">
        <f aca="false">IF(ISNUMBER(G17),1-G17/INDEX(B4_EffRef,1,1),"SLO 不可達")</f>
        <v>0.631083017397764</v>
      </c>
      <c r="H21" s="86" t="n">
        <f aca="false">IF(ISNUMBER(H17),1-H17/INDEX(B4_EffRef,1,1),"SLO 不可達")</f>
        <v>0.401730149572466</v>
      </c>
      <c r="I21" s="86" t="n">
        <f aca="false">IF(ISNUMBER(I17),1-I17/INDEX(B4_EffRef,1,1),"SLO 不可達")</f>
        <v>0.757963443605409</v>
      </c>
      <c r="J21" s="86" t="n">
        <f aca="false">IF(ISNUMBER(J17),1-J17/INDEX(B4_EffRef,1,1),"SLO 不可達")</f>
        <v>0.687435084329037</v>
      </c>
      <c r="K21" s="86" t="n">
        <f aca="false">IF(ISNUMBER(K17),1-K17/INDEX(B4_EffRef,1,1),"SLO 不可達")</f>
        <v>0.467937699638041</v>
      </c>
      <c r="L21" s="86" t="n">
        <f aca="false">IF(ISNUMBER(L17),1-L17/INDEX(B4_EffRef,1,1),"SLO 不可達")</f>
        <v>0.810463076272116</v>
      </c>
      <c r="M21" s="86" t="n">
        <f aca="false">IF(ISNUMBER(M17),1-M17/INDEX(B4_EffRef,1,1),"SLO 不可達")</f>
        <v>0.756434645856228</v>
      </c>
      <c r="N21" s="86" t="n">
        <f aca="false">IF(ISNUMBER(N17),1-N17/INDEX(B4_EffRef,1,1),"SLO 不可達")</f>
        <v>0.606595605299774</v>
      </c>
      <c r="O21" s="86" t="n">
        <f aca="false">IF(ISNUMBER(O17),1-O17/INDEX(B4_EffRef,1,1),"SLO 不可達")</f>
        <v>0.850217620408077</v>
      </c>
      <c r="P21" s="86" t="n">
        <f aca="false">IF(ISNUMBER(P17),1-P17/INDEX(B4_EffRef,1,1),"SLO 不可達")</f>
        <v>0.772421401256057</v>
      </c>
      <c r="Q21" s="86" t="n">
        <f aca="false">IF(ISNUMBER(Q17),1-Q17/INDEX(B4_EffRef,1,1),"SLO 不可達")</f>
        <v>0.584657117042067</v>
      </c>
      <c r="R21" s="65" t="s">
        <v>2270</v>
      </c>
    </row>
    <row r="22" customFormat="false" ht="15" hidden="false" customHeight="false" outlineLevel="0" collapsed="false">
      <c r="A22" s="5" t="s">
        <v>2271</v>
      </c>
      <c r="B22" s="62" t="s">
        <v>127</v>
      </c>
      <c r="C22" s="86" t="n">
        <f aca="false">IF(ISNUMBER(C18),1-C18/INDEX(B4_EffRef,1,1),"SLO 不可達")</f>
        <v>-0.83017374623821</v>
      </c>
      <c r="D22" s="86" t="n">
        <f aca="false">IF(ISNUMBER(D18),1-D18/INDEX(B4_EffRef,1,1),"SLO 不可達")</f>
        <v>-1.61489439568555</v>
      </c>
      <c r="E22" s="86" t="n">
        <f aca="false">IF(ISNUMBER(E18),1-E18/INDEX(B4_EffRef,1,1),"SLO 不可達")</f>
        <v>-3.49063874831962</v>
      </c>
      <c r="F22" s="86" t="n">
        <f aca="false">IF(ISNUMBER(F18),1-F18/INDEX(B4_EffRef,1,1),"SLO 不可達")</f>
        <v>0.685451018604167</v>
      </c>
      <c r="G22" s="86" t="n">
        <f aca="false">IF(ISNUMBER(G18),1-G18/INDEX(B4_EffRef,1,1),"SLO 不可達")</f>
        <v>0.580056130869403</v>
      </c>
      <c r="H22" s="86" t="n">
        <f aca="false">IF(ISNUMBER(H18),1-H18/INDEX(B4_EffRef,1,1),"SLO 不可達")</f>
        <v>0.318968641615894</v>
      </c>
      <c r="I22" s="86" t="n">
        <f aca="false">IF(ISNUMBER(I18),1-I18/INDEX(B4_EffRef,1,1),"SLO 不可達")</f>
        <v>0.715291594879135</v>
      </c>
      <c r="J22" s="86" t="n">
        <f aca="false">IF(ISNUMBER(J18),1-J18/INDEX(B4_EffRef,1,1),"SLO 不可達")</f>
        <v>0.632321922243052</v>
      </c>
      <c r="K22" s="86" t="n">
        <f aca="false">IF(ISNUMBER(K18),1-K18/INDEX(B4_EffRef,1,1),"SLO 不可達")</f>
        <v>0.37410485411413</v>
      </c>
      <c r="L22" s="86" t="n">
        <f aca="false">IF(ISNUMBER(L18),1-L18/INDEX(B4_EffRef,1,1),"SLO 不可達")</f>
        <v>0.791072783433876</v>
      </c>
      <c r="M22" s="86" t="n">
        <f aca="false">IF(ISNUMBER(M18),1-M18/INDEX(B4_EffRef,1,1),"SLO 不可達")</f>
        <v>0.731513120841957</v>
      </c>
      <c r="N22" s="86" t="n">
        <f aca="false">IF(ISNUMBER(N18),1-N18/INDEX(B4_EffRef,1,1),"SLO 不可達")</f>
        <v>0.566334109903767</v>
      </c>
      <c r="O22" s="86" t="n">
        <f aca="false">IF(ISNUMBER(O18),1-O18/INDEX(B4_EffRef,1,1),"SLO 不可達")</f>
        <v>0.840594563188821</v>
      </c>
      <c r="P22" s="86" t="n">
        <f aca="false">IF(ISNUMBER(P18),1-P18/INDEX(B4_EffRef,1,1),"SLO 不可達")</f>
        <v>0.757795673757814</v>
      </c>
      <c r="Q22" s="86" t="n">
        <f aca="false">IF(ISNUMBER(Q18),1-Q18/INDEX(B4_EffRef,1,1),"SLO 不可達")</f>
        <v>0.557957244883182</v>
      </c>
      <c r="R22" s="65" t="s">
        <v>2272</v>
      </c>
    </row>
    <row r="23" customFormat="false" ht="15" hidden="false" customHeight="false" outlineLevel="0" collapsed="false">
      <c r="A23" s="5" t="s">
        <v>2273</v>
      </c>
      <c r="B23" s="62" t="s">
        <v>127</v>
      </c>
      <c r="C23" s="86" t="n">
        <f aca="false">IF(ISNUMBER(C19),1-C19/INDEX(B4_EffRef,1,1),"SLO 不可達")</f>
        <v>-2.06169120968712</v>
      </c>
      <c r="D23" s="86" t="n">
        <f aca="false">IF(ISNUMBER(D19),1-D19/INDEX(B4_EffRef,1,1),"SLO 不可達")</f>
        <v>-3.37440333251867</v>
      </c>
      <c r="E23" s="86" t="n">
        <f aca="false">IF(ISNUMBER(E19),1-E19/INDEX(B4_EffRef,1,1),"SLO 不可達")</f>
        <v>-6.51222359093764</v>
      </c>
      <c r="F23" s="86" t="n">
        <f aca="false">IF(ISNUMBER(F19),1-F19/INDEX(B4_EffRef,1,1),"SLO 不可達")</f>
        <v>0.326018009156251</v>
      </c>
      <c r="G23" s="86" t="n">
        <f aca="false">IF(ISNUMBER(G19),1-G19/INDEX(B4_EffRef,1,1),"SLO 不可達")</f>
        <v>0.10020248145796</v>
      </c>
      <c r="H23" s="86" t="n">
        <f aca="false">IF(ISNUMBER(H19),1-H19/INDEX(B4_EffRef,1,1),"SLO 不可達")</f>
        <v>-0.459194757140327</v>
      </c>
      <c r="I23" s="86" t="n">
        <f aca="false">IF(ISNUMBER(I19),1-I19/INDEX(B4_EffRef,1,1),"SLO 不可達")</f>
        <v>0.409666935622949</v>
      </c>
      <c r="J23" s="86" t="n">
        <f aca="false">IF(ISNUMBER(J19),1-J19/INDEX(B4_EffRef,1,1),"SLO 不可達")</f>
        <v>0.237646547143992</v>
      </c>
      <c r="K23" s="86" t="n">
        <f aca="false">IF(ISNUMBER(K19),1-K19/INDEX(B4_EffRef,1,1),"SLO 不可達")</f>
        <v>-0.297712927712095</v>
      </c>
      <c r="L23" s="86" t="n">
        <f aca="false">IF(ISNUMBER(L19),1-L19/INDEX(B4_EffRef,1,1),"SLO 不可達")</f>
        <v>0.537714820175894</v>
      </c>
      <c r="M23" s="86" t="n">
        <f aca="false">IF(ISNUMBER(M19),1-M19/INDEX(B4_EffRef,1,1),"SLO 不可達")</f>
        <v>0.405938160624946</v>
      </c>
      <c r="N23" s="86" t="n">
        <f aca="false">IF(ISNUMBER(N19),1-N19/INDEX(B4_EffRef,1,1),"SLO 不可達")</f>
        <v>0.0404770860970102</v>
      </c>
      <c r="O23" s="86" t="n">
        <f aca="false">IF(ISNUMBER(O19),1-O19/INDEX(B4_EffRef,1,1),"SLO 不可達")</f>
        <v>0.634677122946529</v>
      </c>
      <c r="P23" s="86" t="n">
        <f aca="false">IF(ISNUMBER(P19),1-P19/INDEX(B4_EffRef,1,1),"SLO 不可達")</f>
        <v>0.444930246965994</v>
      </c>
      <c r="Q23" s="86" t="n">
        <f aca="false">IF(ISNUMBER(Q19),1-Q19/INDEX(B4_EffRef,1,1),"SLO 不可達")</f>
        <v>-0.0130314218486163</v>
      </c>
      <c r="R23" s="65" t="s">
        <v>2274</v>
      </c>
    </row>
    <row r="24" customFormat="false" ht="15" hidden="false" customHeight="false" outlineLevel="0" collapsed="false">
      <c r="A24" s="5" t="s">
        <v>2275</v>
      </c>
      <c r="B24" s="62" t="s">
        <v>127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0.469373558642023</v>
      </c>
      <c r="G24" s="117" t="n">
        <f aca="false">IF(ISNUMBER(G20),1-G20/INDEX(B4_EffRef,1,1),"SLO 不可達")</f>
        <v>0.291584243232548</v>
      </c>
      <c r="H24" s="117" t="n">
        <f aca="false">IF(ISNUMBER(H20),1-H20/INDEX(B4_EffRef,1,1),"SLO 不可達")</f>
        <v>-0.148840970684629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2276</v>
      </c>
      <c r="B25" s="62" t="s">
        <v>127</v>
      </c>
      <c r="C25" s="86" t="n">
        <f aca="false">IF(ISNUMBER(C19),1-C19/INDEX(B4_FrontRef,1,1),"SLO 不可達")</f>
        <v>-2.06169120968712</v>
      </c>
      <c r="D25" s="86" t="n">
        <f aca="false">IF(ISNUMBER(D19),1-D19/INDEX(B4_FrontRef,1,1),"SLO 不可達")</f>
        <v>-3.37440333251867</v>
      </c>
      <c r="E25" s="86" t="n">
        <f aca="false">IF(ISNUMBER(E19),1-E19/INDEX(B4_FrontRef,1,1),"SLO 不可達")</f>
        <v>-6.51222359093764</v>
      </c>
      <c r="F25" s="86" t="n">
        <f aca="false">IF(ISNUMBER(F19),1-F19/INDEX(B4_FrontRef,1,1),"SLO 不可達")</f>
        <v>0.326018009156251</v>
      </c>
      <c r="G25" s="86" t="n">
        <f aca="false">IF(ISNUMBER(G19),1-G19/INDEX(B4_FrontRef,1,1),"SLO 不可達")</f>
        <v>0.10020248145796</v>
      </c>
      <c r="H25" s="86" t="n">
        <f aca="false">IF(ISNUMBER(H19),1-H19/INDEX(B4_FrontRef,1,1),"SLO 不可達")</f>
        <v>-0.459194757140327</v>
      </c>
      <c r="I25" s="86" t="n">
        <f aca="false">IF(ISNUMBER(I19),1-I19/INDEX(B4_FrontRef,1,1),"SLO 不可達")</f>
        <v>0.409666935622949</v>
      </c>
      <c r="J25" s="86" t="n">
        <f aca="false">IF(ISNUMBER(J19),1-J19/INDEX(B4_FrontRef,1,1),"SLO 不可達")</f>
        <v>0.237646547143992</v>
      </c>
      <c r="K25" s="86" t="n">
        <f aca="false">IF(ISNUMBER(K19),1-K19/INDEX(B4_FrontRef,1,1),"SLO 不可達")</f>
        <v>-0.297712927712096</v>
      </c>
      <c r="L25" s="86" t="n">
        <f aca="false">IF(ISNUMBER(L19),1-L19/INDEX(B4_FrontRef,1,1),"SLO 不可達")</f>
        <v>0.537714820175893</v>
      </c>
      <c r="M25" s="86" t="n">
        <f aca="false">IF(ISNUMBER(M19),1-M19/INDEX(B4_FrontRef,1,1),"SLO 不可達")</f>
        <v>0.405938160624946</v>
      </c>
      <c r="N25" s="86" t="n">
        <f aca="false">IF(ISNUMBER(N19),1-N19/INDEX(B4_FrontRef,1,1),"SLO 不可達")</f>
        <v>0.0404770860970101</v>
      </c>
      <c r="O25" s="86" t="n">
        <f aca="false">IF(ISNUMBER(O19),1-O19/INDEX(B4_FrontRef,1,1),"SLO 不可達")</f>
        <v>0.634677122946529</v>
      </c>
      <c r="P25" s="86" t="n">
        <f aca="false">IF(ISNUMBER(P19),1-P19/INDEX(B4_FrontRef,1,1),"SLO 不可達")</f>
        <v>0.444930246965994</v>
      </c>
      <c r="Q25" s="86" t="n">
        <f aca="false">IF(ISNUMBER(Q19),1-Q19/INDEX(B4_FrontRef,1,1),"SLO 不可達")</f>
        <v>-0.0130314218486163</v>
      </c>
      <c r="R25" s="65" t="s">
        <v>2277</v>
      </c>
    </row>
    <row r="27" customFormat="false" ht="15" hidden="false" customHeight="false" outlineLevel="0" collapsed="false">
      <c r="A27" s="77" t="s">
        <v>2278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</row>
    <row r="28" customFormat="false" ht="15" hidden="false" customHeight="false" outlineLevel="0" collapsed="false">
      <c r="A28" s="5" t="s">
        <v>2253</v>
      </c>
      <c r="B28" s="62" t="s">
        <v>993</v>
      </c>
      <c r="C28" s="69" t="n">
        <f aca="false">IF(ISNUMBER(INDEX(IF_TokGW_Sol,1,C$7)),INDEX(IF_TokGW_Sol,1,C$7)*IF_Util,INDEX(IF_TokGW_Sol,1,C$7))</f>
        <v>20180949795.0708</v>
      </c>
      <c r="D28" s="69" t="n">
        <f aca="false">IF(ISNUMBER(INDEX(IF_TokGW_Sol,1,D$7)),INDEX(IF_TokGW_Sol,1,D$7)*IF_Util,INDEX(IF_TokGW_Sol,1,D$7))</f>
        <v>20180949795.0708</v>
      </c>
      <c r="E28" s="69" t="n">
        <f aca="false">IF(ISNUMBER(INDEX(IF_TokGW_Sol,1,E$7)),INDEX(IF_TokGW_Sol,1,E$7)*IF_Util,INDEX(IF_TokGW_Sol,1,E$7))</f>
        <v>20180949795.0708</v>
      </c>
      <c r="F28" s="69" t="n">
        <f aca="false">IF(ISNUMBER(INDEX(IF_TokGW_Sol,1,F$7)),INDEX(IF_TokGW_Sol,1,F$7)*IF_Util,INDEX(IF_TokGW_Sol,1,F$7))</f>
        <v>87507858426.3237</v>
      </c>
      <c r="G28" s="69" t="n">
        <f aca="false">IF(ISNUMBER(INDEX(IF_TokGW_Sol,1,G$7)),INDEX(IF_TokGW_Sol,1,G$7)*IF_Util,INDEX(IF_TokGW_Sol,1,G$7))</f>
        <v>87507858426.3237</v>
      </c>
      <c r="H28" s="69" t="n">
        <f aca="false">IF(ISNUMBER(INDEX(IF_TokGW_Sol,1,H$7)),INDEX(IF_TokGW_Sol,1,H$7)*IF_Util,INDEX(IF_TokGW_Sol,1,H$7))</f>
        <v>87507858426.3237</v>
      </c>
      <c r="I28" s="69" t="n">
        <f aca="false">IF(ISNUMBER(INDEX(IF_TokGW_Sol,1,I$7)),INDEX(IF_TokGW_Sol,1,I$7)*IF_Util,INDEX(IF_TokGW_Sol,1,I$7))</f>
        <v>127400592853.133</v>
      </c>
      <c r="J28" s="69" t="n">
        <f aca="false">IF(ISNUMBER(INDEX(IF_TokGW_Sol,1,J$7)),INDEX(IF_TokGW_Sol,1,J$7)*IF_Util,INDEX(IF_TokGW_Sol,1,J$7))</f>
        <v>127400592853.133</v>
      </c>
      <c r="K28" s="69" t="n">
        <f aca="false">IF(ISNUMBER(INDEX(IF_TokGW_Sol,1,K$7)),INDEX(IF_TokGW_Sol,1,K$7)*IF_Util,INDEX(IF_TokGW_Sol,1,K$7))</f>
        <v>127400592853.133</v>
      </c>
      <c r="L28" s="69" t="n">
        <f aca="false">IF(ISNUMBER(INDEX(IF_TokGW_Sol,1,L$7)),INDEX(IF_TokGW_Sol,1,L$7)*IF_Util,INDEX(IF_TokGW_Sol,1,L$7))</f>
        <v>191390938691.432</v>
      </c>
      <c r="M28" s="69" t="n">
        <f aca="false">IF(ISNUMBER(INDEX(IF_TokGW_Sol,1,M$7)),INDEX(IF_TokGW_Sol,1,M$7)*IF_Util,INDEX(IF_TokGW_Sol,1,M$7))</f>
        <v>191390938691.432</v>
      </c>
      <c r="N28" s="69" t="n">
        <f aca="false">IF(ISNUMBER(INDEX(IF_TokGW_Sol,1,N$7)),INDEX(IF_TokGW_Sol,1,N$7)*IF_Util,INDEX(IF_TokGW_Sol,1,N$7))</f>
        <v>191390938691.432</v>
      </c>
      <c r="O28" s="69" t="n">
        <f aca="false">IF(ISNUMBER(INDEX(IF_TokGW_Sol,1,O$7)),INDEX(IF_TokGW_Sol,1,O$7)*IF_Util,INDEX(IF_TokGW_Sol,1,O$7))</f>
        <v>260628273188.957</v>
      </c>
      <c r="P28" s="69" t="n">
        <f aca="false">IF(ISNUMBER(INDEX(IF_TokGW_Sol,1,P$7)),INDEX(IF_TokGW_Sol,1,P$7)*IF_Util,INDEX(IF_TokGW_Sol,1,P$7))</f>
        <v>260628273188.957</v>
      </c>
      <c r="Q28" s="69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2279</v>
      </c>
      <c r="B29" s="62" t="s">
        <v>2255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2280</v>
      </c>
      <c r="B30" s="62" t="s">
        <v>2255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/>
      <c r="B31" s="61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65" t="s">
        <v>2165</v>
      </c>
    </row>
    <row r="32" customFormat="false" ht="15" hidden="false" customHeight="false" outlineLevel="0" collapsed="false">
      <c r="A32" s="5" t="s">
        <v>2258</v>
      </c>
      <c r="B32" s="62" t="s">
        <v>2255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  <c r="R32" s="65" t="s">
        <v>2281</v>
      </c>
    </row>
    <row r="33" customFormat="false" ht="15" hidden="false" customHeight="false" outlineLevel="0" collapsed="false">
      <c r="A33" s="5" t="s">
        <v>2260</v>
      </c>
      <c r="B33" s="62" t="s">
        <v>132</v>
      </c>
      <c r="C33" s="89" t="n">
        <f aca="false">IF(ISNUMBER(C29),C29/C32,C29)</f>
        <v>4.77583155897769</v>
      </c>
      <c r="D33" s="89" t="n">
        <f aca="false">IF(ISNUMBER(D29),D29/D32,D29)</f>
        <v>3.34254734519868</v>
      </c>
      <c r="E33" s="89" t="n">
        <f aca="false">IF(ISNUMBER(E29),E29/E32,E29)</f>
        <v>1.94632002042357</v>
      </c>
      <c r="F33" s="89" t="n">
        <f aca="false">IF(ISNUMBER(F29),F29/F32,F29)</f>
        <v>21.2702297993984</v>
      </c>
      <c r="G33" s="89" t="n">
        <f aca="false">IF(ISNUMBER(G29),G29/G32,G29)</f>
        <v>15.9302462709385</v>
      </c>
      <c r="H33" s="89" t="n">
        <f aca="false">IF(ISNUMBER(H29),H29/H32,H29)</f>
        <v>9.82184700238368</v>
      </c>
      <c r="I33" s="89" t="n">
        <f aca="false">IF(ISNUMBER(I29),I29/I32,I29)</f>
        <v>24.291061667807</v>
      </c>
      <c r="J33" s="89" t="n">
        <f aca="false">IF(ISNUMBER(J29),J29/J32,J29)</f>
        <v>18.8075673696985</v>
      </c>
      <c r="K33" s="89" t="n">
        <f aca="false">IF(ISNUMBER(K29),K29/K32,K29)</f>
        <v>11.046712940461</v>
      </c>
      <c r="L33" s="89" t="n">
        <f aca="false">IF(ISNUMBER(L29),L29/L32,L29)</f>
        <v>32.3364189303246</v>
      </c>
      <c r="M33" s="89" t="n">
        <f aca="false">IF(ISNUMBER(M29),M29/M32,M29)</f>
        <v>25.1594808921188</v>
      </c>
      <c r="N33" s="89" t="n">
        <f aca="false">IF(ISNUMBER(N29),N29/N32,N29)</f>
        <v>15.5735058082615</v>
      </c>
      <c r="O33" s="89" t="n">
        <f aca="false">IF(ISNUMBER(O29),O29/O32,O29)</f>
        <v>41.4607019032987</v>
      </c>
      <c r="P33" s="89" t="n">
        <f aca="false">IF(ISNUMBER(P29),P29/P32,P29)</f>
        <v>27.2792383704603</v>
      </c>
      <c r="Q33" s="89" t="n">
        <f aca="false">IF(ISNUMBER(Q29),Q29/Q32,Q29)</f>
        <v>14.9430942736998</v>
      </c>
      <c r="R33" s="65" t="s">
        <v>2282</v>
      </c>
    </row>
    <row r="34" customFormat="false" ht="15" hidden="false" customHeight="false" outlineLevel="0" collapsed="false">
      <c r="A34" s="5" t="s">
        <v>2262</v>
      </c>
      <c r="B34" s="62" t="s">
        <v>132</v>
      </c>
      <c r="C34" s="87" t="n">
        <f aca="false">IF(ISNUMBER(C30),C30/C32,C30)</f>
        <v>4.77583155897769</v>
      </c>
      <c r="D34" s="87" t="n">
        <f aca="false">IF(ISNUMBER(D30),D30/D32,D30)</f>
        <v>3.34254734519868</v>
      </c>
      <c r="E34" s="87" t="n">
        <f aca="false">IF(ISNUMBER(E30),E30/E32,E30)</f>
        <v>1.94632002042357</v>
      </c>
      <c r="F34" s="87" t="n">
        <f aca="false">IF(ISNUMBER(F30),F30/F32,F30)</f>
        <v>21.2702297993984</v>
      </c>
      <c r="G34" s="87" t="n">
        <f aca="false">IF(ISNUMBER(G30),G30/G32,G30)</f>
        <v>15.9302462709385</v>
      </c>
      <c r="H34" s="87" t="n">
        <f aca="false">IF(ISNUMBER(H30),H30/H32,H30)</f>
        <v>9.82184700238368</v>
      </c>
      <c r="I34" s="87" t="n">
        <f aca="false">IF(ISNUMBER(I30),I30/I32,I30)</f>
        <v>24.291061667807</v>
      </c>
      <c r="J34" s="87" t="n">
        <f aca="false">IF(ISNUMBER(J30),J30/J32,J30)</f>
        <v>18.8075673696985</v>
      </c>
      <c r="K34" s="87" t="n">
        <f aca="false">IF(ISNUMBER(K30),K30/K32,K30)</f>
        <v>11.046712940461</v>
      </c>
      <c r="L34" s="87" t="n">
        <f aca="false">IF(ISNUMBER(L30),L30/L32,L30)</f>
        <v>32.3364189303245</v>
      </c>
      <c r="M34" s="87" t="n">
        <f aca="false">IF(ISNUMBER(M30),M30/M32,M30)</f>
        <v>25.1594808921188</v>
      </c>
      <c r="N34" s="87" t="n">
        <f aca="false">IF(ISNUMBER(N30),N30/N32,N30)</f>
        <v>15.5735058082615</v>
      </c>
      <c r="O34" s="87" t="n">
        <f aca="false">IF(ISNUMBER(O30),O30/O32,O30)</f>
        <v>41.4607019032987</v>
      </c>
      <c r="P34" s="87" t="n">
        <f aca="false">IF(ISNUMBER(P30),P30/P32,P30)</f>
        <v>27.2792383704602</v>
      </c>
      <c r="Q34" s="87" t="n">
        <f aca="false">IF(ISNUMBER(Q30),Q30/Q32,Q30)</f>
        <v>14.9430942736998</v>
      </c>
      <c r="R34" s="65" t="s">
        <v>2283</v>
      </c>
    </row>
    <row r="35" customFormat="false" ht="15" hidden="false" customHeight="false" outlineLevel="0" collapsed="false">
      <c r="A35" s="5" t="s">
        <v>2264</v>
      </c>
      <c r="B35" s="62" t="s">
        <v>1040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15" hidden="false" customHeight="false" outlineLevel="0" collapsed="false">
      <c r="A36" s="5" t="s">
        <v>2284</v>
      </c>
      <c r="B36" s="62" t="s">
        <v>1040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0.0843522277428262</v>
      </c>
      <c r="G36" s="161" t="n">
        <f aca="false">IF(AND(ISNUMBER(G35),ISNUMBER(Amortize!G22)),G35+Amortize!G22,"SLO 不可達")</f>
        <v>0.112622816909467</v>
      </c>
      <c r="H36" s="161" t="n">
        <f aca="false">IF(AND(ISNUMBER(H35),ISNUMBER(Amortize!H22)),H35+Amortize!H22,"SLO 不可達")</f>
        <v>0.182655598421708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2266</v>
      </c>
      <c r="B37" s="62" t="s">
        <v>1040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  <c r="R37" s="65" t="s">
        <v>2285</v>
      </c>
    </row>
    <row r="38" customFormat="false" ht="26.85" hidden="false" customHeight="false" outlineLevel="0" collapsed="false">
      <c r="A38" s="5" t="s">
        <v>2286</v>
      </c>
      <c r="B38" s="62" t="s">
        <v>1040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0.133918692436171</v>
      </c>
      <c r="G38" s="161" t="n">
        <f aca="false">IF(AND(ISNUMBER(G35),ISNUMBER(Amortize!G45)),G35+Amortize!G45,"SLO 不可達")</f>
        <v>0.178795992196144</v>
      </c>
      <c r="H38" s="161" t="n">
        <f aca="false">IF(AND(ISNUMBER(H35),ISNUMBER(Amortize!H45)),H35+Amortize!H45,"SLO 不可達")</f>
        <v>0.289967432961802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2269</v>
      </c>
      <c r="B39" s="62" t="s">
        <v>127</v>
      </c>
      <c r="C39" s="86" t="n">
        <f aca="false">IF(ISNUMBER(C35),1-C35/INDEX(B4_EffRef,1,2),"SLO 不可達")</f>
        <v>0.790596790086874</v>
      </c>
      <c r="D39" s="86" t="n">
        <f aca="false">IF(ISNUMBER(D35),1-D35/INDEX(B4_EffRef,1,2),"SLO 不可達")</f>
        <v>0.700808799290174</v>
      </c>
      <c r="E39" s="86" t="n">
        <f aca="false">IF(ISNUMBER(E35),1-E35/INDEX(B4_EffRef,1,2),"SLO 不可達")</f>
        <v>0.486185523109175</v>
      </c>
      <c r="F39" s="86" t="n">
        <f aca="false">IF(ISNUMBER(F35),1-F35/INDEX(B4_EffRef,1,2),"SLO 不可達")</f>
        <v>0.952967971821334</v>
      </c>
      <c r="G39" s="86" t="n">
        <f aca="false">IF(ISNUMBER(G35),1-G35/INDEX(B4_EffRef,1,2),"SLO 不可達")</f>
        <v>0.937205554121207</v>
      </c>
      <c r="H39" s="86" t="n">
        <f aca="false">IF(ISNUMBER(H35),1-H35/INDEX(B4_EffRef,1,2),"SLO 不可達")</f>
        <v>0.898158403444907</v>
      </c>
      <c r="I39" s="86" t="n">
        <f aca="false">IF(ISNUMBER(I35),1-I35/INDEX(B4_EffRef,1,2),"SLO 不可達")</f>
        <v>0.958811999320263</v>
      </c>
      <c r="J39" s="86" t="n">
        <f aca="false">IF(ISNUMBER(J35),1-J35/INDEX(B4_EffRef,1,2),"SLO 不可達")</f>
        <v>0.946806101363422</v>
      </c>
      <c r="K39" s="86" t="n">
        <f aca="false">IF(ISNUMBER(K35),1-K35/INDEX(B4_EffRef,1,2),"SLO 不可達")</f>
        <v>0.90944151172272</v>
      </c>
      <c r="L39" s="86" t="n">
        <f aca="false">IF(ISNUMBER(L35),1-L35/INDEX(B4_EffRef,1,2),"SLO 不可達")</f>
        <v>0.969044770602163</v>
      </c>
      <c r="M39" s="86" t="n">
        <f aca="false">IF(ISNUMBER(M35),1-M35/INDEX(B4_EffRef,1,2),"SLO 不可達")</f>
        <v>0.960217277711387</v>
      </c>
      <c r="N39" s="86" t="n">
        <f aca="false">IF(ISNUMBER(N35),1-N35/INDEX(B4_EffRef,1,2),"SLO 不可達")</f>
        <v>0.935735665806487</v>
      </c>
      <c r="O39" s="86" t="n">
        <f aca="false">IF(ISNUMBER(O35),1-O35/INDEX(B4_EffRef,1,2),"SLO 不可達")</f>
        <v>0.975838147201927</v>
      </c>
      <c r="P39" s="86" t="n">
        <f aca="false">IF(ISNUMBER(P35),1-P35/INDEX(B4_EffRef,1,2),"SLO 不可達")</f>
        <v>0.963282267561992</v>
      </c>
      <c r="Q39" s="86" t="n">
        <f aca="false">IF(ISNUMBER(Q35),1-Q35/INDEX(B4_EffRef,1,2),"SLO 不可達")</f>
        <v>0.932978150228697</v>
      </c>
      <c r="R39" s="65" t="s">
        <v>2287</v>
      </c>
    </row>
    <row r="40" customFormat="false" ht="15" hidden="false" customHeight="false" outlineLevel="0" collapsed="false">
      <c r="A40" s="5" t="s">
        <v>2271</v>
      </c>
      <c r="B40" s="62" t="s">
        <v>127</v>
      </c>
      <c r="C40" s="86" t="n">
        <f aca="false">IF(ISNUMBER(C36),1-C36/INDEX(B4_EffRef,1,2),"SLO 不可達")</f>
        <v>0.71963689257077</v>
      </c>
      <c r="D40" s="86" t="n">
        <f aca="false">IF(ISNUMBER(D36),1-D36/INDEX(B4_EffRef,1,2),"SLO 不可達")</f>
        <v>0.599421299583992</v>
      </c>
      <c r="E40" s="86" t="n">
        <f aca="false">IF(ISNUMBER(E36),1-E36/INDEX(B4_EffRef,1,2),"SLO 不可達")</f>
        <v>0.312065895081366</v>
      </c>
      <c r="F40" s="86" t="n">
        <f aca="false">IF(ISNUMBER(F36),1-F36/INDEX(B4_EffRef,1,2),"SLO 不可達")</f>
        <v>0.947513132626837</v>
      </c>
      <c r="G40" s="86" t="n">
        <f aca="false">IF(ISNUMBER(G36),1-G36/INDEX(B4_EffRef,1,2),"SLO 不可達")</f>
        <v>0.929922196336753</v>
      </c>
      <c r="H40" s="86" t="n">
        <f aca="false">IF(ISNUMBER(H36),1-H36/INDEX(B4_EffRef,1,2),"SLO 不可達")</f>
        <v>0.886345382619236</v>
      </c>
      <c r="I40" s="86" t="n">
        <f aca="false">IF(ISNUMBER(I36),1-I36/INDEX(B4_EffRef,1,2),"SLO 不可達")</f>
        <v>0.952985457983113</v>
      </c>
      <c r="J40" s="86" t="n">
        <f aca="false">IF(ISNUMBER(J36),1-J36/INDEX(B4_EffRef,1,2),"SLO 不可達")</f>
        <v>0.939280786039614</v>
      </c>
      <c r="K40" s="86" t="n">
        <f aca="false">IF(ISNUMBER(K36),1-K36/INDEX(B4_EffRef,1,2),"SLO 不可達")</f>
        <v>0.896629295483051</v>
      </c>
      <c r="L40" s="86" t="n">
        <f aca="false">IF(ISNUMBER(L36),1-L36/INDEX(B4_EffRef,1,2),"SLO 不可達")</f>
        <v>0.966534421128363</v>
      </c>
      <c r="M40" s="86" t="n">
        <f aca="false">IF(ISNUMBER(M36),1-M36/INDEX(B4_EffRef,1,2),"SLO 不可達")</f>
        <v>0.956990831482454</v>
      </c>
      <c r="N40" s="86" t="n">
        <f aca="false">IF(ISNUMBER(N36),1-N36/INDEX(B4_EffRef,1,2),"SLO 不可達")</f>
        <v>0.930523242011504</v>
      </c>
      <c r="O40" s="86" t="n">
        <f aca="false">IF(ISNUMBER(O36),1-O36/INDEX(B4_EffRef,1,2),"SLO 不可達")</f>
        <v>0.974549649212031</v>
      </c>
      <c r="P40" s="86" t="n">
        <f aca="false">IF(ISNUMBER(P36),1-P36/INDEX(B4_EffRef,1,2),"SLO 不可達")</f>
        <v>0.961323927291028</v>
      </c>
      <c r="Q40" s="86" t="n">
        <f aca="false">IF(ISNUMBER(Q36),1-Q36/INDEX(B4_EffRef,1,2),"SLO 不可達")</f>
        <v>0.929403118840714</v>
      </c>
      <c r="R40" s="65" t="s">
        <v>2288</v>
      </c>
    </row>
    <row r="41" customFormat="false" ht="15" hidden="false" customHeight="false" outlineLevel="0" collapsed="false">
      <c r="A41" s="5" t="s">
        <v>2273</v>
      </c>
      <c r="B41" s="62" t="s">
        <v>127</v>
      </c>
      <c r="C41" s="86" t="n">
        <f aca="false">IF(ISNUMBER(C37),1-C37/INDEX(B4_EffRef,1,2),"SLO 不可達")</f>
        <v>0.489260463626521</v>
      </c>
      <c r="D41" s="86" t="n">
        <f aca="false">IF(ISNUMBER(D37),1-D37/INDEX(B4_EffRef,1,2),"SLO 不可達")</f>
        <v>0.270265364122374</v>
      </c>
      <c r="E41" s="86" t="n">
        <f aca="false">IF(ISNUMBER(E37),1-E37/INDEX(B4_EffRef,1,2),"SLO 不可達")</f>
        <v>-0.253206041197135</v>
      </c>
      <c r="F41" s="86" t="n">
        <f aca="false">IF(ISNUMBER(F37),1-F37/INDEX(B4_EffRef,1,2),"SLO 不可達")</f>
        <v>0.885287736149594</v>
      </c>
      <c r="G41" s="86" t="n">
        <f aca="false">IF(ISNUMBER(G37),1-G37/INDEX(B4_EffRef,1,2),"SLO 不可達")</f>
        <v>0.846842814929774</v>
      </c>
      <c r="H41" s="86" t="n">
        <f aca="false">IF(ISNUMBER(H37),1-H37/INDEX(B4_EffRef,1,2),"SLO 不可達")</f>
        <v>0.751605862060749</v>
      </c>
      <c r="I41" s="86" t="n">
        <f aca="false">IF(ISNUMBER(I37),1-I37/INDEX(B4_EffRef,1,2),"SLO 不可達")</f>
        <v>0.89954146175674</v>
      </c>
      <c r="J41" s="86" t="n">
        <f aca="false">IF(ISNUMBER(J37),1-J37/INDEX(B4_EffRef,1,2),"SLO 不可達")</f>
        <v>0.870258783813225</v>
      </c>
      <c r="K41" s="86" t="n">
        <f aca="false">IF(ISNUMBER(K37),1-K37/INDEX(B4_EffRef,1,2),"SLO 不可達")</f>
        <v>0.779125638348098</v>
      </c>
      <c r="L41" s="86" t="n">
        <f aca="false">IF(ISNUMBER(L37),1-L37/INDEX(B4_EffRef,1,2),"SLO 不可達")</f>
        <v>0.92449944049308</v>
      </c>
      <c r="M41" s="86" t="n">
        <f aca="false">IF(ISNUMBER(M37),1-M37/INDEX(B4_EffRef,1,2),"SLO 不可達")</f>
        <v>0.902968970027774</v>
      </c>
      <c r="N41" s="86" t="n">
        <f aca="false">IF(ISNUMBER(N37),1-N37/INDEX(B4_EffRef,1,2),"SLO 不可達")</f>
        <v>0.843257721479237</v>
      </c>
      <c r="O41" s="86" t="n">
        <f aca="false">IF(ISNUMBER(O37),1-O37/INDEX(B4_EffRef,1,2),"SLO 不可達")</f>
        <v>0.941068651712017</v>
      </c>
      <c r="P41" s="86" t="n">
        <f aca="false">IF(ISNUMBER(P37),1-P37/INDEX(B4_EffRef,1,2),"SLO 不可達")</f>
        <v>0.910444555029248</v>
      </c>
      <c r="Q41" s="86" t="n">
        <f aca="false">IF(ISNUMBER(Q37),1-Q37/INDEX(B4_EffRef,1,2),"SLO 不可達")</f>
        <v>0.83653207372853</v>
      </c>
      <c r="R41" s="65" t="s">
        <v>2289</v>
      </c>
    </row>
    <row r="42" customFormat="false" ht="15" hidden="false" customHeight="false" outlineLevel="0" collapsed="false">
      <c r="A42" s="5" t="s">
        <v>2275</v>
      </c>
      <c r="B42" s="62" t="s">
        <v>127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0.916671167593643</v>
      </c>
      <c r="G42" s="117" t="n">
        <f aca="false">IF(ISNUMBER(G38),1-G38/INDEX(B4_EffRef,1,2),"SLO 不可達")</f>
        <v>0.88874696282043</v>
      </c>
      <c r="H42" s="117" t="n">
        <f aca="false">IF(ISNUMBER(H38),1-H38/INDEX(B4_EffRef,1,2),"SLO 不可達")</f>
        <v>0.819572255485605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2276</v>
      </c>
      <c r="B43" s="62" t="s">
        <v>127</v>
      </c>
      <c r="C43" s="86" t="n">
        <f aca="false">IF(ISNUMBER(C37),1-C37/INDEX(B4_FrontRef,1,2),"SLO 不可達")</f>
        <v>0.489260463626521</v>
      </c>
      <c r="D43" s="86" t="n">
        <f aca="false">IF(ISNUMBER(D37),1-D37/INDEX(B4_FrontRef,1,2),"SLO 不可達")</f>
        <v>0.270265364122374</v>
      </c>
      <c r="E43" s="86" t="n">
        <f aca="false">IF(ISNUMBER(E37),1-E37/INDEX(B4_FrontRef,1,2),"SLO 不可達")</f>
        <v>-0.253206041197135</v>
      </c>
      <c r="F43" s="86" t="n">
        <f aca="false">IF(ISNUMBER(F37),1-F37/INDEX(B4_FrontRef,1,2),"SLO 不可達")</f>
        <v>0.885287736149594</v>
      </c>
      <c r="G43" s="86" t="n">
        <f aca="false">IF(ISNUMBER(G37),1-G37/INDEX(B4_FrontRef,1,2),"SLO 不可達")</f>
        <v>0.846842814929774</v>
      </c>
      <c r="H43" s="86" t="n">
        <f aca="false">IF(ISNUMBER(H37),1-H37/INDEX(B4_FrontRef,1,2),"SLO 不可達")</f>
        <v>0.751605862060749</v>
      </c>
      <c r="I43" s="86" t="n">
        <f aca="false">IF(ISNUMBER(I37),1-I37/INDEX(B4_FrontRef,1,2),"SLO 不可達")</f>
        <v>0.89954146175674</v>
      </c>
      <c r="J43" s="86" t="n">
        <f aca="false">IF(ISNUMBER(J37),1-J37/INDEX(B4_FrontRef,1,2),"SLO 不可達")</f>
        <v>0.870258783813225</v>
      </c>
      <c r="K43" s="86" t="n">
        <f aca="false">IF(ISNUMBER(K37),1-K37/INDEX(B4_FrontRef,1,2),"SLO 不可達")</f>
        <v>0.779125638348097</v>
      </c>
      <c r="L43" s="86" t="n">
        <f aca="false">IF(ISNUMBER(L37),1-L37/INDEX(B4_FrontRef,1,2),"SLO 不可達")</f>
        <v>0.92449944049308</v>
      </c>
      <c r="M43" s="86" t="n">
        <f aca="false">IF(ISNUMBER(M37),1-M37/INDEX(B4_FrontRef,1,2),"SLO 不可達")</f>
        <v>0.902968970027774</v>
      </c>
      <c r="N43" s="86" t="n">
        <f aca="false">IF(ISNUMBER(N37),1-N37/INDEX(B4_FrontRef,1,2),"SLO 不可達")</f>
        <v>0.843257721479237</v>
      </c>
      <c r="O43" s="86" t="n">
        <f aca="false">IF(ISNUMBER(O37),1-O37/INDEX(B4_FrontRef,1,2),"SLO 不可達")</f>
        <v>0.941068651712017</v>
      </c>
      <c r="P43" s="86" t="n">
        <f aca="false">IF(ISNUMBER(P37),1-P37/INDEX(B4_FrontRef,1,2),"SLO 不可達")</f>
        <v>0.910444555029248</v>
      </c>
      <c r="Q43" s="86" t="n">
        <f aca="false">IF(ISNUMBER(Q37),1-Q37/INDEX(B4_FrontRef,1,2),"SLO 不可達")</f>
        <v>0.83653207372853</v>
      </c>
      <c r="R43" s="65" t="s">
        <v>2290</v>
      </c>
    </row>
    <row r="45" customFormat="false" ht="15" hidden="false" customHeight="false" outlineLevel="0" collapsed="false">
      <c r="A45" s="77" t="s">
        <v>2291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</row>
    <row r="46" customFormat="false" ht="15" hidden="false" customHeight="false" outlineLevel="0" collapsed="false">
      <c r="A46" s="5" t="s">
        <v>2253</v>
      </c>
      <c r="B46" s="62" t="s">
        <v>993</v>
      </c>
      <c r="C46" s="69" t="n">
        <f aca="false">IF(ISNUMBER(INDEX(IF_TokGW_Astra,1,C$7)),INDEX(IF_TokGW_Astra,1,C$7)*IF_Util,INDEX(IF_TokGW_Astra,1,C$7))</f>
        <v>4085415423.5951</v>
      </c>
      <c r="D46" s="69" t="n">
        <f aca="false">IF(ISNUMBER(INDEX(IF_TokGW_Astra,1,D$7)),INDEX(IF_TokGW_Astra,1,D$7)*IF_Util,INDEX(IF_TokGW_Astra,1,D$7))</f>
        <v>4085415423.5951</v>
      </c>
      <c r="E46" s="69" t="n">
        <f aca="false">IF(ISNUMBER(INDEX(IF_TokGW_Astra,1,E$7)),INDEX(IF_TokGW_Astra,1,E$7)*IF_Util,INDEX(IF_TokGW_Astra,1,E$7))</f>
        <v>4085415423.5951</v>
      </c>
      <c r="F46" s="69" t="n">
        <f aca="false">IF(ISNUMBER(INDEX(IF_TokGW_Astra,1,F$7)),INDEX(IF_TokGW_Astra,1,F$7)*IF_Util,INDEX(IF_TokGW_Astra,1,F$7))</f>
        <v>17860657696.5117</v>
      </c>
      <c r="G46" s="69" t="n">
        <f aca="false">IF(ISNUMBER(INDEX(IF_TokGW_Astra,1,G$7)),INDEX(IF_TokGW_Astra,1,G$7)*IF_Util,INDEX(IF_TokGW_Astra,1,G$7))</f>
        <v>17860657696.5117</v>
      </c>
      <c r="H46" s="69" t="n">
        <f aca="false">IF(ISNUMBER(INDEX(IF_TokGW_Astra,1,H$7)),INDEX(IF_TokGW_Astra,1,H$7)*IF_Util,INDEX(IF_TokGW_Astra,1,H$7))</f>
        <v>17860657696.5117</v>
      </c>
      <c r="I46" s="69" t="n">
        <f aca="false">IF(ISNUMBER(INDEX(IF_TokGW_Astra,1,I$7)),INDEX(IF_TokGW_Astra,1,I$7)*IF_Util,INDEX(IF_TokGW_Astra,1,I$7))</f>
        <v>23554696886.7049</v>
      </c>
      <c r="J46" s="69" t="n">
        <f aca="false">IF(ISNUMBER(INDEX(IF_TokGW_Astra,1,J$7)),INDEX(IF_TokGW_Astra,1,J$7)*IF_Util,INDEX(IF_TokGW_Astra,1,J$7))</f>
        <v>23554696886.7049</v>
      </c>
      <c r="K46" s="69" t="n">
        <f aca="false">IF(ISNUMBER(INDEX(IF_TokGW_Astra,1,K$7)),INDEX(IF_TokGW_Astra,1,K$7)*IF_Util,INDEX(IF_TokGW_Astra,1,K$7))</f>
        <v>23554696886.7049</v>
      </c>
      <c r="L46" s="69" t="n">
        <f aca="false">IF(ISNUMBER(INDEX(IF_TokGW_Astra,1,L$7)),INDEX(IF_TokGW_Astra,1,L$7)*IF_Util,INDEX(IF_TokGW_Astra,1,L$7))</f>
        <v>41775116162.2067</v>
      </c>
      <c r="M46" s="69" t="n">
        <f aca="false">IF(ISNUMBER(INDEX(IF_TokGW_Astra,1,M$7)),INDEX(IF_TokGW_Astra,1,M$7)*IF_Util,INDEX(IF_TokGW_Astra,1,M$7))</f>
        <v>41775116162.2067</v>
      </c>
      <c r="N46" s="69" t="n">
        <f aca="false">IF(ISNUMBER(INDEX(IF_TokGW_Astra,1,N$7)),INDEX(IF_TokGW_Astra,1,N$7)*IF_Util,INDEX(IF_TokGW_Astra,1,N$7))</f>
        <v>41775116162.2067</v>
      </c>
      <c r="O46" s="69" t="n">
        <f aca="false">IF(ISNUMBER(INDEX(IF_TokGW_Astra,1,O$7)),INDEX(IF_TokGW_Astra,1,O$7)*IF_Util,INDEX(IF_TokGW_Astra,1,O$7))</f>
        <v>59112940438.5449</v>
      </c>
      <c r="P46" s="69" t="n">
        <f aca="false">IF(ISNUMBER(INDEX(IF_TokGW_Astra,1,P$7)),INDEX(IF_TokGW_Astra,1,P$7)*IF_Util,INDEX(IF_TokGW_Astra,1,P$7))</f>
        <v>59112940438.5449</v>
      </c>
      <c r="Q46" s="69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2292</v>
      </c>
      <c r="B47" s="62" t="s">
        <v>2255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2293</v>
      </c>
      <c r="B48" s="62" t="s">
        <v>2255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/>
      <c r="B49" s="6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65" t="s">
        <v>1074</v>
      </c>
    </row>
    <row r="50" customFormat="false" ht="15" hidden="false" customHeight="false" outlineLevel="0" collapsed="false">
      <c r="A50" s="5" t="s">
        <v>2258</v>
      </c>
      <c r="B50" s="62" t="s">
        <v>2255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  <c r="R50" s="65" t="s">
        <v>2294</v>
      </c>
    </row>
    <row r="51" customFormat="false" ht="15" hidden="false" customHeight="false" outlineLevel="0" collapsed="false">
      <c r="A51" s="5" t="s">
        <v>2260</v>
      </c>
      <c r="B51" s="62" t="s">
        <v>132</v>
      </c>
      <c r="C51" s="89" t="n">
        <f aca="false">IF(ISNUMBER(C47),C47/C50,C47)</f>
        <v>4.83407770934183</v>
      </c>
      <c r="D51" s="89" t="n">
        <f aca="false">IF(ISNUMBER(D47),D47/D50,D47)</f>
        <v>3.38331312867816</v>
      </c>
      <c r="E51" s="89" t="n">
        <f aca="false">IF(ISNUMBER(E47),E47/E50,E47)</f>
        <v>1.97005738367986</v>
      </c>
      <c r="F51" s="89" t="n">
        <f aca="false">IF(ISNUMBER(F47),F47/F50,F47)</f>
        <v>21.7066387182272</v>
      </c>
      <c r="G51" s="89" t="n">
        <f aca="false">IF(ISNUMBER(G47),G47/G50,G47)</f>
        <v>16.2570928361774</v>
      </c>
      <c r="H51" s="89" t="n">
        <f aca="false">IF(ISNUMBER(H47),H47/H50,H47)</f>
        <v>10.023365353226</v>
      </c>
      <c r="I51" s="89" t="n">
        <f aca="false">IF(ISNUMBER(I47),I47/I50,I47)</f>
        <v>22.4554918398632</v>
      </c>
      <c r="J51" s="89" t="n">
        <f aca="false">IF(ISNUMBER(J47),J47/J50,J47)</f>
        <v>17.3863613444966</v>
      </c>
      <c r="K51" s="89" t="n">
        <f aca="false">IF(ISNUMBER(K47),K47/K50,K47)</f>
        <v>10.2119609132024</v>
      </c>
      <c r="L51" s="89" t="n">
        <f aca="false">IF(ISNUMBER(L47),L47/L50,L47)</f>
        <v>35.2905332488596</v>
      </c>
      <c r="M51" s="89" t="n">
        <f aca="false">IF(ISNUMBER(M47),M47/M50,M47)</f>
        <v>27.457941426987</v>
      </c>
      <c r="N51" s="89" t="n">
        <f aca="false">IF(ISNUMBER(N47),N47/N50,N47)</f>
        <v>16.9962334330212</v>
      </c>
      <c r="O51" s="89" t="n">
        <f aca="false">IF(ISNUMBER(O47),O47/O50,O47)</f>
        <v>47.0183831585507</v>
      </c>
      <c r="P51" s="89" t="n">
        <f aca="false">IF(ISNUMBER(P47),P47/P50,P47)</f>
        <v>30.9359374804432</v>
      </c>
      <c r="Q51" s="89" t="n">
        <f aca="false">IF(ISNUMBER(Q47),Q47/Q50,Q47)</f>
        <v>16.9461707082017</v>
      </c>
      <c r="R51" s="65" t="s">
        <v>2295</v>
      </c>
    </row>
    <row r="52" customFormat="false" ht="15" hidden="false" customHeight="false" outlineLevel="0" collapsed="false">
      <c r="A52" s="5" t="s">
        <v>2262</v>
      </c>
      <c r="B52" s="62" t="s">
        <v>132</v>
      </c>
      <c r="C52" s="87" t="n">
        <f aca="false">IF(ISNUMBER(C48),C48/C50,C48)</f>
        <v>4.65761248322648</v>
      </c>
      <c r="D52" s="87" t="n">
        <f aca="false">IF(ISNUMBER(D48),D48/D50,D48)</f>
        <v>3.25980722906933</v>
      </c>
      <c r="E52" s="87" t="n">
        <f aca="false">IF(ISNUMBER(E48),E48/E50,E48)</f>
        <v>1.89814157210748</v>
      </c>
      <c r="F52" s="87" t="n">
        <f aca="false">IF(ISNUMBER(F48),F48/F50,F48)</f>
        <v>20.9142503579379</v>
      </c>
      <c r="G52" s="87" t="n">
        <f aca="false">IF(ISNUMBER(G48),G48/G50,G48)</f>
        <v>15.6636370136179</v>
      </c>
      <c r="H52" s="87" t="n">
        <f aca="false">IF(ISNUMBER(H48),H48/H50,H48)</f>
        <v>9.65746816665913</v>
      </c>
      <c r="I52" s="87" t="n">
        <f aca="false">IF(ISNUMBER(I48),I48/I50,I48)</f>
        <v>21.6357670271249</v>
      </c>
      <c r="J52" s="87" t="n">
        <f aca="false">IF(ISNUMBER(J48),J48/J50,J48)</f>
        <v>16.7516822246201</v>
      </c>
      <c r="K52" s="87" t="n">
        <f aca="false">IF(ISNUMBER(K48),K48/K50,K48)</f>
        <v>9.83917915420274</v>
      </c>
      <c r="L52" s="87" t="n">
        <f aca="false">IF(ISNUMBER(L48),L48/L50,L48)</f>
        <v>34.0022726324742</v>
      </c>
      <c r="M52" s="87" t="n">
        <f aca="false">IF(ISNUMBER(M48),M48/M50,M48)</f>
        <v>26.455605069586</v>
      </c>
      <c r="N52" s="87" t="n">
        <f aca="false">IF(ISNUMBER(N48),N48/N50,N48)</f>
        <v>16.3757957081432</v>
      </c>
      <c r="O52" s="87" t="n">
        <f aca="false">IF(ISNUMBER(O48),O48/O50,O48)</f>
        <v>45.3020041273205</v>
      </c>
      <c r="P52" s="87" t="n">
        <f aca="false">IF(ISNUMBER(P48),P48/P50,P48)</f>
        <v>29.8066388777279</v>
      </c>
      <c r="Q52" s="87" t="n">
        <f aca="false">IF(ISNUMBER(Q48),Q48/Q50,Q48)</f>
        <v>16.3275604942961</v>
      </c>
      <c r="R52" s="65" t="s">
        <v>2296</v>
      </c>
    </row>
    <row r="53" customFormat="false" ht="15" hidden="false" customHeight="false" outlineLevel="0" collapsed="false">
      <c r="A53" s="5" t="s">
        <v>2264</v>
      </c>
      <c r="B53" s="62" t="s">
        <v>1040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15" hidden="false" customHeight="false" outlineLevel="0" collapsed="false">
      <c r="A54" s="5" t="s">
        <v>2297</v>
      </c>
      <c r="B54" s="62" t="s">
        <v>1040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0.599060192145636</v>
      </c>
      <c r="G54" s="161" t="n">
        <f aca="false">IF(AND(ISNUMBER(G53),ISNUMBER(Amortize!G32)),G53+Amortize!G32,"SLO 不可達")</f>
        <v>0.79979654126841</v>
      </c>
      <c r="H54" s="161" t="n">
        <f aca="false">IF(AND(ISNUMBER(H53),ISNUMBER(Amortize!H32)),H53+Amortize!H32,"SLO 不可達")</f>
        <v>1.2970668597897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2266</v>
      </c>
      <c r="B55" s="62" t="s">
        <v>1040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  <c r="R55" s="65" t="s">
        <v>2298</v>
      </c>
    </row>
    <row r="56" customFormat="false" ht="26.85" hidden="false" customHeight="false" outlineLevel="0" collapsed="false">
      <c r="A56" s="5" t="s">
        <v>2299</v>
      </c>
      <c r="B56" s="62" t="s">
        <v>1040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1.890740550451</v>
      </c>
      <c r="G56" s="161" t="n">
        <f aca="false">IF(AND(ISNUMBER(G53),ISNUMBER(Amortize!G47)),G53+Amortize!G47,"SLO 不可達")</f>
        <v>2.52424050339698</v>
      </c>
      <c r="H56" s="161" t="n">
        <f aca="false">IF(AND(ISNUMBER(H53),ISNUMBER(Amortize!H47)),H53+Amortize!H47,"SLO 不可達")</f>
        <v>4.09356626209152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2269</v>
      </c>
      <c r="B57" s="62" t="s">
        <v>127</v>
      </c>
      <c r="C57" s="86" t="n">
        <f aca="false">IF(ISNUMBER(C53),1-C53/INDEX(B4_EffRef,1,3),"SLO 不可達")</f>
        <v>0.793090009757795</v>
      </c>
      <c r="D57" s="86" t="n">
        <f aca="false">IF(ISNUMBER(D53),1-D53/INDEX(B4_EffRef,1,3),"SLO 不可達")</f>
        <v>0.704378923933862</v>
      </c>
      <c r="E57" s="86" t="n">
        <f aca="false">IF(ISNUMBER(E53),1-E53/INDEX(B4_EffRef,1,3),"SLO 不可達")</f>
        <v>0.492329810191961</v>
      </c>
      <c r="F57" s="86" t="n">
        <f aca="false">IF(ISNUMBER(F53),1-F53/INDEX(B4_EffRef,1,3),"SLO 不可達")</f>
        <v>0.953878958588618</v>
      </c>
      <c r="G57" s="86" t="n">
        <f aca="false">IF(ISNUMBER(G53),1-G53/INDEX(B4_EffRef,1,3),"SLO 不可達")</f>
        <v>0.938428020391667</v>
      </c>
      <c r="H57" s="86" t="n">
        <f aca="false">IF(ISNUMBER(H53),1-H53/INDEX(B4_EffRef,1,3),"SLO 不可達")</f>
        <v>0.90015247641457</v>
      </c>
      <c r="I57" s="86" t="n">
        <f aca="false">IF(ISNUMBER(I53),1-I53/INDEX(B4_EffRef,1,3),"SLO 不可達")</f>
        <v>0.955407627957038</v>
      </c>
      <c r="J57" s="86" t="n">
        <f aca="false">IF(ISNUMBER(J53),1-J53/INDEX(B4_EffRef,1,3),"SLO 不可達")</f>
        <v>0.942414470719745</v>
      </c>
      <c r="K57" s="86" t="n">
        <f aca="false">IF(ISNUMBER(K53),1-K53/INDEX(B4_EffRef,1,3),"SLO 不可達")</f>
        <v>0.901977346395201</v>
      </c>
      <c r="L57" s="86" t="n">
        <f aca="false">IF(ISNUMBER(L53),1-L53/INDEX(B4_EffRef,1,3),"SLO 不可達")</f>
        <v>0.971575622304212</v>
      </c>
      <c r="M57" s="86" t="n">
        <f aca="false">IF(ISNUMBER(M53),1-M53/INDEX(B4_EffRef,1,3),"SLO 不可達")</f>
        <v>0.963475271791678</v>
      </c>
      <c r="N57" s="86" t="n">
        <f aca="false">IF(ISNUMBER(N53),1-N53/INDEX(B4_EffRef,1,3),"SLO 不可達")</f>
        <v>0.941010270687144</v>
      </c>
      <c r="O57" s="86" t="n">
        <f aca="false">IF(ISNUMBER(O53),1-O53/INDEX(B4_EffRef,1,3),"SLO 不可達")</f>
        <v>0.978607871326847</v>
      </c>
      <c r="P57" s="86" t="n">
        <f aca="false">IF(ISNUMBER(P53),1-P53/INDEX(B4_EffRef,1,3),"SLO 不可達")</f>
        <v>0.967501340005987</v>
      </c>
      <c r="Q57" s="86" t="n">
        <f aca="false">IF(ISNUMBER(Q53),1-Q53/INDEX(B4_EffRef,1,3),"SLO 不可達")</f>
        <v>0.940695282767056</v>
      </c>
      <c r="R57" s="65" t="s">
        <v>2300</v>
      </c>
    </row>
    <row r="58" customFormat="false" ht="15" hidden="false" customHeight="false" outlineLevel="0" collapsed="false">
      <c r="A58" s="5" t="s">
        <v>2271</v>
      </c>
      <c r="B58" s="62" t="s">
        <v>127</v>
      </c>
      <c r="C58" s="86" t="n">
        <f aca="false">IF(ISNUMBER(C54),1-C54/INDEX(B4_EffRef,1,3),"SLO 不可達")</f>
        <v>0.44740455257431</v>
      </c>
      <c r="D58" s="86" t="n">
        <f aca="false">IF(ISNUMBER(D54),1-D54/INDEX(B4_EffRef,1,3),"SLO 不可達")</f>
        <v>0.210463551794718</v>
      </c>
      <c r="E58" s="86" t="n">
        <f aca="false">IF(ISNUMBER(E54),1-E54/INDEX(B4_EffRef,1,3),"SLO 不可達")</f>
        <v>-0.355904549303161</v>
      </c>
      <c r="F58" s="86" t="n">
        <f aca="false">IF(ISNUMBER(F54),1-F54/INDEX(B4_EffRef,1,3),"SLO 不可達")</f>
        <v>0.925448814583646</v>
      </c>
      <c r="G58" s="86" t="n">
        <f aca="false">IF(ISNUMBER(G54),1-G54/INDEX(B4_EffRef,1,3),"SLO 不可達")</f>
        <v>0.900467797685071</v>
      </c>
      <c r="H58" s="86" t="n">
        <f aca="false">IF(ISNUMBER(H54),1-H54/INDEX(B4_EffRef,1,3),"SLO 不可達")</f>
        <v>0.838584046762897</v>
      </c>
      <c r="I58" s="86" t="n">
        <f aca="false">IF(ISNUMBER(I54),1-I54/INDEX(B4_EffRef,1,3),"SLO 不可達")</f>
        <v>0.925515730989136</v>
      </c>
      <c r="J58" s="86" t="n">
        <f aca="false">IF(ISNUMBER(J54),1-J54/INDEX(B4_EffRef,1,3),"SLO 不可達")</f>
        <v>0.903807355916323</v>
      </c>
      <c r="K58" s="86" t="n">
        <f aca="false">IF(ISNUMBER(K54),1-K54/INDEX(B4_EffRef,1,3),"SLO 不可達")</f>
        <v>0.836246851131264</v>
      </c>
      <c r="L58" s="86" t="n">
        <f aca="false">IF(ISNUMBER(L54),1-L54/INDEX(B4_EffRef,1,3),"SLO 不可達")</f>
        <v>0.959059580661723</v>
      </c>
      <c r="M58" s="86" t="n">
        <f aca="false">IF(ISNUMBER(M54),1-M54/INDEX(B4_EffRef,1,3),"SLO 不可達")</f>
        <v>0.947388931710326</v>
      </c>
      <c r="N58" s="86" t="n">
        <f aca="false">IF(ISNUMBER(N54),1-N54/INDEX(B4_EffRef,1,3),"SLO 不可達")</f>
        <v>0.915022290146103</v>
      </c>
      <c r="O58" s="86" t="n">
        <f aca="false">IF(ISNUMBER(O54),1-O54/INDEX(B4_EffRef,1,3),"SLO 不可達")</f>
        <v>0.972089765375021</v>
      </c>
      <c r="P58" s="86" t="n">
        <f aca="false">IF(ISNUMBER(P54),1-P54/INDEX(B4_EffRef,1,3),"SLO 不可達")</f>
        <v>0.957594712695768</v>
      </c>
      <c r="Q58" s="86" t="n">
        <f aca="false">IF(ISNUMBER(Q54),1-Q54/INDEX(B4_EffRef,1,3),"SLO 不可達")</f>
        <v>0.922610323728927</v>
      </c>
      <c r="R58" s="65" t="s">
        <v>2301</v>
      </c>
    </row>
    <row r="59" customFormat="false" ht="15" hidden="false" customHeight="false" outlineLevel="0" collapsed="false">
      <c r="A59" s="5" t="s">
        <v>2273</v>
      </c>
      <c r="B59" s="62" t="s">
        <v>127</v>
      </c>
      <c r="C59" s="86" t="n">
        <f aca="false">IF(ISNUMBER(C55),1-C55/INDEX(B4_EffRef,1,3),"SLO 不可達")</f>
        <v>0.495341487214135</v>
      </c>
      <c r="D59" s="86" t="n">
        <f aca="false">IF(ISNUMBER(D55),1-D55/INDEX(B4_EffRef,1,3),"SLO 不可達")</f>
        <v>0.278972985204542</v>
      </c>
      <c r="E59" s="86" t="n">
        <f aca="false">IF(ISNUMBER(E55),1-E55/INDEX(B4_EffRef,1,3),"SLO 不可達")</f>
        <v>-0.23821997514156</v>
      </c>
      <c r="F59" s="86" t="n">
        <f aca="false">IF(ISNUMBER(F55),1-F55/INDEX(B4_EffRef,1,3),"SLO 不可達")</f>
        <v>0.887509655094191</v>
      </c>
      <c r="G59" s="86" t="n">
        <f aca="false">IF(ISNUMBER(G55),1-G55/INDEX(B4_EffRef,1,3),"SLO 不可達")</f>
        <v>0.849824439979676</v>
      </c>
      <c r="H59" s="86" t="n">
        <f aca="false">IF(ISNUMBER(H55),1-H55/INDEX(B4_EffRef,1,3),"SLO 不可達")</f>
        <v>0.756469454669683</v>
      </c>
      <c r="I59" s="86" t="n">
        <f aca="false">IF(ISNUMBER(I55),1-I55/INDEX(B4_EffRef,1,3),"SLO 不可達")</f>
        <v>0.891238116968385</v>
      </c>
      <c r="J59" s="86" t="n">
        <f aca="false">IF(ISNUMBER(J55),1-J55/INDEX(B4_EffRef,1,3),"SLO 不可達")</f>
        <v>0.859547489560352</v>
      </c>
      <c r="K59" s="86" t="n">
        <f aca="false">IF(ISNUMBER(K55),1-K55/INDEX(B4_EffRef,1,3),"SLO 不可達")</f>
        <v>0.760920357061466</v>
      </c>
      <c r="L59" s="86" t="n">
        <f aca="false">IF(ISNUMBER(L55),1-L55/INDEX(B4_EffRef,1,3),"SLO 不可達")</f>
        <v>0.930672249522468</v>
      </c>
      <c r="M59" s="86" t="n">
        <f aca="false">IF(ISNUMBER(M55),1-M55/INDEX(B4_EffRef,1,3),"SLO 不可達")</f>
        <v>0.910915297052872</v>
      </c>
      <c r="N59" s="86" t="n">
        <f aca="false">IF(ISNUMBER(N55),1-N55/INDEX(B4_EffRef,1,3),"SLO 不可達")</f>
        <v>0.856122611432059</v>
      </c>
      <c r="O59" s="86" t="n">
        <f aca="false">IF(ISNUMBER(O55),1-O55/INDEX(B4_EffRef,1,3),"SLO 不可達")</f>
        <v>0.947824076406943</v>
      </c>
      <c r="P59" s="86" t="n">
        <f aca="false">IF(ISNUMBER(P55),1-P55/INDEX(B4_EffRef,1,3),"SLO 不可達")</f>
        <v>0.920734975624359</v>
      </c>
      <c r="Q59" s="86" t="n">
        <f aca="false">IF(ISNUMBER(Q55),1-Q55/INDEX(B4_EffRef,1,3),"SLO 不可達")</f>
        <v>0.855354348212332</v>
      </c>
      <c r="R59" s="65" t="s">
        <v>2302</v>
      </c>
    </row>
    <row r="60" customFormat="false" ht="15" hidden="false" customHeight="false" outlineLevel="0" collapsed="false">
      <c r="A60" s="5" t="s">
        <v>2275</v>
      </c>
      <c r="B60" s="62" t="s">
        <v>127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0.764703194772414</v>
      </c>
      <c r="G60" s="117" t="n">
        <f aca="false">IF(ISNUMBER(G56),1-G56/INDEX(B4_EffRef,1,3),"SLO 不可達")</f>
        <v>0.685866087796282</v>
      </c>
      <c r="H60" s="117" t="n">
        <f aca="false">IF(ISNUMBER(H56),1-H56/INDEX(B4_EffRef,1,3),"SLO 不可達")</f>
        <v>0.490568357870247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2276</v>
      </c>
      <c r="B61" s="62" t="s">
        <v>127</v>
      </c>
      <c r="C61" s="86" t="n">
        <f aca="false">IF(ISNUMBER(C55),1-C55/INDEX(B4_FrontRef,1,3),"SLO 不可達")</f>
        <v>0.476221245053476</v>
      </c>
      <c r="D61" s="86" t="n">
        <f aca="false">IF(ISNUMBER(D55),1-D55/INDEX(B4_FrontRef,1,3),"SLO 不可達")</f>
        <v>0.251655084529169</v>
      </c>
      <c r="E61" s="86" t="n">
        <f aca="false">IF(ISNUMBER(E55),1-E55/INDEX(B4_FrontRef,1,3),"SLO 不可達")</f>
        <v>-0.285133016679644</v>
      </c>
      <c r="F61" s="86" t="n">
        <f aca="false">IF(ISNUMBER(F55),1-F55/INDEX(B4_FrontRef,1,3),"SLO 不可達")</f>
        <v>0.883247678765957</v>
      </c>
      <c r="G61" s="86" t="n">
        <f aca="false">IF(ISNUMBER(G55),1-G55/INDEX(B4_FrontRef,1,3),"SLO 不可達")</f>
        <v>0.844134665604624</v>
      </c>
      <c r="H61" s="86" t="n">
        <f aca="false">IF(ISNUMBER(H55),1-H55/INDEX(B4_FrontRef,1,3),"SLO 不可達")</f>
        <v>0.747242694628465</v>
      </c>
      <c r="I61" s="86" t="n">
        <f aca="false">IF(ISNUMBER(I55),1-I55/INDEX(B4_FrontRef,1,3),"SLO 不可達")</f>
        <v>0.887117402685901</v>
      </c>
      <c r="J61" s="86" t="n">
        <f aca="false">IF(ISNUMBER(J55),1-J55/INDEX(B4_FrontRef,1,3),"SLO 不可達")</f>
        <v>0.854226097086749</v>
      </c>
      <c r="K61" s="86" t="n">
        <f aca="false">IF(ISNUMBER(K55),1-K55/INDEX(B4_FrontRef,1,3),"SLO 不可達")</f>
        <v>0.751862230520741</v>
      </c>
      <c r="L61" s="86" t="n">
        <f aca="false">IF(ISNUMBER(L55),1-L55/INDEX(B4_FrontRef,1,3),"SLO 不可達")</f>
        <v>0.928045595371196</v>
      </c>
      <c r="M61" s="86" t="n">
        <f aca="false">IF(ISNUMBER(M55),1-M55/INDEX(B4_FrontRef,1,3),"SLO 不可達")</f>
        <v>0.907540101648446</v>
      </c>
      <c r="N61" s="86" t="n">
        <f aca="false">IF(ISNUMBER(N55),1-N55/INDEX(B4_FrontRef,1,3),"SLO 不可達")</f>
        <v>0.850671458937522</v>
      </c>
      <c r="O61" s="86" t="n">
        <f aca="false">IF(ISNUMBER(O55),1-O55/INDEX(B4_FrontRef,1,3),"SLO 不可達")</f>
        <v>0.945847261850604</v>
      </c>
      <c r="P61" s="86" t="n">
        <f aca="false">IF(ISNUMBER(P55),1-P55/INDEX(B4_FrontRef,1,3),"SLO 不可達")</f>
        <v>0.917731823150884</v>
      </c>
      <c r="Q61" s="86" t="n">
        <f aca="false">IF(ISNUMBER(Q55),1-Q55/INDEX(B4_FrontRef,1,3),"SLO 不可達")</f>
        <v>0.849874088156083</v>
      </c>
      <c r="R61" s="65" t="s">
        <v>2303</v>
      </c>
    </row>
    <row r="63" customFormat="false" ht="15" hidden="false" customHeight="false" outlineLevel="0" collapsed="false">
      <c r="A63" s="77" t="s">
        <v>2304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</row>
    <row r="64" customFormat="false" ht="26.85" hidden="false" customHeight="false" outlineLevel="0" collapsed="false">
      <c r="A64" s="6" t="s">
        <v>2305</v>
      </c>
      <c r="B64" s="62" t="s">
        <v>2255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2306</v>
      </c>
      <c r="B65" s="62" t="s">
        <v>2255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2307</v>
      </c>
      <c r="B66" s="62" t="s">
        <v>2255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2308</v>
      </c>
      <c r="B67" s="62" t="s">
        <v>2255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2309</v>
      </c>
      <c r="B68" s="62" t="s">
        <v>2255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2310</v>
      </c>
      <c r="B69" s="62" t="s">
        <v>2255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2311</v>
      </c>
      <c r="B70" s="62" t="s">
        <v>2255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2312</v>
      </c>
      <c r="B71" s="62" t="s">
        <v>2255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2313</v>
      </c>
      <c r="B72" s="62" t="s">
        <v>2255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  <c r="R72" s="65" t="s">
        <v>2314</v>
      </c>
    </row>
    <row r="73" customFormat="false" ht="15" hidden="false" customHeight="false" outlineLevel="0" collapsed="false">
      <c r="A73" s="5" t="s">
        <v>2315</v>
      </c>
      <c r="B73" s="62" t="s">
        <v>132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65" t="s">
        <v>2316</v>
      </c>
    </row>
    <row r="74" customFormat="false" ht="15" hidden="false" customHeight="false" outlineLevel="0" collapsed="false">
      <c r="A74" s="5"/>
      <c r="B74" s="61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65" t="s">
        <v>2317</v>
      </c>
    </row>
    <row r="76" customFormat="false" ht="15" hidden="false" customHeight="false" outlineLevel="0" collapsed="false">
      <c r="A76" s="77" t="s">
        <v>2318</v>
      </c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</row>
    <row r="77" customFormat="false" ht="15" hidden="false" customHeight="false" outlineLevel="0" collapsed="false">
      <c r="A77" s="60" t="s">
        <v>2319</v>
      </c>
      <c r="C77" s="83" t="str">
        <f aca="false">Workload!C4</f>
        <v>一般聊天</v>
      </c>
      <c r="D77" s="83" t="str">
        <f aca="false">Workload!D4</f>
        <v>推理聊天</v>
      </c>
      <c r="E77" s="83" t="str">
        <f aca="false">Workload!E4</f>
        <v>單代理（工具迴圈）</v>
      </c>
      <c r="F77" s="83" t="str">
        <f aca="false">Workload!F4</f>
        <v>多代理研究</v>
      </c>
      <c r="G77" s="83" t="str">
        <f aca="false">Workload!G4</f>
        <v>Coding agent（長程）</v>
      </c>
      <c r="R77" s="65" t="s">
        <v>2320</v>
      </c>
    </row>
    <row r="78" customFormat="false" ht="15" hidden="false" customHeight="false" outlineLevel="0" collapsed="false">
      <c r="A78" s="61"/>
      <c r="B78" s="61"/>
      <c r="C78" s="96"/>
      <c r="D78" s="96"/>
      <c r="E78" s="96"/>
      <c r="F78" s="96"/>
      <c r="G78" s="96"/>
      <c r="R78" s="65" t="s">
        <v>2321</v>
      </c>
    </row>
    <row r="79" customFormat="false" ht="15" hidden="false" customHeight="false" outlineLevel="0" collapsed="false">
      <c r="A79" s="61"/>
      <c r="B79" s="61"/>
      <c r="C79" s="96"/>
      <c r="D79" s="96"/>
      <c r="E79" s="96"/>
      <c r="F79" s="96"/>
      <c r="G79" s="96"/>
      <c r="R79" s="65" t="s">
        <v>2322</v>
      </c>
    </row>
    <row r="80" customFormat="false" ht="15" hidden="false" customHeight="false" outlineLevel="0" collapsed="false">
      <c r="A80" s="61"/>
      <c r="B80" s="61"/>
      <c r="C80" s="96"/>
      <c r="D80" s="96"/>
      <c r="E80" s="96"/>
      <c r="F80" s="96"/>
      <c r="G80" s="96"/>
      <c r="R80" s="65" t="s">
        <v>2323</v>
      </c>
    </row>
    <row r="81" customFormat="false" ht="15" hidden="false" customHeight="false" outlineLevel="0" collapsed="false">
      <c r="A81" s="61"/>
      <c r="B81" s="61"/>
      <c r="C81" s="111"/>
      <c r="D81" s="111"/>
      <c r="E81" s="111"/>
      <c r="F81" s="111"/>
      <c r="G81" s="111"/>
      <c r="R81" s="65" t="s">
        <v>2324</v>
      </c>
    </row>
    <row r="82" customFormat="false" ht="15" hidden="false" customHeight="false" outlineLevel="0" collapsed="false">
      <c r="A82" s="61"/>
      <c r="B82" s="61"/>
      <c r="C82" s="111"/>
      <c r="D82" s="111"/>
      <c r="E82" s="111"/>
      <c r="F82" s="111"/>
      <c r="G82" s="111"/>
      <c r="R82" s="65" t="s">
        <v>2325</v>
      </c>
    </row>
    <row r="83" customFormat="false" ht="15" hidden="false" customHeight="false" outlineLevel="0" collapsed="false">
      <c r="A83" s="61"/>
      <c r="B83" s="61"/>
      <c r="C83" s="111"/>
      <c r="D83" s="111"/>
      <c r="E83" s="111"/>
      <c r="F83" s="111"/>
      <c r="G83" s="111"/>
      <c r="R83" s="65" t="s">
        <v>2326</v>
      </c>
    </row>
    <row r="84" customFormat="false" ht="15" hidden="false" customHeight="false" outlineLevel="0" collapsed="false">
      <c r="A84" s="61"/>
      <c r="B84" s="61"/>
      <c r="C84" s="111"/>
      <c r="D84" s="111"/>
      <c r="E84" s="111"/>
      <c r="F84" s="111"/>
      <c r="G84" s="111"/>
      <c r="R84" s="65" t="s">
        <v>2327</v>
      </c>
    </row>
    <row r="85" customFormat="false" ht="15" hidden="false" customHeight="false" outlineLevel="0" collapsed="false">
      <c r="A85" s="61"/>
      <c r="B85" s="61"/>
      <c r="C85" s="111"/>
      <c r="D85" s="111"/>
      <c r="E85" s="111"/>
      <c r="F85" s="111"/>
      <c r="G85" s="111"/>
      <c r="R85" s="65" t="s">
        <v>2328</v>
      </c>
    </row>
    <row r="86" customFormat="false" ht="15" hidden="false" customHeight="false" outlineLevel="0" collapsed="false">
      <c r="A86" s="61"/>
      <c r="B86" s="61"/>
      <c r="C86" s="111"/>
      <c r="D86" s="111"/>
      <c r="E86" s="111"/>
      <c r="F86" s="111"/>
      <c r="G86" s="111"/>
      <c r="R86" s="65" t="s">
        <v>2329</v>
      </c>
    </row>
    <row r="87" customFormat="false" ht="15" hidden="false" customHeight="false" outlineLevel="0" collapsed="false">
      <c r="A87" s="65" t="s">
        <v>2330</v>
      </c>
    </row>
    <row r="89" customFormat="false" ht="15" hidden="false" customHeight="false" outlineLevel="0" collapsed="false">
      <c r="A89" s="77" t="s">
        <v>2331</v>
      </c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</row>
    <row r="90" customFormat="false" ht="15" hidden="false" customHeight="false" outlineLevel="0" collapsed="false">
      <c r="A90" s="61" t="s">
        <v>2332</v>
      </c>
      <c r="B90" s="62" t="s">
        <v>2255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2333</v>
      </c>
      <c r="B91" s="62" t="s">
        <v>2255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2334</v>
      </c>
      <c r="B92" s="62" t="s">
        <v>2255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2335</v>
      </c>
      <c r="B93" s="62" t="s">
        <v>2255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2336</v>
      </c>
    </row>
    <row r="96" customFormat="false" ht="15" hidden="false" customHeight="false" outlineLevel="0" collapsed="false">
      <c r="A96" s="59" t="s">
        <v>2337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2338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2339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2340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7" t="s">
        <v>2341</v>
      </c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</row>
    <row r="102" customFormat="false" ht="15" hidden="false" customHeight="false" outlineLevel="0" collapsed="false">
      <c r="A102" s="59" t="s">
        <v>2342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2343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2344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2345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2346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2347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2348</v>
      </c>
    </row>
    <row r="2" customFormat="false" ht="15" hidden="false" customHeight="false" outlineLevel="0" collapsed="false">
      <c r="A2" s="65" t="s">
        <v>2349</v>
      </c>
    </row>
    <row r="4" customFormat="false" ht="29.85" hidden="false" customHeight="false" outlineLevel="0" collapsed="false">
      <c r="A4" s="84" t="s">
        <v>2350</v>
      </c>
      <c r="B4" s="84" t="s">
        <v>378</v>
      </c>
      <c r="C4" s="85" t="s">
        <v>2351</v>
      </c>
      <c r="D4" s="84" t="s">
        <v>2352</v>
      </c>
      <c r="E4" s="84" t="s">
        <v>2353</v>
      </c>
      <c r="F4" s="84" t="s">
        <v>2352</v>
      </c>
      <c r="G4" s="84" t="s">
        <v>379</v>
      </c>
    </row>
    <row r="5" customFormat="false" ht="15" hidden="false" customHeight="false" outlineLevel="0" collapsed="false">
      <c r="A5" s="61" t="s">
        <v>111</v>
      </c>
      <c r="B5" s="105" t="s">
        <v>809</v>
      </c>
      <c r="C5" s="165" t="n">
        <f aca="false">Theory_Rev!M33*D5</f>
        <v>25.1594808921188</v>
      </c>
      <c r="D5" s="78" t="n">
        <f aca="false">1</f>
        <v>1</v>
      </c>
      <c r="E5" s="166" t="n">
        <f aca="false">Theory_Rev!M73*F5</f>
        <v>5.39552537095327</v>
      </c>
      <c r="F5" s="78" t="n">
        <f aca="false">1</f>
        <v>1</v>
      </c>
      <c r="G5" s="88" t="s">
        <v>2354</v>
      </c>
    </row>
    <row r="6" customFormat="false" ht="15" hidden="false" customHeight="false" outlineLevel="0" collapsed="false">
      <c r="A6" s="61" t="s">
        <v>2355</v>
      </c>
      <c r="B6" s="81" t="n">
        <v>0.4</v>
      </c>
      <c r="C6" s="165" t="n">
        <f aca="false">Theory_Rev!M33*D6</f>
        <v>16.7729872614125</v>
      </c>
      <c r="D6" s="78" t="n">
        <f aca="false">B6/IF_Util</f>
        <v>0.666666666666667</v>
      </c>
      <c r="E6" s="166" t="n">
        <f aca="false">Theory_Rev!M73*F6</f>
        <v>3.59701691396885</v>
      </c>
      <c r="F6" s="78" t="n">
        <f aca="false">B6/IF_Util</f>
        <v>0.666666666666667</v>
      </c>
      <c r="G6" s="93" t="s">
        <v>2356</v>
      </c>
    </row>
    <row r="7" customFormat="false" ht="15" hidden="false" customHeight="false" outlineLevel="0" collapsed="false">
      <c r="A7" s="61" t="s">
        <v>2357</v>
      </c>
      <c r="B7" s="81" t="n">
        <v>0.8</v>
      </c>
      <c r="C7" s="165" t="n">
        <f aca="false">Theory_Rev!M33*D7</f>
        <v>33.5459745228251</v>
      </c>
      <c r="D7" s="78" t="n">
        <f aca="false">B7/IF_Util</f>
        <v>1.33333333333333</v>
      </c>
      <c r="E7" s="166" t="n">
        <f aca="false">Theory_Rev!M73*F7</f>
        <v>7.1940338279377</v>
      </c>
      <c r="F7" s="78" t="n">
        <f aca="false">B7/IF_Util</f>
        <v>1.33333333333333</v>
      </c>
      <c r="G7" s="93"/>
    </row>
    <row r="8" customFormat="false" ht="15" hidden="false" customHeight="false" outlineLevel="0" collapsed="false">
      <c r="A8" s="61" t="s">
        <v>2358</v>
      </c>
      <c r="B8" s="81" t="n">
        <v>0.1</v>
      </c>
      <c r="C8" s="165" t="n">
        <f aca="false">Theory_Rev!M33*D8</f>
        <v>28.3044160036336</v>
      </c>
      <c r="D8" s="78" t="n">
        <f aca="false">(1-B8)/(1-B4_Disc)</f>
        <v>1.125</v>
      </c>
      <c r="E8" s="166" t="n">
        <f aca="false">Theory_Rev!M73*F8</f>
        <v>6.06996604232243</v>
      </c>
      <c r="F8" s="78" t="n">
        <f aca="false">(1-B8)/(1-B4_Disc)</f>
        <v>1.125</v>
      </c>
      <c r="G8" s="93"/>
    </row>
    <row r="9" customFormat="false" ht="15" hidden="false" customHeight="false" outlineLevel="0" collapsed="false">
      <c r="A9" s="61" t="s">
        <v>2359</v>
      </c>
      <c r="B9" s="81" t="n">
        <v>0.3</v>
      </c>
      <c r="C9" s="165" t="n">
        <f aca="false">Theory_Rev!M33*D9</f>
        <v>22.0145457806039</v>
      </c>
      <c r="D9" s="78" t="n">
        <f aca="false">(1-B9)/(1-B4_Disc)</f>
        <v>0.875</v>
      </c>
      <c r="E9" s="166" t="n">
        <f aca="false">Theory_Rev!M73*F9</f>
        <v>4.72108469958411</v>
      </c>
      <c r="F9" s="78" t="n">
        <f aca="false">(1-B9)/(1-B4_Disc)</f>
        <v>0.875</v>
      </c>
      <c r="G9" s="93"/>
    </row>
    <row r="10" customFormat="false" ht="15" hidden="false" customHeight="false" outlineLevel="0" collapsed="false">
      <c r="A10" s="61" t="s">
        <v>2360</v>
      </c>
      <c r="B10" s="81" t="n">
        <v>0.3</v>
      </c>
      <c r="C10" s="165" t="n">
        <f aca="false">Theory_Rev!M33*D10</f>
        <v>30.1691120432044</v>
      </c>
      <c r="D10" s="78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809</v>
      </c>
      <c r="F10" s="62" t="s">
        <v>809</v>
      </c>
      <c r="G10" s="93" t="s">
        <v>2361</v>
      </c>
    </row>
    <row r="11" customFormat="false" ht="15" hidden="false" customHeight="false" outlineLevel="0" collapsed="false">
      <c r="A11" s="61" t="s">
        <v>2362</v>
      </c>
      <c r="B11" s="81" t="n">
        <v>0.75</v>
      </c>
      <c r="C11" s="165" t="n">
        <f aca="false">Theory_Rev!M33*D11</f>
        <v>21.1517759712503</v>
      </c>
      <c r="D11" s="78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809</v>
      </c>
      <c r="F11" s="62" t="s">
        <v>809</v>
      </c>
      <c r="G11" s="93"/>
    </row>
    <row r="12" customFormat="false" ht="15" hidden="false" customHeight="false" outlineLevel="0" collapsed="false">
      <c r="A12" s="61" t="s">
        <v>2363</v>
      </c>
      <c r="B12" s="81" t="n">
        <v>0.3</v>
      </c>
      <c r="C12" s="165" t="n">
        <f aca="false">Theory_Rev!M33*D12</f>
        <v>25.1594808921188</v>
      </c>
      <c r="D12" s="78" t="n">
        <f aca="false">1</f>
        <v>1</v>
      </c>
      <c r="E12" s="166" t="n">
        <f aca="false">Theory_Rev!M73*F12</f>
        <v>3.94794539338044</v>
      </c>
      <c r="F12" s="78" t="n">
        <f aca="false">B12/B4_Serve</f>
        <v>0.731707317073171</v>
      </c>
      <c r="G12" s="93" t="s">
        <v>2364</v>
      </c>
    </row>
    <row r="13" customFormat="false" ht="15" hidden="false" customHeight="false" outlineLevel="0" collapsed="false">
      <c r="A13" s="61" t="s">
        <v>2365</v>
      </c>
      <c r="B13" s="81" t="n">
        <v>0.6</v>
      </c>
      <c r="C13" s="165" t="n">
        <f aca="false">Theory_Rev!M33*D13</f>
        <v>25.1594808921188</v>
      </c>
      <c r="D13" s="78" t="n">
        <f aca="false">1</f>
        <v>1</v>
      </c>
      <c r="E13" s="166" t="n">
        <f aca="false">Theory_Rev!M73*F13</f>
        <v>7.89589078676089</v>
      </c>
      <c r="F13" s="78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2366</v>
      </c>
      <c r="B14" s="81" t="n">
        <v>0.35</v>
      </c>
      <c r="C14" s="165" t="n">
        <f aca="false">Theory_Rev!M33*D14</f>
        <v>25.1594808921188</v>
      </c>
      <c r="D14" s="78" t="n">
        <f aca="false">1</f>
        <v>1</v>
      </c>
      <c r="E14" s="166" t="n">
        <f aca="false">Theory_Rev!M73*F14</f>
        <v>6.49461387244376</v>
      </c>
      <c r="F14" s="78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2367</v>
      </c>
      <c r="B15" s="81" t="n">
        <v>0.6</v>
      </c>
      <c r="C15" s="165" t="n">
        <f aca="false">Theory_Rev!M33*D15</f>
        <v>25.1594808921188</v>
      </c>
      <c r="D15" s="78" t="n">
        <f aca="false">1</f>
        <v>1</v>
      </c>
      <c r="E15" s="166" t="n">
        <f aca="false">Theory_Rev!M73*F15</f>
        <v>3.99668545996539</v>
      </c>
      <c r="F15" s="78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2368</v>
      </c>
      <c r="B16" s="105" t="s">
        <v>809</v>
      </c>
      <c r="C16" s="165" t="n">
        <f aca="false">Theory_Rev!M33*D16</f>
        <v>25.1594808921188</v>
      </c>
      <c r="D16" s="78" t="n">
        <f aca="false">INDEX(B4_FrontRef,1,2)/INDEX(B4_EffRef,1,2)</f>
        <v>1</v>
      </c>
      <c r="E16" s="62" t="s">
        <v>809</v>
      </c>
      <c r="F16" s="62" t="s">
        <v>809</v>
      </c>
      <c r="G16" s="88" t="s">
        <v>2369</v>
      </c>
    </row>
    <row r="17" customFormat="false" ht="15" hidden="false" customHeight="false" outlineLevel="0" collapsed="false">
      <c r="A17" s="62" t="s">
        <v>2370</v>
      </c>
      <c r="B17" s="167" t="n">
        <v>7</v>
      </c>
      <c r="C17" s="165" t="n">
        <f aca="false">Theory_Rev!M33*D17</f>
        <v>66.5657295560278</v>
      </c>
      <c r="D17" s="97" t="n">
        <f aca="false">EXP(CST_Eps*LN(B17))/Price_Frontier!D38</f>
        <v>2.64575131106459</v>
      </c>
      <c r="E17" s="166" t="n">
        <f aca="false">Theory_Rev!M73*F17</f>
        <v>14.2752183240819</v>
      </c>
      <c r="F17" s="97" t="n">
        <f aca="false">EXP(CST_Eps*LN(B17))/Price_Frontier!D38</f>
        <v>2.64575131106459</v>
      </c>
      <c r="G17" s="88" t="s">
        <v>2371</v>
      </c>
    </row>
    <row r="18" customFormat="false" ht="26.85" hidden="false" customHeight="false" outlineLevel="0" collapsed="false">
      <c r="A18" s="62" t="s">
        <v>2372</v>
      </c>
      <c r="B18" s="82" t="n">
        <v>0.5</v>
      </c>
      <c r="G18" s="93" t="s">
        <v>2373</v>
      </c>
    </row>
    <row r="19" customFormat="false" ht="15" hidden="false" customHeight="false" outlineLevel="0" collapsed="false">
      <c r="A19" s="60" t="s">
        <v>2374</v>
      </c>
    </row>
    <row r="20" customFormat="false" ht="15" hidden="false" customHeight="false" outlineLevel="0" collapsed="false">
      <c r="A20" s="61" t="str">
        <f aca="false">"壽命 "&amp;TEXT(B20,"0")&amp;" 個月"</f>
        <v>壽命 6 個月</v>
      </c>
      <c r="B20" s="168" t="n">
        <f aca="false">Cap_In!D23</f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2375</v>
      </c>
    </row>
    <row r="21" customFormat="false" ht="15" hidden="false" customHeight="false" outlineLevel="0" collapsed="false">
      <c r="A21" s="61" t="str">
        <f aca="false">"壽命 "&amp;TEXT(B21,"0")&amp;" 個月"</f>
        <v>壽命 24 個月</v>
      </c>
      <c r="B21" s="168" t="n">
        <f aca="false">Cap_In!D24</f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2375</v>
      </c>
    </row>
    <row r="23" customFormat="false" ht="15" hidden="false" customHeight="false" outlineLevel="0" collapsed="false">
      <c r="A23" s="65" t="s">
        <v>2376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2377</v>
      </c>
    </row>
    <row r="2" customFormat="false" ht="15" hidden="false" customHeight="false" outlineLevel="0" collapsed="false">
      <c r="A2" s="65" t="s">
        <v>2378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7" t="s">
        <v>2379</v>
      </c>
      <c r="B4" s="71"/>
      <c r="C4" s="71"/>
      <c r="D4" s="71"/>
      <c r="E4" s="71"/>
      <c r="F4" s="71"/>
      <c r="G4" s="71"/>
      <c r="H4" s="71"/>
      <c r="I4" s="71"/>
    </row>
    <row r="5" customFormat="false" ht="15" hidden="false" customHeight="false" outlineLevel="0" collapsed="false">
      <c r="A5" s="61" t="s">
        <v>2380</v>
      </c>
      <c r="B5" s="61" t="s">
        <v>122</v>
      </c>
      <c r="C5" s="68" t="n">
        <v>2</v>
      </c>
      <c r="H5" s="59" t="s">
        <v>118</v>
      </c>
      <c r="I5" s="65" t="s">
        <v>2381</v>
      </c>
    </row>
    <row r="6" customFormat="false" ht="15" hidden="false" customHeight="false" outlineLevel="0" collapsed="false">
      <c r="A6" s="61" t="s">
        <v>2382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2383</v>
      </c>
      <c r="B7" s="62" t="s">
        <v>132</v>
      </c>
      <c r="C7" s="166" t="n">
        <f aca="false">Tech_Registry!O16*Tech_Registry!N16</f>
        <v>0</v>
      </c>
      <c r="I7" s="59" t="s">
        <v>2384</v>
      </c>
    </row>
    <row r="8" customFormat="false" ht="15" hidden="false" customHeight="false" outlineLevel="0" collapsed="false">
      <c r="A8" s="61" t="s">
        <v>2385</v>
      </c>
      <c r="B8" s="62" t="s">
        <v>127</v>
      </c>
      <c r="C8" s="67" t="n">
        <v>0.5</v>
      </c>
      <c r="H8" s="59" t="s">
        <v>118</v>
      </c>
      <c r="I8" s="59" t="s">
        <v>2386</v>
      </c>
    </row>
    <row r="9" customFormat="false" ht="15" hidden="false" customHeight="false" outlineLevel="0" collapsed="false">
      <c r="A9" s="77" t="s">
        <v>2387</v>
      </c>
      <c r="B9" s="71"/>
      <c r="C9" s="71"/>
      <c r="D9" s="71"/>
      <c r="E9" s="71"/>
      <c r="F9" s="71"/>
      <c r="G9" s="71"/>
      <c r="H9" s="71"/>
      <c r="I9" s="71"/>
    </row>
    <row r="10" customFormat="false" ht="15" hidden="false" customHeight="false" outlineLevel="0" collapsed="false">
      <c r="A10" s="60" t="s">
        <v>2388</v>
      </c>
    </row>
    <row r="11" customFormat="false" ht="30" hidden="false" customHeight="true" outlineLevel="0" collapsed="false">
      <c r="A11" s="60" t="s">
        <v>108</v>
      </c>
      <c r="B11" s="60" t="s">
        <v>109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113</v>
      </c>
      <c r="I11" s="60" t="s">
        <v>379</v>
      </c>
      <c r="J11" s="65" t="s">
        <v>2389</v>
      </c>
    </row>
    <row r="12" customFormat="false" ht="39.55" hidden="false" customHeight="false" outlineLevel="0" collapsed="false">
      <c r="A12" s="61" t="s">
        <v>2390</v>
      </c>
      <c r="B12" s="62" t="s">
        <v>132</v>
      </c>
      <c r="C12" s="80" t="n">
        <v>1</v>
      </c>
      <c r="D12" s="80" t="n">
        <v>1</v>
      </c>
      <c r="E12" s="80" t="n">
        <v>0.7</v>
      </c>
      <c r="F12" s="80" t="n">
        <v>0.7</v>
      </c>
      <c r="G12" s="80" t="n">
        <v>0.7</v>
      </c>
      <c r="H12" s="59" t="s">
        <v>128</v>
      </c>
      <c r="I12" s="93" t="s">
        <v>2391</v>
      </c>
    </row>
    <row r="13" customFormat="false" ht="15" hidden="false" customHeight="false" outlineLevel="0" collapsed="false">
      <c r="A13" s="61" t="s">
        <v>2392</v>
      </c>
      <c r="B13" s="62" t="s">
        <v>127</v>
      </c>
      <c r="C13" s="67" t="n">
        <v>0</v>
      </c>
      <c r="D13" s="67" t="n">
        <v>0</v>
      </c>
      <c r="E13" s="67" t="n">
        <v>1</v>
      </c>
      <c r="F13" s="67" t="n">
        <v>1</v>
      </c>
      <c r="G13" s="67" t="n">
        <v>1</v>
      </c>
      <c r="H13" s="59" t="s">
        <v>2393</v>
      </c>
      <c r="I13" s="88" t="s">
        <v>2394</v>
      </c>
    </row>
    <row r="14" customFormat="false" ht="15" hidden="false" customHeight="false" outlineLevel="0" collapsed="false">
      <c r="A14" s="61" t="s">
        <v>2395</v>
      </c>
      <c r="B14" s="62" t="s">
        <v>132</v>
      </c>
      <c r="C14" s="80" t="n">
        <v>1</v>
      </c>
      <c r="D14" s="80" t="n">
        <v>1</v>
      </c>
      <c r="E14" s="80" t="n">
        <v>0.8</v>
      </c>
      <c r="F14" s="80" t="n">
        <v>0.8</v>
      </c>
      <c r="G14" s="80" t="n">
        <v>0.8</v>
      </c>
      <c r="H14" s="59" t="s">
        <v>128</v>
      </c>
      <c r="I14" s="93" t="s">
        <v>2396</v>
      </c>
    </row>
    <row r="15" customFormat="false" ht="15" hidden="false" customHeight="false" outlineLevel="0" collapsed="false">
      <c r="A15" s="61" t="s">
        <v>2397</v>
      </c>
      <c r="B15" s="62" t="s">
        <v>132</v>
      </c>
      <c r="C15" s="80" t="n">
        <v>1</v>
      </c>
      <c r="D15" s="80" t="n">
        <v>1</v>
      </c>
      <c r="E15" s="80" t="n">
        <v>0.7</v>
      </c>
      <c r="F15" s="80" t="n">
        <v>0.7</v>
      </c>
      <c r="G15" s="80" t="n">
        <v>0.7</v>
      </c>
      <c r="H15" s="59" t="s">
        <v>128</v>
      </c>
      <c r="I15" s="93" t="s">
        <v>2398</v>
      </c>
    </row>
    <row r="16" customFormat="false" ht="15" hidden="false" customHeight="false" outlineLevel="0" collapsed="false">
      <c r="A16" s="61" t="s">
        <v>2399</v>
      </c>
      <c r="B16" s="61" t="s">
        <v>2400</v>
      </c>
      <c r="C16" s="67" t="n">
        <v>0</v>
      </c>
      <c r="D16" s="67" t="n">
        <v>0</v>
      </c>
      <c r="E16" s="67" t="n">
        <v>0</v>
      </c>
      <c r="F16" s="67" t="n">
        <v>0</v>
      </c>
      <c r="G16" s="67" t="n">
        <v>0</v>
      </c>
      <c r="H16" s="59" t="s">
        <v>128</v>
      </c>
      <c r="I16" s="93" t="s">
        <v>2401</v>
      </c>
    </row>
    <row r="17" customFormat="false" ht="15" hidden="false" customHeight="false" outlineLevel="0" collapsed="false">
      <c r="A17" s="61" t="s">
        <v>2402</v>
      </c>
      <c r="B17" s="61" t="s">
        <v>370</v>
      </c>
      <c r="C17" s="68" t="n">
        <v>0</v>
      </c>
      <c r="D17" s="68" t="n">
        <v>0</v>
      </c>
      <c r="E17" s="68" t="n">
        <v>0</v>
      </c>
      <c r="F17" s="68" t="n">
        <v>0</v>
      </c>
      <c r="G17" s="68" t="n">
        <v>0</v>
      </c>
      <c r="H17" s="59" t="s">
        <v>128</v>
      </c>
      <c r="I17" s="93" t="s">
        <v>2403</v>
      </c>
    </row>
    <row r="18" customFormat="false" ht="15" hidden="false" customHeight="false" outlineLevel="0" collapsed="false">
      <c r="A18" s="61" t="s">
        <v>2404</v>
      </c>
      <c r="B18" s="62" t="s">
        <v>1448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133</v>
      </c>
      <c r="I18" s="88" t="s">
        <v>2405</v>
      </c>
    </row>
    <row r="19" customFormat="false" ht="26.85" hidden="false" customHeight="false" outlineLevel="0" collapsed="false">
      <c r="A19" s="61" t="s">
        <v>2406</v>
      </c>
      <c r="B19" s="62" t="s">
        <v>132</v>
      </c>
      <c r="C19" s="80" t="n">
        <v>1</v>
      </c>
      <c r="D19" s="80" t="n">
        <v>1</v>
      </c>
      <c r="E19" s="80" t="n">
        <v>1.2</v>
      </c>
      <c r="F19" s="80" t="n">
        <v>2</v>
      </c>
      <c r="G19" s="80" t="n">
        <v>2</v>
      </c>
      <c r="H19" s="59" t="s">
        <v>128</v>
      </c>
      <c r="I19" s="88" t="s">
        <v>2407</v>
      </c>
    </row>
    <row r="20" customFormat="false" ht="15" hidden="false" customHeight="false" outlineLevel="0" collapsed="false">
      <c r="A20" s="61" t="s">
        <v>2408</v>
      </c>
      <c r="B20" s="61" t="s">
        <v>2180</v>
      </c>
      <c r="C20" s="68"/>
      <c r="D20" s="68"/>
      <c r="E20" s="68"/>
      <c r="F20" s="68"/>
      <c r="G20" s="68"/>
      <c r="H20" s="59" t="s">
        <v>164</v>
      </c>
      <c r="I20" s="93" t="s">
        <v>2409</v>
      </c>
      <c r="J20" s="65" t="s">
        <v>2410</v>
      </c>
    </row>
    <row r="22" customFormat="false" ht="15" hidden="false" customHeight="false" outlineLevel="0" collapsed="false">
      <c r="A22" s="60" t="s">
        <v>2411</v>
      </c>
    </row>
    <row r="23" customFormat="false" ht="30" hidden="false" customHeight="true" outlineLevel="0" collapsed="false">
      <c r="A23" s="60" t="s">
        <v>108</v>
      </c>
      <c r="B23" s="60" t="s">
        <v>109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113</v>
      </c>
      <c r="I23" s="60" t="s">
        <v>379</v>
      </c>
      <c r="J23" s="65" t="s">
        <v>2412</v>
      </c>
    </row>
    <row r="24" customFormat="false" ht="15" hidden="false" customHeight="false" outlineLevel="0" collapsed="false">
      <c r="A24" s="61" t="s">
        <v>2390</v>
      </c>
      <c r="B24" s="62" t="s">
        <v>132</v>
      </c>
      <c r="C24" s="80" t="n">
        <v>1</v>
      </c>
      <c r="D24" s="80" t="n">
        <v>1</v>
      </c>
      <c r="E24" s="80" t="n">
        <v>1</v>
      </c>
      <c r="F24" s="80" t="n">
        <v>1</v>
      </c>
      <c r="G24" s="80" t="n">
        <v>1</v>
      </c>
      <c r="H24" s="59" t="s">
        <v>128</v>
      </c>
      <c r="I24" s="93"/>
    </row>
    <row r="25" customFormat="false" ht="15" hidden="false" customHeight="false" outlineLevel="0" collapsed="false">
      <c r="A25" s="61" t="s">
        <v>2392</v>
      </c>
      <c r="B25" s="62" t="s">
        <v>127</v>
      </c>
      <c r="C25" s="67" t="n">
        <v>0</v>
      </c>
      <c r="D25" s="67" t="n">
        <v>0</v>
      </c>
      <c r="E25" s="67" t="n">
        <v>0</v>
      </c>
      <c r="F25" s="67" t="n">
        <v>0</v>
      </c>
      <c r="G25" s="67" t="n">
        <v>0</v>
      </c>
      <c r="H25" s="59" t="s">
        <v>128</v>
      </c>
      <c r="I25" s="93"/>
    </row>
    <row r="26" customFormat="false" ht="15" hidden="false" customHeight="false" outlineLevel="0" collapsed="false">
      <c r="A26" s="61" t="s">
        <v>2395</v>
      </c>
      <c r="B26" s="62" t="s">
        <v>132</v>
      </c>
      <c r="C26" s="80" t="n">
        <v>1</v>
      </c>
      <c r="D26" s="80" t="n">
        <v>1</v>
      </c>
      <c r="E26" s="80" t="n">
        <v>1</v>
      </c>
      <c r="F26" s="80" t="n">
        <v>1</v>
      </c>
      <c r="G26" s="80" t="n">
        <v>1</v>
      </c>
      <c r="H26" s="59" t="s">
        <v>128</v>
      </c>
      <c r="I26" s="93"/>
    </row>
    <row r="27" customFormat="false" ht="15" hidden="false" customHeight="false" outlineLevel="0" collapsed="false">
      <c r="A27" s="61" t="s">
        <v>2397</v>
      </c>
      <c r="B27" s="62" t="s">
        <v>132</v>
      </c>
      <c r="C27" s="80" t="n">
        <v>1</v>
      </c>
      <c r="D27" s="80" t="n">
        <v>1</v>
      </c>
      <c r="E27" s="80" t="n">
        <v>1</v>
      </c>
      <c r="F27" s="80" t="n">
        <v>1</v>
      </c>
      <c r="G27" s="80" t="n">
        <v>1</v>
      </c>
      <c r="H27" s="59" t="s">
        <v>128</v>
      </c>
      <c r="I27" s="93"/>
    </row>
    <row r="28" customFormat="false" ht="15" hidden="false" customHeight="false" outlineLevel="0" collapsed="false">
      <c r="A28" s="61" t="s">
        <v>2399</v>
      </c>
      <c r="B28" s="61" t="s">
        <v>2400</v>
      </c>
      <c r="C28" s="67" t="n">
        <v>0</v>
      </c>
      <c r="D28" s="67" t="n">
        <v>0</v>
      </c>
      <c r="E28" s="67" t="n">
        <v>0</v>
      </c>
      <c r="F28" s="67" t="n">
        <v>0</v>
      </c>
      <c r="G28" s="67" t="n">
        <v>0</v>
      </c>
      <c r="H28" s="59" t="s">
        <v>128</v>
      </c>
      <c r="I28" s="93"/>
    </row>
    <row r="29" customFormat="false" ht="26.85" hidden="false" customHeight="false" outlineLevel="0" collapsed="false">
      <c r="A29" s="61" t="s">
        <v>2402</v>
      </c>
      <c r="B29" s="61" t="s">
        <v>370</v>
      </c>
      <c r="C29" s="68" t="n">
        <v>0</v>
      </c>
      <c r="D29" s="68" t="n">
        <v>0</v>
      </c>
      <c r="E29" s="68" t="n">
        <v>3</v>
      </c>
      <c r="F29" s="68" t="n">
        <v>0</v>
      </c>
      <c r="G29" s="68" t="n">
        <v>3</v>
      </c>
      <c r="H29" s="59" t="s">
        <v>133</v>
      </c>
      <c r="I29" s="88" t="s">
        <v>2413</v>
      </c>
    </row>
    <row r="30" customFormat="false" ht="15" hidden="false" customHeight="false" outlineLevel="0" collapsed="false">
      <c r="A30" s="61" t="s">
        <v>2404</v>
      </c>
      <c r="B30" s="62" t="s">
        <v>1448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128</v>
      </c>
      <c r="I30" s="93"/>
    </row>
    <row r="31" customFormat="false" ht="15" hidden="false" customHeight="false" outlineLevel="0" collapsed="false">
      <c r="A31" s="61" t="s">
        <v>2406</v>
      </c>
      <c r="B31" s="62" t="s">
        <v>132</v>
      </c>
      <c r="C31" s="80" t="n">
        <v>1</v>
      </c>
      <c r="D31" s="80" t="n">
        <v>1</v>
      </c>
      <c r="E31" s="80" t="n">
        <v>1.2</v>
      </c>
      <c r="F31" s="80" t="n">
        <v>1.5</v>
      </c>
      <c r="G31" s="80" t="n">
        <v>1.5</v>
      </c>
      <c r="H31" s="59" t="s">
        <v>128</v>
      </c>
      <c r="I31" s="88" t="s">
        <v>2414</v>
      </c>
    </row>
    <row r="32" customFormat="false" ht="15" hidden="false" customHeight="false" outlineLevel="0" collapsed="false">
      <c r="A32" s="61" t="s">
        <v>2408</v>
      </c>
      <c r="B32" s="61" t="s">
        <v>2180</v>
      </c>
      <c r="C32" s="68"/>
      <c r="D32" s="68"/>
      <c r="E32" s="68"/>
      <c r="F32" s="68"/>
      <c r="G32" s="68"/>
      <c r="H32" s="59" t="s">
        <v>128</v>
      </c>
      <c r="I32" s="93" t="s">
        <v>2415</v>
      </c>
      <c r="J32" s="65" t="s">
        <v>2416</v>
      </c>
    </row>
    <row r="34" customFormat="false" ht="15" hidden="false" customHeight="false" outlineLevel="0" collapsed="false">
      <c r="A34" s="60" t="s">
        <v>2417</v>
      </c>
    </row>
    <row r="35" customFormat="false" ht="30" hidden="false" customHeight="true" outlineLevel="0" collapsed="false">
      <c r="A35" s="60" t="s">
        <v>108</v>
      </c>
      <c r="B35" s="60" t="s">
        <v>109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65" t="s">
        <v>2418</v>
      </c>
    </row>
    <row r="36" customFormat="false" ht="15" hidden="false" customHeight="false" outlineLevel="0" collapsed="false">
      <c r="A36" s="61" t="s">
        <v>2390</v>
      </c>
      <c r="B36" s="62" t="s">
        <v>132</v>
      </c>
      <c r="C36" s="78" t="n">
        <f aca="false">CHOOSE(B5_Profile-1,C12,C24)</f>
        <v>1</v>
      </c>
      <c r="D36" s="78" t="n">
        <f aca="false">CHOOSE(B5_Profile-1,D12,D24)</f>
        <v>1</v>
      </c>
      <c r="E36" s="78" t="n">
        <f aca="false">CHOOSE(B5_Profile-1,E12,E24)</f>
        <v>0.7</v>
      </c>
      <c r="F36" s="78" t="n">
        <f aca="false">CHOOSE(B5_Profile-1,F12,F24)</f>
        <v>0.7</v>
      </c>
      <c r="G36" s="78" t="n">
        <f aca="false">CHOOSE(B5_Profile-1,G12,G24)</f>
        <v>0.7</v>
      </c>
    </row>
    <row r="37" customFormat="false" ht="15" hidden="false" customHeight="false" outlineLevel="0" collapsed="false">
      <c r="A37" s="61" t="s">
        <v>2392</v>
      </c>
      <c r="B37" s="62" t="s">
        <v>127</v>
      </c>
      <c r="C37" s="86" t="n">
        <f aca="false">CHOOSE(B5_Profile-1,C13,C25)</f>
        <v>0</v>
      </c>
      <c r="D37" s="86" t="n">
        <f aca="false">CHOOSE(B5_Profile-1,D13,D25)</f>
        <v>0</v>
      </c>
      <c r="E37" s="86" t="n">
        <f aca="false">CHOOSE(B5_Profile-1,E13,E25)</f>
        <v>1</v>
      </c>
      <c r="F37" s="86" t="n">
        <f aca="false">CHOOSE(B5_Profile-1,F13,F25)</f>
        <v>1</v>
      </c>
      <c r="G37" s="86" t="n">
        <f aca="false">CHOOSE(B5_Profile-1,G13,G25)</f>
        <v>1</v>
      </c>
    </row>
    <row r="38" customFormat="false" ht="15" hidden="false" customHeight="false" outlineLevel="0" collapsed="false">
      <c r="A38" s="61" t="s">
        <v>2395</v>
      </c>
      <c r="B38" s="62" t="s">
        <v>132</v>
      </c>
      <c r="C38" s="78" t="n">
        <f aca="false">CHOOSE(B5_Profile-1,C14,C26)</f>
        <v>1</v>
      </c>
      <c r="D38" s="78" t="n">
        <f aca="false">CHOOSE(B5_Profile-1,D14,D26)</f>
        <v>1</v>
      </c>
      <c r="E38" s="78" t="n">
        <f aca="false">CHOOSE(B5_Profile-1,E14,E26)</f>
        <v>0.8</v>
      </c>
      <c r="F38" s="78" t="n">
        <f aca="false">CHOOSE(B5_Profile-1,F14,F26)</f>
        <v>0.8</v>
      </c>
      <c r="G38" s="78" t="n">
        <f aca="false">CHOOSE(B5_Profile-1,G14,G26)</f>
        <v>0.8</v>
      </c>
    </row>
    <row r="39" customFormat="false" ht="15" hidden="false" customHeight="false" outlineLevel="0" collapsed="false">
      <c r="A39" s="61" t="s">
        <v>2397</v>
      </c>
      <c r="B39" s="62" t="s">
        <v>132</v>
      </c>
      <c r="C39" s="78" t="n">
        <f aca="false">CHOOSE(B5_Profile-1,C15,C27)</f>
        <v>1</v>
      </c>
      <c r="D39" s="78" t="n">
        <f aca="false">CHOOSE(B5_Profile-1,D15,D27)</f>
        <v>1</v>
      </c>
      <c r="E39" s="78" t="n">
        <f aca="false">CHOOSE(B5_Profile-1,E15,E27)</f>
        <v>0.7</v>
      </c>
      <c r="F39" s="78" t="n">
        <f aca="false">CHOOSE(B5_Profile-1,F15,F27)</f>
        <v>0.7</v>
      </c>
      <c r="G39" s="78" t="n">
        <f aca="false">CHOOSE(B5_Profile-1,G15,G27)</f>
        <v>0.7</v>
      </c>
    </row>
    <row r="40" customFormat="false" ht="15" hidden="false" customHeight="false" outlineLevel="0" collapsed="false">
      <c r="A40" s="61" t="s">
        <v>2399</v>
      </c>
      <c r="B40" s="61" t="s">
        <v>2400</v>
      </c>
      <c r="C40" s="86" t="n">
        <f aca="false">CHOOSE(B5_Profile-1,C16,C28)</f>
        <v>0</v>
      </c>
      <c r="D40" s="86" t="n">
        <f aca="false">CHOOSE(B5_Profile-1,D16,D28)</f>
        <v>0</v>
      </c>
      <c r="E40" s="86" t="n">
        <f aca="false">CHOOSE(B5_Profile-1,E16,E28)</f>
        <v>0</v>
      </c>
      <c r="F40" s="86" t="n">
        <f aca="false">CHOOSE(B5_Profile-1,F16,F28)</f>
        <v>0</v>
      </c>
      <c r="G40" s="86" t="n">
        <f aca="false">CHOOSE(B5_Profile-1,G16,G28)</f>
        <v>0</v>
      </c>
    </row>
    <row r="41" customFormat="false" ht="15" hidden="false" customHeight="false" outlineLevel="0" collapsed="false">
      <c r="A41" s="61" t="s">
        <v>2402</v>
      </c>
      <c r="B41" s="61" t="s">
        <v>370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2404</v>
      </c>
      <c r="B42" s="62" t="s">
        <v>1448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2406</v>
      </c>
      <c r="B43" s="62" t="s">
        <v>132</v>
      </c>
      <c r="C43" s="78" t="n">
        <f aca="false">CHOOSE(B5_Profile-1,C19,C31)</f>
        <v>1</v>
      </c>
      <c r="D43" s="78" t="n">
        <f aca="false">CHOOSE(B5_Profile-1,D19,D31)</f>
        <v>1</v>
      </c>
      <c r="E43" s="78" t="n">
        <f aca="false">CHOOSE(B5_Profile-1,E19,E31)</f>
        <v>1.2</v>
      </c>
      <c r="F43" s="78" t="n">
        <f aca="false">CHOOSE(B5_Profile-1,F19,F31)</f>
        <v>2</v>
      </c>
      <c r="G43" s="78" t="n">
        <f aca="false">CHOOSE(B5_Profile-1,G19,G31)</f>
        <v>2</v>
      </c>
    </row>
    <row r="44" customFormat="false" ht="15" hidden="false" customHeight="false" outlineLevel="0" collapsed="false">
      <c r="A44" s="61"/>
      <c r="B44" s="61"/>
      <c r="C44" s="105"/>
      <c r="D44" s="105"/>
      <c r="E44" s="105"/>
      <c r="F44" s="105"/>
      <c r="G44" s="105"/>
      <c r="J44" s="65" t="s">
        <v>478</v>
      </c>
    </row>
    <row r="46" customFormat="false" ht="15" hidden="false" customHeight="false" outlineLevel="0" collapsed="false">
      <c r="A46" s="77" t="s">
        <v>2419</v>
      </c>
      <c r="B46" s="71"/>
      <c r="C46" s="71"/>
      <c r="D46" s="71"/>
      <c r="E46" s="71"/>
      <c r="F46" s="71"/>
      <c r="G46" s="71"/>
      <c r="H46" s="71"/>
      <c r="I46" s="71"/>
    </row>
    <row r="47" customFormat="false" ht="15" hidden="false" customHeight="false" outlineLevel="0" collapsed="false">
      <c r="A47" s="60" t="s">
        <v>411</v>
      </c>
      <c r="B47" s="60" t="s">
        <v>109</v>
      </c>
      <c r="C47" s="10" t="s">
        <v>302</v>
      </c>
      <c r="D47" s="10" t="s">
        <v>303</v>
      </c>
      <c r="E47" s="10" t="s">
        <v>304</v>
      </c>
      <c r="H47" s="60" t="s">
        <v>113</v>
      </c>
      <c r="I47" s="60" t="s">
        <v>379</v>
      </c>
    </row>
    <row r="48" customFormat="false" ht="26.85" hidden="false" customHeight="false" outlineLevel="0" collapsed="false">
      <c r="A48" s="62" t="s">
        <v>2420</v>
      </c>
      <c r="B48" s="62" t="s">
        <v>1448</v>
      </c>
      <c r="C48" s="79" t="n">
        <v>1.5</v>
      </c>
      <c r="D48" s="79" t="n">
        <v>8</v>
      </c>
      <c r="E48" s="79" t="n">
        <v>16</v>
      </c>
      <c r="H48" s="59" t="s">
        <v>133</v>
      </c>
      <c r="I48" s="88" t="s">
        <v>2421</v>
      </c>
    </row>
    <row r="49" customFormat="false" ht="15" hidden="false" customHeight="false" outlineLevel="0" collapsed="false">
      <c r="A49" s="62" t="s">
        <v>2422</v>
      </c>
      <c r="B49" s="62" t="s">
        <v>1448</v>
      </c>
      <c r="C49" s="79" t="n">
        <v>0.5</v>
      </c>
      <c r="D49" s="79" t="n">
        <v>4</v>
      </c>
      <c r="E49" s="79" t="n">
        <v>11</v>
      </c>
      <c r="H49" s="59" t="s">
        <v>133</v>
      </c>
      <c r="I49" s="93"/>
    </row>
    <row r="50" customFormat="false" ht="15" hidden="false" customHeight="false" outlineLevel="0" collapsed="false">
      <c r="A50" s="62" t="s">
        <v>2423</v>
      </c>
      <c r="B50" s="62" t="s">
        <v>1448</v>
      </c>
      <c r="C50" s="79" t="n">
        <v>4</v>
      </c>
      <c r="D50" s="79" t="n">
        <v>12</v>
      </c>
      <c r="E50" s="79" t="n">
        <v>40</v>
      </c>
      <c r="H50" s="59" t="s">
        <v>133</v>
      </c>
      <c r="I50" s="88" t="s">
        <v>2424</v>
      </c>
    </row>
    <row r="51" customFormat="false" ht="26.85" hidden="false" customHeight="false" outlineLevel="0" collapsed="false">
      <c r="A51" s="61" t="s">
        <v>2425</v>
      </c>
      <c r="B51" s="62" t="s">
        <v>132</v>
      </c>
      <c r="C51" s="80" t="n">
        <v>0.75</v>
      </c>
      <c r="D51" s="80" t="n">
        <v>0.65</v>
      </c>
      <c r="E51" s="80" t="n">
        <v>1</v>
      </c>
      <c r="H51" s="59" t="s">
        <v>176</v>
      </c>
      <c r="I51" s="93" t="s">
        <v>2426</v>
      </c>
    </row>
    <row r="52" customFormat="false" ht="30" hidden="false" customHeight="true" outlineLevel="0" collapsed="false">
      <c r="A52" s="60" t="s">
        <v>2427</v>
      </c>
      <c r="B52" s="60" t="s">
        <v>109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  <c r="J52" s="65" t="s">
        <v>2428</v>
      </c>
    </row>
    <row r="53" customFormat="false" ht="15" hidden="false" customHeight="false" outlineLevel="0" collapsed="false">
      <c r="A53" s="61" t="s">
        <v>2429</v>
      </c>
      <c r="B53" s="62" t="s">
        <v>1448</v>
      </c>
      <c r="C53" s="80" t="n">
        <v>0.02</v>
      </c>
      <c r="D53" s="80" t="n">
        <v>0.1</v>
      </c>
      <c r="E53" s="80" t="n">
        <v>0.5</v>
      </c>
      <c r="F53" s="80" t="n">
        <v>2</v>
      </c>
      <c r="G53" s="80" t="n">
        <v>8</v>
      </c>
      <c r="H53" s="59" t="s">
        <v>128</v>
      </c>
      <c r="I53" s="65" t="s">
        <v>2430</v>
      </c>
    </row>
    <row r="54" customFormat="false" ht="15" hidden="false" customHeight="false" outlineLevel="0" collapsed="false">
      <c r="A54" s="61" t="s">
        <v>2431</v>
      </c>
      <c r="B54" s="61"/>
      <c r="C54" s="109" t="s">
        <v>2432</v>
      </c>
      <c r="D54" s="109" t="s">
        <v>2432</v>
      </c>
      <c r="E54" s="109" t="s">
        <v>2432</v>
      </c>
      <c r="F54" s="109" t="s">
        <v>2433</v>
      </c>
      <c r="G54" s="109" t="s">
        <v>2433</v>
      </c>
      <c r="I54" s="59" t="s">
        <v>2434</v>
      </c>
    </row>
    <row r="55" customFormat="false" ht="15" hidden="false" customHeight="false" outlineLevel="0" collapsed="false">
      <c r="A55" s="61" t="s">
        <v>2435</v>
      </c>
      <c r="B55" s="62" t="s">
        <v>127</v>
      </c>
      <c r="C55" s="67"/>
      <c r="D55" s="67"/>
      <c r="E55" s="67"/>
      <c r="F55" s="67"/>
      <c r="G55" s="67"/>
      <c r="I55" s="65" t="s">
        <v>2436</v>
      </c>
    </row>
    <row r="56" customFormat="false" ht="15" hidden="false" customHeight="false" outlineLevel="0" collapsed="false">
      <c r="A56" s="61" t="s">
        <v>2437</v>
      </c>
      <c r="B56" s="62" t="s">
        <v>127</v>
      </c>
      <c r="C56" s="67"/>
      <c r="D56" s="67"/>
      <c r="E56" s="67"/>
      <c r="F56" s="67"/>
      <c r="G56" s="67"/>
      <c r="I56" s="65" t="s">
        <v>2436</v>
      </c>
    </row>
    <row r="57" customFormat="false" ht="15" hidden="false" customHeight="false" outlineLevel="0" collapsed="false">
      <c r="A57" s="61" t="s">
        <v>2438</v>
      </c>
      <c r="B57" s="62" t="s">
        <v>127</v>
      </c>
      <c r="C57" s="67"/>
      <c r="D57" s="67"/>
      <c r="E57" s="67"/>
      <c r="F57" s="67"/>
      <c r="G57" s="67"/>
      <c r="I57" s="65" t="s">
        <v>2436</v>
      </c>
    </row>
    <row r="59" customFormat="false" ht="15" hidden="false" customHeight="false" outlineLevel="0" collapsed="false">
      <c r="A59" s="77" t="s">
        <v>2439</v>
      </c>
      <c r="B59" s="71"/>
      <c r="C59" s="71"/>
      <c r="D59" s="71"/>
      <c r="E59" s="71"/>
      <c r="F59" s="71"/>
      <c r="G59" s="71"/>
      <c r="H59" s="71"/>
      <c r="I59" s="71"/>
    </row>
    <row r="60" customFormat="false" ht="15" hidden="false" customHeight="false" outlineLevel="0" collapsed="false">
      <c r="A60" s="60" t="s">
        <v>108</v>
      </c>
      <c r="C60" s="60" t="s">
        <v>1433</v>
      </c>
      <c r="D60" s="60" t="s">
        <v>1434</v>
      </c>
      <c r="I60" s="60" t="s">
        <v>379</v>
      </c>
    </row>
    <row r="61" customFormat="false" ht="15" hidden="false" customHeight="false" outlineLevel="0" collapsed="false">
      <c r="A61" s="61" t="s">
        <v>2390</v>
      </c>
      <c r="C61" s="80" t="n">
        <v>0.7</v>
      </c>
      <c r="D61" s="80" t="n">
        <v>1.7</v>
      </c>
      <c r="H61" s="59" t="s">
        <v>128</v>
      </c>
      <c r="I61" s="65"/>
    </row>
    <row r="62" customFormat="false" ht="15" hidden="false" customHeight="false" outlineLevel="0" collapsed="false">
      <c r="A62" s="61" t="s">
        <v>2395</v>
      </c>
      <c r="C62" s="80" t="n">
        <v>0.6</v>
      </c>
      <c r="D62" s="80" t="n">
        <v>1</v>
      </c>
      <c r="H62" s="59" t="s">
        <v>128</v>
      </c>
      <c r="I62" s="65"/>
    </row>
    <row r="63" customFormat="false" ht="15" hidden="false" customHeight="false" outlineLevel="0" collapsed="false">
      <c r="A63" s="61" t="s">
        <v>2392</v>
      </c>
      <c r="C63" s="67" t="n">
        <v>0.5</v>
      </c>
      <c r="D63" s="67" t="n">
        <v>1</v>
      </c>
      <c r="H63" s="59" t="s">
        <v>128</v>
      </c>
      <c r="I63" s="65"/>
    </row>
    <row r="64" customFormat="false" ht="15" hidden="false" customHeight="false" outlineLevel="0" collapsed="false">
      <c r="A64" s="61" t="s">
        <v>2440</v>
      </c>
      <c r="C64" s="80" t="n">
        <v>0.5</v>
      </c>
      <c r="D64" s="80" t="n">
        <v>1</v>
      </c>
      <c r="H64" s="59" t="s">
        <v>128</v>
      </c>
      <c r="I64" s="65"/>
    </row>
    <row r="65" customFormat="false" ht="15" hidden="false" customHeight="false" outlineLevel="0" collapsed="false">
      <c r="A65" s="61" t="s">
        <v>2441</v>
      </c>
      <c r="C65" s="80" t="n">
        <v>1</v>
      </c>
      <c r="D65" s="80" t="n">
        <v>4</v>
      </c>
      <c r="H65" s="59" t="s">
        <v>128</v>
      </c>
      <c r="I65" s="59" t="s">
        <v>2442</v>
      </c>
    </row>
    <row r="66" customFormat="false" ht="15" hidden="false" customHeight="false" outlineLevel="0" collapsed="false">
      <c r="A66" s="61" t="s">
        <v>2404</v>
      </c>
      <c r="C66" s="148" t="n">
        <v>0.0833333333333333</v>
      </c>
      <c r="D66" s="148" t="n">
        <v>2</v>
      </c>
      <c r="H66" s="59" t="s">
        <v>128</v>
      </c>
      <c r="I66" s="59" t="s">
        <v>1448</v>
      </c>
    </row>
    <row r="68" customFormat="false" ht="15" hidden="false" customHeight="false" outlineLevel="0" collapsed="false">
      <c r="A68" s="77" t="s">
        <v>2443</v>
      </c>
      <c r="B68" s="71"/>
      <c r="C68" s="71"/>
      <c r="D68" s="71"/>
      <c r="E68" s="71"/>
      <c r="F68" s="71"/>
      <c r="G68" s="71"/>
      <c r="H68" s="71"/>
      <c r="I68" s="71"/>
    </row>
    <row r="69" customFormat="false" ht="15" hidden="false" customHeight="false" outlineLevel="0" collapsed="false">
      <c r="A69" s="60" t="s">
        <v>2444</v>
      </c>
      <c r="B69" s="60" t="s">
        <v>109</v>
      </c>
      <c r="C69" s="60" t="s">
        <v>2445</v>
      </c>
      <c r="D69" s="60" t="s">
        <v>2446</v>
      </c>
      <c r="E69" s="10" t="s">
        <v>2447</v>
      </c>
      <c r="H69" s="60" t="s">
        <v>113</v>
      </c>
      <c r="I69" s="60" t="s">
        <v>114</v>
      </c>
    </row>
    <row r="70" customFormat="false" ht="39.55" hidden="false" customHeight="false" outlineLevel="0" collapsed="false">
      <c r="A70" s="6" t="s">
        <v>2448</v>
      </c>
      <c r="C70" s="112" t="n">
        <f aca="false">SRC_HAR_003</f>
        <v>0.627</v>
      </c>
      <c r="D70" s="63" t="n">
        <f aca="false">SRC_HAR_004</f>
        <v>26098</v>
      </c>
      <c r="H70" s="88" t="s">
        <v>2449</v>
      </c>
      <c r="I70" s="88" t="s">
        <v>2450</v>
      </c>
    </row>
    <row r="71" customFormat="false" ht="29.85" hidden="false" customHeight="false" outlineLevel="0" collapsed="false">
      <c r="A71" s="6" t="s">
        <v>2451</v>
      </c>
      <c r="C71" s="112" t="n">
        <f aca="false">SRC_HAR_005</f>
        <v>0.986</v>
      </c>
      <c r="D71" s="63" t="n">
        <f aca="false">SRC_HAR_006</f>
        <v>17332</v>
      </c>
      <c r="H71" s="88" t="s">
        <v>2452</v>
      </c>
      <c r="I71" s="88" t="s">
        <v>2450</v>
      </c>
    </row>
    <row r="72" customFormat="false" ht="29.85" hidden="false" customHeight="false" outlineLevel="0" collapsed="false">
      <c r="A72" s="6" t="s">
        <v>2453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8" t="s">
        <v>2452</v>
      </c>
      <c r="I72" s="88" t="s">
        <v>2454</v>
      </c>
      <c r="J72" s="65" t="s">
        <v>2455</v>
      </c>
    </row>
    <row r="73" customFormat="false" ht="26.85" hidden="false" customHeight="false" outlineLevel="0" collapsed="false">
      <c r="A73" s="6" t="s">
        <v>2456</v>
      </c>
      <c r="C73" s="112" t="n">
        <f aca="false">SRC_HAR_012</f>
        <v>0.302</v>
      </c>
      <c r="H73" s="88" t="s">
        <v>2452</v>
      </c>
      <c r="I73" s="88" t="s">
        <v>2450</v>
      </c>
      <c r="J73" s="65" t="s">
        <v>2457</v>
      </c>
    </row>
    <row r="74" customFormat="false" ht="24.6" hidden="false" customHeight="false" outlineLevel="0" collapsed="false">
      <c r="A74" s="6" t="s">
        <v>2458</v>
      </c>
      <c r="C74" s="112" t="n">
        <f aca="false">SRC_HAR_015</f>
        <v>1</v>
      </c>
      <c r="H74" s="88" t="s">
        <v>2459</v>
      </c>
      <c r="I74" s="88" t="s">
        <v>2460</v>
      </c>
      <c r="J74" s="65" t="s">
        <v>2461</v>
      </c>
    </row>
    <row r="75" customFormat="false" ht="26.85" hidden="false" customHeight="false" outlineLevel="0" collapsed="false">
      <c r="A75" s="6" t="s">
        <v>2462</v>
      </c>
      <c r="E75" s="97" t="n">
        <f aca="false">SRC_HAR_002/SRC_HAR_001</f>
        <v>3.75</v>
      </c>
      <c r="H75" s="88" t="s">
        <v>2463</v>
      </c>
      <c r="I75" s="88" t="s">
        <v>2464</v>
      </c>
      <c r="J75" s="65" t="s">
        <v>2465</v>
      </c>
    </row>
    <row r="76" customFormat="false" ht="15" hidden="false" customHeight="false" outlineLevel="0" collapsed="false">
      <c r="A76" s="10" t="s">
        <v>2466</v>
      </c>
      <c r="B76" s="60"/>
      <c r="C76" s="10" t="s">
        <v>2467</v>
      </c>
      <c r="D76" s="10" t="s">
        <v>2468</v>
      </c>
      <c r="E76" s="60" t="s">
        <v>2469</v>
      </c>
      <c r="F76" s="60" t="s">
        <v>2470</v>
      </c>
      <c r="H76" s="60" t="s">
        <v>113</v>
      </c>
      <c r="I76" s="60" t="s">
        <v>512</v>
      </c>
    </row>
    <row r="77" customFormat="false" ht="17.15" hidden="false" customHeight="false" outlineLevel="0" collapsed="false">
      <c r="A77" s="62" t="s">
        <v>2471</v>
      </c>
      <c r="C77" s="97" t="n">
        <f aca="false">SRC_CAP_012</f>
        <v>3.5667</v>
      </c>
      <c r="D77" s="97" t="n">
        <f aca="false">SRC_CAP_013</f>
        <v>0.5333</v>
      </c>
      <c r="E77" s="87" t="n">
        <f aca="false">C77/D77</f>
        <v>6.68798049878117</v>
      </c>
      <c r="F77" s="78" t="n">
        <f aca="false">LN(4)/LN(E77)</f>
        <v>0.729508833472708</v>
      </c>
      <c r="H77" s="59" t="s">
        <v>2472</v>
      </c>
      <c r="I77" s="59" t="s">
        <v>2473</v>
      </c>
      <c r="J77" s="76" t="s">
        <v>2474</v>
      </c>
    </row>
    <row r="78" customFormat="false" ht="17.15" hidden="false" customHeight="false" outlineLevel="0" collapsed="false">
      <c r="A78" s="62" t="s">
        <v>2475</v>
      </c>
      <c r="C78" s="97" t="n">
        <f aca="false">SRC_CAP_014</f>
        <v>6.5667</v>
      </c>
      <c r="D78" s="97" t="n">
        <f aca="false">SRC_CAP_015</f>
        <v>0.9167</v>
      </c>
      <c r="E78" s="87" t="n">
        <f aca="false">C78/D78</f>
        <v>7.16341223955493</v>
      </c>
      <c r="F78" s="78" t="n">
        <f aca="false">LN(4)/LN(E78)</f>
        <v>0.704064962010379</v>
      </c>
      <c r="H78" s="59" t="s">
        <v>2472</v>
      </c>
      <c r="I78" s="59" t="s">
        <v>2473</v>
      </c>
      <c r="J78" s="76" t="s">
        <v>2476</v>
      </c>
    </row>
    <row r="79" customFormat="false" ht="17.15" hidden="false" customHeight="false" outlineLevel="0" collapsed="false">
      <c r="A79" s="62" t="s">
        <v>2477</v>
      </c>
      <c r="C79" s="97" t="n">
        <f aca="false">SRC_CAP_016</f>
        <v>5.7</v>
      </c>
      <c r="D79" s="97" t="n">
        <f aca="false">SRC_CAP_017</f>
        <v>0.9</v>
      </c>
      <c r="E79" s="87" t="n">
        <f aca="false">C79/D79</f>
        <v>6.33333333333333</v>
      </c>
      <c r="F79" s="78" t="n">
        <f aca="false">LN(4)/LN(E79)</f>
        <v>0.751042537338987</v>
      </c>
      <c r="H79" s="59" t="s">
        <v>2472</v>
      </c>
      <c r="I79" s="59" t="s">
        <v>2473</v>
      </c>
      <c r="J79" s="76" t="s">
        <v>2476</v>
      </c>
    </row>
    <row r="80" customFormat="false" ht="17.15" hidden="false" customHeight="false" outlineLevel="0" collapsed="false">
      <c r="A80" s="62" t="s">
        <v>2478</v>
      </c>
      <c r="C80" s="97" t="n">
        <f aca="false">SRC_CAP_018</f>
        <v>5.8333</v>
      </c>
      <c r="D80" s="97" t="n">
        <f aca="false">SRC_CAP_019</f>
        <v>1.5</v>
      </c>
      <c r="E80" s="87" t="n">
        <f aca="false">C80/D80</f>
        <v>3.88886666666667</v>
      </c>
      <c r="F80" s="78" t="n">
        <f aca="false">LN(4)/LN(E80)</f>
        <v>1.02074679522957</v>
      </c>
      <c r="H80" s="59" t="s">
        <v>2472</v>
      </c>
      <c r="I80" s="59" t="s">
        <v>2473</v>
      </c>
      <c r="J80" s="76" t="s">
        <v>2476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2479</v>
      </c>
    </row>
    <row r="2" customFormat="false" ht="15" hidden="false" customHeight="false" outlineLevel="0" collapsed="false">
      <c r="A2" s="65" t="s">
        <v>2480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411</v>
      </c>
      <c r="B4" s="60" t="s">
        <v>109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65" t="s">
        <v>2481</v>
      </c>
    </row>
    <row r="5" customFormat="false" ht="15" hidden="false" customHeight="false" outlineLevel="0" collapsed="false">
      <c r="A5" s="77" t="s">
        <v>2482</v>
      </c>
      <c r="B5" s="71"/>
      <c r="C5" s="71"/>
      <c r="D5" s="71"/>
      <c r="E5" s="71"/>
      <c r="F5" s="71"/>
      <c r="G5" s="71"/>
      <c r="H5" s="71"/>
    </row>
    <row r="6" customFormat="false" ht="15" hidden="false" customHeight="false" outlineLevel="0" collapsed="false">
      <c r="A6" s="60" t="s">
        <v>2483</v>
      </c>
    </row>
    <row r="7" customFormat="false" ht="15" hidden="false" customHeight="false" outlineLevel="0" collapsed="false">
      <c r="A7" s="5" t="s">
        <v>431</v>
      </c>
      <c r="B7" s="61" t="s">
        <v>432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2484</v>
      </c>
      <c r="B8" s="62" t="s">
        <v>333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2392</v>
      </c>
      <c r="B9" s="62" t="s">
        <v>127</v>
      </c>
      <c r="C9" s="66" t="n">
        <f aca="false">Workload!C10</f>
        <v>0</v>
      </c>
      <c r="D9" s="66" t="n">
        <f aca="false">Workload!D10</f>
        <v>0</v>
      </c>
      <c r="E9" s="66" t="n">
        <f aca="false">Workload!E10</f>
        <v>0</v>
      </c>
      <c r="F9" s="66" t="n">
        <f aca="false">Workload!F10</f>
        <v>0</v>
      </c>
      <c r="G9" s="66" t="n">
        <f aca="false">Workload!G10</f>
        <v>0</v>
      </c>
    </row>
    <row r="10" customFormat="false" ht="15" hidden="false" customHeight="false" outlineLevel="0" collapsed="false">
      <c r="A10" s="5" t="s">
        <v>2485</v>
      </c>
      <c r="B10" s="62" t="s">
        <v>127</v>
      </c>
      <c r="C10" s="66" t="n">
        <f aca="false">Workload!C11</f>
        <v>0.5</v>
      </c>
      <c r="D10" s="66" t="n">
        <f aca="false">Workload!D11</f>
        <v>0.5</v>
      </c>
      <c r="E10" s="66" t="n">
        <f aca="false">Workload!E11</f>
        <v>0.9</v>
      </c>
      <c r="F10" s="66" t="n">
        <f aca="false">Workload!F11</f>
        <v>0.9</v>
      </c>
      <c r="G10" s="66" t="n">
        <f aca="false">Workload!G11</f>
        <v>0.9</v>
      </c>
    </row>
    <row r="11" customFormat="false" ht="15" hidden="false" customHeight="false" outlineLevel="0" collapsed="false">
      <c r="A11" s="5" t="s">
        <v>2486</v>
      </c>
      <c r="B11" s="61" t="s">
        <v>370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2440</v>
      </c>
      <c r="B12" s="62" t="s">
        <v>132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458</v>
      </c>
      <c r="B13" s="62" t="s">
        <v>333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459</v>
      </c>
      <c r="B14" s="62" t="s">
        <v>333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2487</v>
      </c>
      <c r="B15" s="62" t="s">
        <v>333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2488</v>
      </c>
      <c r="B16" s="62" t="s">
        <v>333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2489</v>
      </c>
      <c r="B17" s="62" t="s">
        <v>132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464</v>
      </c>
      <c r="B18" s="62" t="s">
        <v>333</v>
      </c>
      <c r="C18" s="69" t="n">
        <f aca="false">(C14-C15)*C17</f>
        <v>1500</v>
      </c>
      <c r="D18" s="69" t="n">
        <f aca="false">(D14-D15)*D17</f>
        <v>1500</v>
      </c>
      <c r="E18" s="69" t="n">
        <f aca="false">(E14-E15)*E17</f>
        <v>6840</v>
      </c>
      <c r="F18" s="69" t="n">
        <f aca="false">(F14-F15)*F17</f>
        <v>27360</v>
      </c>
      <c r="G18" s="69" t="n">
        <f aca="false">(G14-G15)*G17</f>
        <v>200400</v>
      </c>
    </row>
    <row r="19" customFormat="false" ht="15" hidden="false" customHeight="false" outlineLevel="0" collapsed="false">
      <c r="A19" s="5" t="s">
        <v>465</v>
      </c>
      <c r="B19" s="62" t="s">
        <v>333</v>
      </c>
      <c r="C19" s="69" t="n">
        <f aca="false">C15*C17</f>
        <v>1000</v>
      </c>
      <c r="D19" s="69" t="n">
        <f aca="false">D15*D17</f>
        <v>1000</v>
      </c>
      <c r="E19" s="69" t="n">
        <f aca="false">E15*E17</f>
        <v>18360</v>
      </c>
      <c r="F19" s="69" t="n">
        <f aca="false">F15*F17</f>
        <v>73440</v>
      </c>
      <c r="G19" s="69" t="n">
        <f aca="false">G15*G17</f>
        <v>1263600</v>
      </c>
    </row>
    <row r="20" customFormat="false" ht="15" hidden="false" customHeight="false" outlineLevel="0" collapsed="false">
      <c r="A20" s="5" t="s">
        <v>466</v>
      </c>
      <c r="B20" s="62" t="s">
        <v>333</v>
      </c>
      <c r="C20" s="69" t="n">
        <f aca="false">C16*C17</f>
        <v>500</v>
      </c>
      <c r="D20" s="69" t="n">
        <f aca="false">D16*D17</f>
        <v>3700</v>
      </c>
      <c r="E20" s="69" t="n">
        <f aca="false">E16*E17</f>
        <v>2400</v>
      </c>
      <c r="F20" s="69" t="n">
        <f aca="false">F16*F17</f>
        <v>9600</v>
      </c>
      <c r="G20" s="69" t="n">
        <f aca="false">G16*G17</f>
        <v>30000</v>
      </c>
    </row>
    <row r="21" customFormat="false" ht="15" hidden="false" customHeight="false" outlineLevel="0" collapsed="false">
      <c r="A21" s="5" t="s">
        <v>467</v>
      </c>
      <c r="B21" s="62" t="s">
        <v>333</v>
      </c>
      <c r="C21" s="72" t="n">
        <f aca="false">C18+C19+C20</f>
        <v>3000</v>
      </c>
      <c r="D21" s="72" t="n">
        <f aca="false">D18+D19+D20</f>
        <v>6200</v>
      </c>
      <c r="E21" s="72" t="n">
        <f aca="false">E18+E19+E20</f>
        <v>27600</v>
      </c>
      <c r="F21" s="72" t="n">
        <f aca="false">F18+F19+F20</f>
        <v>110400</v>
      </c>
      <c r="G21" s="72" t="n">
        <f aca="false">G18+G19+G20</f>
        <v>1494000</v>
      </c>
    </row>
    <row r="23" customFormat="false" ht="15" hidden="false" customHeight="false" outlineLevel="0" collapsed="false">
      <c r="A23" s="60" t="s">
        <v>2490</v>
      </c>
    </row>
    <row r="24" customFormat="false" ht="15" hidden="false" customHeight="false" outlineLevel="0" collapsed="false">
      <c r="A24" s="5" t="s">
        <v>431</v>
      </c>
      <c r="B24" s="61" t="s">
        <v>432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2484</v>
      </c>
      <c r="B25" s="62" t="s">
        <v>333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2392</v>
      </c>
      <c r="B26" s="62" t="s">
        <v>127</v>
      </c>
      <c r="C26" s="86" t="n">
        <f aca="false">INDEX(B5_Selrho,1,1)</f>
        <v>0</v>
      </c>
      <c r="D26" s="86" t="n">
        <f aca="false">INDEX(B5_Selrho,1,2)</f>
        <v>0</v>
      </c>
      <c r="E26" s="86" t="n">
        <f aca="false">INDEX(B5_Selrho,1,3)</f>
        <v>1</v>
      </c>
      <c r="F26" s="86" t="n">
        <f aca="false">INDEX(B5_Selrho,1,4)</f>
        <v>1</v>
      </c>
      <c r="G26" s="86" t="n">
        <f aca="false">INDEX(B5_Selrho,1,5)</f>
        <v>1</v>
      </c>
    </row>
    <row r="27" customFormat="false" ht="15" hidden="false" customHeight="false" outlineLevel="0" collapsed="false">
      <c r="A27" s="5" t="s">
        <v>2485</v>
      </c>
      <c r="B27" s="62" t="s">
        <v>127</v>
      </c>
      <c r="C27" s="66" t="n">
        <f aca="false">MIN(1,MAX(0,Workload!C11+INDEX(B5_SelDChi,1,1)))</f>
        <v>0.5</v>
      </c>
      <c r="D27" s="66" t="n">
        <f aca="false">MIN(1,MAX(0,Workload!D11+INDEX(B5_SelDChi,1,2)))</f>
        <v>0.5</v>
      </c>
      <c r="E27" s="66" t="n">
        <f aca="false">MIN(1,MAX(0,Workload!E11+INDEX(B5_SelDChi,1,3)))</f>
        <v>0.9</v>
      </c>
      <c r="F27" s="66" t="n">
        <f aca="false">MIN(1,MAX(0,Workload!F11+INDEX(B5_SelDChi,1,4)))</f>
        <v>0.9</v>
      </c>
      <c r="G27" s="66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2486</v>
      </c>
      <c r="B28" s="61" t="s">
        <v>370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2440</v>
      </c>
      <c r="B29" s="62" t="s">
        <v>132</v>
      </c>
      <c r="C29" s="78" t="n">
        <f aca="false">INDEX(B5_SelC,1,1)</f>
        <v>1</v>
      </c>
      <c r="D29" s="78" t="n">
        <f aca="false">INDEX(B5_SelC,1,2)</f>
        <v>1</v>
      </c>
      <c r="E29" s="78" t="n">
        <f aca="false">INDEX(B5_SelC,1,3)</f>
        <v>0.7</v>
      </c>
      <c r="F29" s="78" t="n">
        <f aca="false">INDEX(B5_SelC,1,4)</f>
        <v>0.7</v>
      </c>
      <c r="G29" s="78" t="n">
        <f aca="false">INDEX(B5_SelC,1,5)</f>
        <v>0.7</v>
      </c>
    </row>
    <row r="30" customFormat="false" ht="15" hidden="false" customHeight="false" outlineLevel="0" collapsed="false">
      <c r="A30" s="5" t="s">
        <v>458</v>
      </c>
      <c r="B30" s="62" t="s">
        <v>333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459</v>
      </c>
      <c r="B31" s="62" t="s">
        <v>333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2487</v>
      </c>
      <c r="B32" s="62" t="s">
        <v>333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2488</v>
      </c>
      <c r="B33" s="62" t="s">
        <v>333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2489</v>
      </c>
      <c r="B34" s="62" t="s">
        <v>132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464</v>
      </c>
      <c r="B35" s="62" t="s">
        <v>333</v>
      </c>
      <c r="C35" s="69" t="n">
        <f aca="false">(C31-C32)*C34</f>
        <v>1500</v>
      </c>
      <c r="D35" s="69" t="n">
        <f aca="false">(D31-D32)*D34</f>
        <v>1500</v>
      </c>
      <c r="E35" s="69" t="n">
        <f aca="false">(E31-E32)*E34</f>
        <v>4503.408</v>
      </c>
      <c r="F35" s="69" t="n">
        <f aca="false">(F31-F32)*F34</f>
        <v>18013.632</v>
      </c>
      <c r="G35" s="69" t="n">
        <f aca="false">(G31-G32)*G34</f>
        <v>109536</v>
      </c>
    </row>
    <row r="36" customFormat="false" ht="15" hidden="false" customHeight="false" outlineLevel="0" collapsed="false">
      <c r="A36" s="5" t="s">
        <v>465</v>
      </c>
      <c r="B36" s="62" t="s">
        <v>333</v>
      </c>
      <c r="C36" s="69" t="n">
        <f aca="false">C32*C34</f>
        <v>1000</v>
      </c>
      <c r="D36" s="69" t="n">
        <f aca="false">D32*D34</f>
        <v>1000</v>
      </c>
      <c r="E36" s="69" t="n">
        <f aca="false">E32*E34</f>
        <v>10290.672</v>
      </c>
      <c r="F36" s="69" t="n">
        <f aca="false">F32*F34</f>
        <v>41162.688</v>
      </c>
      <c r="G36" s="69" t="n">
        <f aca="false">G32*G34</f>
        <v>607824</v>
      </c>
    </row>
    <row r="37" customFormat="false" ht="15" hidden="false" customHeight="false" outlineLevel="0" collapsed="false">
      <c r="A37" s="5" t="s">
        <v>466</v>
      </c>
      <c r="B37" s="62" t="s">
        <v>333</v>
      </c>
      <c r="C37" s="69" t="n">
        <f aca="false">C33*C34</f>
        <v>500</v>
      </c>
      <c r="D37" s="69" t="n">
        <f aca="false">D33*D34</f>
        <v>3700</v>
      </c>
      <c r="E37" s="69" t="n">
        <f aca="false">E33*E34</f>
        <v>1456</v>
      </c>
      <c r="F37" s="69" t="n">
        <f aca="false">F33*F34</f>
        <v>5824</v>
      </c>
      <c r="G37" s="69" t="n">
        <f aca="false">G33*G34</f>
        <v>18480</v>
      </c>
    </row>
    <row r="38" customFormat="false" ht="15" hidden="false" customHeight="false" outlineLevel="0" collapsed="false">
      <c r="A38" s="5" t="s">
        <v>467</v>
      </c>
      <c r="B38" s="62" t="s">
        <v>333</v>
      </c>
      <c r="C38" s="72" t="n">
        <f aca="false">C35+C36+C37</f>
        <v>3000</v>
      </c>
      <c r="D38" s="72" t="n">
        <f aca="false">D35+D36+D37</f>
        <v>6200</v>
      </c>
      <c r="E38" s="72" t="n">
        <f aca="false">E35+E36+E37</f>
        <v>16250.08</v>
      </c>
      <c r="F38" s="72" t="n">
        <f aca="false">F35+F36+F37</f>
        <v>65000.32</v>
      </c>
      <c r="G38" s="72" t="n">
        <f aca="false">G35+G36+G37</f>
        <v>735840</v>
      </c>
    </row>
    <row r="40" customFormat="false" ht="15" hidden="false" customHeight="false" outlineLevel="0" collapsed="false">
      <c r="A40" s="60" t="s">
        <v>2491</v>
      </c>
    </row>
    <row r="41" customFormat="false" ht="15" hidden="false" customHeight="false" outlineLevel="0" collapsed="false">
      <c r="A41" s="5" t="s">
        <v>464</v>
      </c>
      <c r="B41" s="62" t="s">
        <v>333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465</v>
      </c>
      <c r="B42" s="62" t="s">
        <v>333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466</v>
      </c>
      <c r="B43" s="62" t="s">
        <v>333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/>
      <c r="B44" s="61"/>
      <c r="C44" s="63"/>
      <c r="D44" s="63"/>
      <c r="E44" s="63"/>
      <c r="F44" s="63"/>
      <c r="G44" s="63"/>
      <c r="I44" s="65" t="s">
        <v>478</v>
      </c>
    </row>
    <row r="45" customFormat="false" ht="15" hidden="false" customHeight="false" outlineLevel="0" collapsed="false">
      <c r="A45" s="5" t="s">
        <v>2492</v>
      </c>
      <c r="B45" s="62" t="s">
        <v>132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8" t="s">
        <v>2493</v>
      </c>
    </row>
    <row r="47" customFormat="false" ht="15" hidden="false" customHeight="false" outlineLevel="0" collapsed="false">
      <c r="A47" s="77" t="s">
        <v>2494</v>
      </c>
      <c r="B47" s="71"/>
      <c r="C47" s="71"/>
      <c r="D47" s="71"/>
      <c r="E47" s="71"/>
      <c r="F47" s="71"/>
      <c r="G47" s="71"/>
      <c r="H47" s="71"/>
    </row>
    <row r="48" customFormat="false" ht="15" hidden="false" customHeight="false" outlineLevel="0" collapsed="false">
      <c r="A48" s="5" t="s">
        <v>2495</v>
      </c>
      <c r="B48" s="62" t="s">
        <v>1448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2496</v>
      </c>
      <c r="B49" s="62" t="s">
        <v>1448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2497</v>
      </c>
      <c r="B50" s="62" t="s">
        <v>1448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2498</v>
      </c>
      <c r="B51" s="62" t="s">
        <v>132</v>
      </c>
      <c r="C51" s="78" t="n">
        <f aca="false">1</f>
        <v>1</v>
      </c>
      <c r="D51" s="78" t="n">
        <f aca="false">1</f>
        <v>1</v>
      </c>
      <c r="E51" s="78" t="n">
        <f aca="false">1</f>
        <v>1</v>
      </c>
      <c r="F51" s="78" t="n">
        <f aca="false">1</f>
        <v>1</v>
      </c>
      <c r="G51" s="78" t="n">
        <f aca="false">1</f>
        <v>1</v>
      </c>
    </row>
    <row r="52" customFormat="false" ht="15" hidden="false" customHeight="false" outlineLevel="0" collapsed="false">
      <c r="A52" s="5" t="s">
        <v>2499</v>
      </c>
      <c r="B52" s="62" t="s">
        <v>132</v>
      </c>
      <c r="C52" s="78" t="n">
        <f aca="false">1+B5_W*(INDEX(B5_SelHz,1,1)-1)</f>
        <v>1</v>
      </c>
      <c r="D52" s="78" t="n">
        <f aca="false">1+B5_W*(INDEX(B5_SelHz,1,2)-1)</f>
        <v>1</v>
      </c>
      <c r="E52" s="78" t="n">
        <f aca="false">1+B5_W*(INDEX(B5_SelHz,1,3)-1)</f>
        <v>1</v>
      </c>
      <c r="F52" s="78" t="n">
        <f aca="false">1+B5_W*(INDEX(B5_SelHz,1,4)-1)</f>
        <v>1</v>
      </c>
      <c r="G52" s="78" t="n">
        <f aca="false">1+B5_W*(INDEX(B5_SelHz,1,5)-1)</f>
        <v>1</v>
      </c>
    </row>
    <row r="53" customFormat="false" ht="15" hidden="false" customHeight="false" outlineLevel="0" collapsed="false">
      <c r="A53" s="5" t="s">
        <v>2500</v>
      </c>
      <c r="B53" s="62" t="s">
        <v>132</v>
      </c>
      <c r="C53" s="78" t="n">
        <f aca="false">INDEX(B5_SelHz,1,1)</f>
        <v>1</v>
      </c>
      <c r="D53" s="78" t="n">
        <f aca="false">INDEX(B5_SelHz,1,2)</f>
        <v>1</v>
      </c>
      <c r="E53" s="78" t="n">
        <f aca="false">INDEX(B5_SelHz,1,3)</f>
        <v>1.2</v>
      </c>
      <c r="F53" s="78" t="n">
        <f aca="false">INDEX(B5_SelHz,1,4)</f>
        <v>2</v>
      </c>
      <c r="G53" s="78" t="n">
        <f aca="false">INDEX(B5_SelHz,1,5)</f>
        <v>2</v>
      </c>
    </row>
    <row r="55" customFormat="false" ht="15" hidden="false" customHeight="false" outlineLevel="0" collapsed="false">
      <c r="A55" s="77" t="s">
        <v>2501</v>
      </c>
      <c r="B55" s="71"/>
      <c r="C55" s="71"/>
      <c r="D55" s="71"/>
      <c r="E55" s="71"/>
      <c r="F55" s="71"/>
      <c r="G55" s="71"/>
      <c r="H55" s="71"/>
    </row>
    <row r="56" customFormat="false" ht="15" hidden="false" customHeight="false" outlineLevel="0" collapsed="false">
      <c r="A56" s="6" t="s">
        <v>2502</v>
      </c>
      <c r="B56" s="62" t="s">
        <v>127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2503</v>
      </c>
      <c r="B57" s="62" t="s">
        <v>127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2504</v>
      </c>
      <c r="B58" s="62" t="s">
        <v>127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2505</v>
      </c>
      <c r="B59" s="62" t="s">
        <v>127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2506</v>
      </c>
      <c r="B60" s="62" t="s">
        <v>127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2507</v>
      </c>
      <c r="B61" s="62" t="s">
        <v>127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2508</v>
      </c>
      <c r="B62" s="62" t="s">
        <v>127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2509</v>
      </c>
      <c r="B63" s="62" t="s">
        <v>127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2510</v>
      </c>
      <c r="B64" s="62" t="s">
        <v>127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7" t="s">
        <v>2511</v>
      </c>
      <c r="B66" s="71"/>
      <c r="C66" s="71"/>
      <c r="D66" s="71"/>
      <c r="E66" s="71"/>
      <c r="F66" s="71"/>
      <c r="G66" s="71"/>
      <c r="H66" s="71"/>
    </row>
    <row r="67" customFormat="false" ht="15" hidden="false" customHeight="false" outlineLevel="0" collapsed="false">
      <c r="A67" s="5" t="s">
        <v>2512</v>
      </c>
      <c r="B67" s="62" t="s">
        <v>2513</v>
      </c>
      <c r="C67" s="91" t="n">
        <f aca="false">IF(ISNUMBER(Unit_Cost!M21),(C18*Unit_Cost!M19+C19*(Unit_Cost!M20+Cache_Store!M17*C48/B4_Retain)+C20*Unit_Cost!M21)/1000000,"SLO 不可達")</f>
        <v>8.55425798680921E-005</v>
      </c>
      <c r="D67" s="91" t="n">
        <f aca="false">IF(ISNUMBER(Unit_Cost!M21),(D18*Unit_Cost!M19+D19*(Unit_Cost!M20+Cache_Store!M17*D48/B4_Retain)+D20*Unit_Cost!M21)/1000000,"SLO 不可達")</f>
        <v>0.000555064372931353</v>
      </c>
      <c r="E67" s="91" t="n">
        <f aca="false">IF(ISNUMBER(Unit_Cost!M21),(E18*Unit_Cost!M19+E19*(Unit_Cost!M20+Cache_Store!M17*E48/B4_Retain)+E20*Unit_Cost!M21)/1000000,"SLO 不可達")</f>
        <v>0.000408718907241998</v>
      </c>
      <c r="F67" s="91" t="n">
        <f aca="false">IF(ISNUMBER(Unit_Cost!M21),(F18*Unit_Cost!M19+F19*(Unit_Cost!M20+Cache_Store!M17*F48/B4_Retain)+F20*Unit_Cost!M21)/1000000,"SLO 不可達")</f>
        <v>0.00163487562896799</v>
      </c>
      <c r="G67" s="91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2514</v>
      </c>
      <c r="B68" s="62" t="s">
        <v>2513</v>
      </c>
      <c r="C68" s="91" t="n">
        <f aca="false">IF(ISNUMBER(Unit_Cost!M21),(C41*Unit_Cost!M19+C42*(Unit_Cost!M20+Cache_Store!M17*C49/B4_Retain)+C43*Unit_Cost!M21)/1000000,"SLO 不可達")</f>
        <v>8.55425798680921E-005</v>
      </c>
      <c r="D68" s="91" t="n">
        <f aca="false">IF(ISNUMBER(Unit_Cost!M21),(D41*Unit_Cost!M19+D42*(Unit_Cost!M20+Cache_Store!M17*D49/B4_Retain)+D43*Unit_Cost!M21)/1000000,"SLO 不可達")</f>
        <v>0.000555064372931353</v>
      </c>
      <c r="E68" s="91" t="n">
        <f aca="false">IF(ISNUMBER(Unit_Cost!M21),(E41*Unit_Cost!M19+E42*(Unit_Cost!M20+Cache_Store!M17*E49/B4_Retain)+E43*Unit_Cost!M21)/1000000,"SLO 不可達")</f>
        <v>0.000408718907241998</v>
      </c>
      <c r="F68" s="91" t="n">
        <f aca="false">IF(ISNUMBER(Unit_Cost!M21),(F41*Unit_Cost!M19+F42*(Unit_Cost!M20+Cache_Store!M17*F49/B4_Retain)+F43*Unit_Cost!M21)/1000000,"SLO 不可達")</f>
        <v>0.00163487562896799</v>
      </c>
      <c r="G68" s="91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2515</v>
      </c>
      <c r="B69" s="62" t="s">
        <v>2513</v>
      </c>
      <c r="C69" s="91" t="n">
        <f aca="false">IF(ISNUMBER(Unit_Cost!M21),(C35*Unit_Cost!M19+C36*(Unit_Cost!M20+Cache_Store!M17*C50/B4_Retain)+C37*Unit_Cost!M21)/1000000,"SLO 不可達")</f>
        <v>8.55425798680921E-005</v>
      </c>
      <c r="D69" s="91" t="n">
        <f aca="false">IF(ISNUMBER(Unit_Cost!M21),(D35*Unit_Cost!M19+D36*(Unit_Cost!M20+Cache_Store!M17*D50/B4_Retain)+D37*Unit_Cost!M21)/1000000,"SLO 不可達")</f>
        <v>0.000555064372931353</v>
      </c>
      <c r="E69" s="91" t="n">
        <f aca="false">IF(ISNUMBER(Unit_Cost!M21),(E35*Unit_Cost!M19+E36*(Unit_Cost!M20+Cache_Store!M17*E50/B4_Retain)+E37*Unit_Cost!M21)/1000000,"SLO 不可達")</f>
        <v>0.00025171065611765</v>
      </c>
      <c r="F69" s="91" t="n">
        <f aca="false">IF(ISNUMBER(Unit_Cost!M21),(F35*Unit_Cost!M19+F36*(Unit_Cost!M20+Cache_Store!M17*F50/B4_Retain)+F37*Unit_Cost!M21)/1000000,"SLO 不可達")</f>
        <v>0.0010068426244706</v>
      </c>
      <c r="G69" s="91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2516</v>
      </c>
      <c r="B70" s="62" t="s">
        <v>2513</v>
      </c>
      <c r="C70" s="91" t="n">
        <f aca="false">IF(ISNUMBER(Unit_Cost!M34),(C18*Unit_Cost!M32+C19*(Unit_Cost!M33+Cache_Store!M23*C48/B4_Retain)+C20*Unit_Cost!M34)/1000000,"SLO 不可達")</f>
        <v>0.000279150469620371</v>
      </c>
      <c r="D70" s="91" t="n">
        <f aca="false">IF(ISNUMBER(Unit_Cost!M34),(D18*Unit_Cost!M32+D19*(Unit_Cost!M33+Cache_Store!M23*D48/B4_Retain)+D20*Unit_Cost!M34)/1000000,"SLO 不可達")</f>
        <v>0.00179615036783932</v>
      </c>
      <c r="E70" s="91" t="n">
        <f aca="false">IF(ISNUMBER(Unit_Cost!M34),(E18*Unit_Cost!M32+E19*(Unit_Cost!M33+Cache_Store!M23*E48/B4_Retain)+E20*Unit_Cost!M34)/1000000,"SLO 不可達")</f>
        <v>0.00133128568937352</v>
      </c>
      <c r="F70" s="91" t="n">
        <f aca="false">IF(ISNUMBER(Unit_Cost!M34),(F18*Unit_Cost!M32+F19*(Unit_Cost!M33+Cache_Store!M23*F48/B4_Retain)+F20*Unit_Cost!M34)/1000000,"SLO 不可達")</f>
        <v>0.00532514275749409</v>
      </c>
      <c r="G70" s="91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2517</v>
      </c>
      <c r="B71" s="62" t="s">
        <v>2513</v>
      </c>
      <c r="C71" s="91" t="n">
        <f aca="false">IF(ISNUMBER(Unit_Cost!M34),(C41*Unit_Cost!M32+C42*(Unit_Cost!M33+Cache_Store!M23*C49/B4_Retain)+C43*Unit_Cost!M34)/1000000,"SLO 不可達")</f>
        <v>0.000279150469620371</v>
      </c>
      <c r="D71" s="91" t="n">
        <f aca="false">IF(ISNUMBER(Unit_Cost!M34),(D41*Unit_Cost!M32+D42*(Unit_Cost!M33+Cache_Store!M23*D49/B4_Retain)+D43*Unit_Cost!M34)/1000000,"SLO 不可達")</f>
        <v>0.00179615036783932</v>
      </c>
      <c r="E71" s="91" t="n">
        <f aca="false">IF(ISNUMBER(Unit_Cost!M34),(E41*Unit_Cost!M32+E42*(Unit_Cost!M33+Cache_Store!M23*E49/B4_Retain)+E43*Unit_Cost!M34)/1000000,"SLO 不可達")</f>
        <v>0.00133128568937352</v>
      </c>
      <c r="F71" s="91" t="n">
        <f aca="false">IF(ISNUMBER(Unit_Cost!M34),(F41*Unit_Cost!M32+F42*(Unit_Cost!M33+Cache_Store!M23*F49/B4_Retain)+F43*Unit_Cost!M34)/1000000,"SLO 不可達")</f>
        <v>0.00532514275749409</v>
      </c>
      <c r="G71" s="91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2518</v>
      </c>
      <c r="B72" s="62" t="s">
        <v>2513</v>
      </c>
      <c r="C72" s="91" t="n">
        <f aca="false">IF(ISNUMBER(Unit_Cost!M34),(C35*Unit_Cost!M32+C36*(Unit_Cost!M33+Cache_Store!M23*C50/B4_Retain)+C37*Unit_Cost!M34)/1000000,"SLO 不可達")</f>
        <v>0.000279150469620371</v>
      </c>
      <c r="D72" s="91" t="n">
        <f aca="false">IF(ISNUMBER(Unit_Cost!M34),(D35*Unit_Cost!M32+D36*(Unit_Cost!M33+Cache_Store!M23*D50/B4_Retain)+D37*Unit_Cost!M34)/1000000,"SLO 不可達")</f>
        <v>0.00179615036783932</v>
      </c>
      <c r="E72" s="91" t="n">
        <f aca="false">IF(ISNUMBER(Unit_Cost!M34),(E35*Unit_Cost!M32+E36*(Unit_Cost!M33+Cache_Store!M23*E50/B4_Retain)+E37*Unit_Cost!M34)/1000000,"SLO 不可達")</f>
        <v>0.000818832106057835</v>
      </c>
      <c r="F72" s="91" t="n">
        <f aca="false">IF(ISNUMBER(Unit_Cost!M34),(F35*Unit_Cost!M32+F36*(Unit_Cost!M33+Cache_Store!M23*F50/B4_Retain)+F37*Unit_Cost!M34)/1000000,"SLO 不可達")</f>
        <v>0.00327532842423134</v>
      </c>
      <c r="G72" s="91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2519</v>
      </c>
      <c r="B73" s="62" t="s">
        <v>2513</v>
      </c>
      <c r="C73" s="91" t="n">
        <f aca="false">IF(ISNUMBER(Unit_Cost!M47),(C18*Unit_Cost!M45+C19*(Unit_Cost!M46+Cache_Store!M29*C48/B4_Retain)+C20*Unit_Cost!M47)/1000000,"SLO 不可達")</f>
        <v>0.00129059787362528</v>
      </c>
      <c r="D73" s="91" t="n">
        <f aca="false">IF(ISNUMBER(Unit_Cost!M47),(D18*Unit_Cost!M45+D19*(Unit_Cost!M46+Cache_Store!M29*D48/B4_Retain)+D20*Unit_Cost!M47)/1000000,"SLO 不可達")</f>
        <v>0.00864850878262003</v>
      </c>
      <c r="E73" s="91" t="n">
        <f aca="false">IF(ISNUMBER(Unit_Cost!M47),(E18*Unit_Cost!M45+E19*(Unit_Cost!M46+Cache_Store!M29*E48/B4_Retain)+E20*Unit_Cost!M47)/1000000,"SLO 不可達")</f>
        <v>0.00618243262338703</v>
      </c>
      <c r="F73" s="91" t="n">
        <f aca="false">IF(ISNUMBER(Unit_Cost!M47),(F18*Unit_Cost!M45+F19*(Unit_Cost!M46+Cache_Store!M29*F48/B4_Retain)+F20*Unit_Cost!M47)/1000000,"SLO 不可達")</f>
        <v>0.0247297304935481</v>
      </c>
      <c r="G73" s="91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2520</v>
      </c>
      <c r="B74" s="62" t="s">
        <v>2513</v>
      </c>
      <c r="C74" s="91" t="n">
        <f aca="false">IF(ISNUMBER(Unit_Cost!M47),(C41*Unit_Cost!M45+C42*(Unit_Cost!M46+Cache_Store!M29*C49/B4_Retain)+C43*Unit_Cost!M47)/1000000,"SLO 不可達")</f>
        <v>0.00129059787362528</v>
      </c>
      <c r="D74" s="91" t="n">
        <f aca="false">IF(ISNUMBER(Unit_Cost!M47),(D41*Unit_Cost!M45+D42*(Unit_Cost!M46+Cache_Store!M29*D49/B4_Retain)+D43*Unit_Cost!M47)/1000000,"SLO 不可達")</f>
        <v>0.00864850878262003</v>
      </c>
      <c r="E74" s="91" t="n">
        <f aca="false">IF(ISNUMBER(Unit_Cost!M47),(E41*Unit_Cost!M45+E42*(Unit_Cost!M46+Cache_Store!M29*E49/B4_Retain)+E43*Unit_Cost!M47)/1000000,"SLO 不可達")</f>
        <v>0.00618243262338703</v>
      </c>
      <c r="F74" s="91" t="n">
        <f aca="false">IF(ISNUMBER(Unit_Cost!M47),(F41*Unit_Cost!M45+F42*(Unit_Cost!M46+Cache_Store!M29*F49/B4_Retain)+F43*Unit_Cost!M47)/1000000,"SLO 不可達")</f>
        <v>0.0247297304935481</v>
      </c>
      <c r="G74" s="91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2521</v>
      </c>
      <c r="B75" s="62" t="s">
        <v>2513</v>
      </c>
      <c r="C75" s="91" t="n">
        <f aca="false">IF(ISNUMBER(Unit_Cost!M47),(C35*Unit_Cost!M45+C36*(Unit_Cost!M46+Cache_Store!M29*C50/B4_Retain)+C37*Unit_Cost!M47)/1000000,"SLO 不可達")</f>
        <v>0.00129059787362528</v>
      </c>
      <c r="D75" s="91" t="n">
        <f aca="false">IF(ISNUMBER(Unit_Cost!M47),(D35*Unit_Cost!M45+D36*(Unit_Cost!M46+Cache_Store!M29*D50/B4_Retain)+D37*Unit_Cost!M47)/1000000,"SLO 不可達")</f>
        <v>0.00864850878262003</v>
      </c>
      <c r="E75" s="91" t="n">
        <f aca="false">IF(ISNUMBER(Unit_Cost!M47),(E35*Unit_Cost!M45+E36*(Unit_Cost!M46+Cache_Store!M29*E50/B4_Retain)+E37*Unit_Cost!M47)/1000000,"SLO 不可達")</f>
        <v>0.00380208503570979</v>
      </c>
      <c r="F75" s="91" t="n">
        <f aca="false">IF(ISNUMBER(Unit_Cost!M47),(F35*Unit_Cost!M45+F36*(Unit_Cost!M46+Cache_Store!M29*F50/B4_Retain)+F37*Unit_Cost!M47)/1000000,"SLO 不可達")</f>
        <v>0.0152083401428392</v>
      </c>
      <c r="G75" s="91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2522</v>
      </c>
      <c r="B76" s="62" t="s">
        <v>2513</v>
      </c>
      <c r="C76" s="91" t="n">
        <f aca="false">IF(ISNUMBER(Unit_Cost!J21),(C18*Unit_Cost!J19+C19*(Unit_Cost!J20+Cache_Store!J17*C48/B4_Retain)+C20*Unit_Cost!J21)/1000000,"SLO 不可達")</f>
        <v>0.000109935098198099</v>
      </c>
      <c r="D76" s="91" t="n">
        <f aca="false">IF(ISNUMBER(Unit_Cost!J21),(D18*Unit_Cost!J19+D19*(Unit_Cost!J20+Cache_Store!J17*D48/B4_Retain)+D20*Unit_Cost!J21)/1000000,"SLO 不可達")</f>
        <v>0.000716797711690633</v>
      </c>
      <c r="E76" s="91" t="n">
        <f aca="false">IF(ISNUMBER(Unit_Cost!J21),(E18*Unit_Cost!J19+E19*(Unit_Cost!J20+Cache_Store!J17*E48/B4_Retain)+E20*Unit_Cost!J21)/1000000,"SLO 不可達")</f>
        <v>0.00052470052884374</v>
      </c>
      <c r="F76" s="91" t="n">
        <f aca="false">IF(ISNUMBER(Unit_Cost!J21),(F18*Unit_Cost!J19+F19*(Unit_Cost!J20+Cache_Store!J17*F48/B4_Retain)+F20*Unit_Cost!J21)/1000000,"SLO 不可達")</f>
        <v>0.00209880211537496</v>
      </c>
      <c r="G76" s="91" t="n">
        <f aca="false">IF(ISNUMBER(Unit_Cost!J21),(G18*Unit_Cost!J19+G19*(Unit_Cost!J20+Cache_Store!J17*G48/B4_Retain)+G20*Unit_Cost!J21)/1000000,"SLO 不可達")</f>
        <v>0.00776074387218268</v>
      </c>
      <c r="I76" s="65" t="s">
        <v>2523</v>
      </c>
    </row>
    <row r="77" customFormat="false" ht="15" hidden="false" customHeight="false" outlineLevel="0" collapsed="false">
      <c r="A77" s="5" t="s">
        <v>2524</v>
      </c>
      <c r="B77" s="62" t="s">
        <v>2513</v>
      </c>
      <c r="C77" s="91" t="n">
        <f aca="false">IF(ISNUMBER(Unit_Cost!J21),(C41*Unit_Cost!J19+C42*(Unit_Cost!J20+Cache_Store!J17*C49/B4_Retain)+C43*Unit_Cost!J21)/1000000,"SLO 不可達")</f>
        <v>0.000109935098198099</v>
      </c>
      <c r="D77" s="91" t="n">
        <f aca="false">IF(ISNUMBER(Unit_Cost!J21),(D41*Unit_Cost!J19+D42*(Unit_Cost!J20+Cache_Store!J17*D49/B4_Retain)+D43*Unit_Cost!J21)/1000000,"SLO 不可達")</f>
        <v>0.000716797711690633</v>
      </c>
      <c r="E77" s="91" t="n">
        <f aca="false">IF(ISNUMBER(Unit_Cost!J21),(E41*Unit_Cost!J19+E42*(Unit_Cost!J20+Cache_Store!J17*E49/B4_Retain)+E43*Unit_Cost!J21)/1000000,"SLO 不可達")</f>
        <v>0.00052470052884374</v>
      </c>
      <c r="F77" s="91" t="n">
        <f aca="false">IF(ISNUMBER(Unit_Cost!J21),(F41*Unit_Cost!J19+F42*(Unit_Cost!J20+Cache_Store!J17*F49/B4_Retain)+F43*Unit_Cost!J21)/1000000,"SLO 不可達")</f>
        <v>0.00209880211537496</v>
      </c>
      <c r="G77" s="91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2525</v>
      </c>
      <c r="B78" s="62" t="s">
        <v>2513</v>
      </c>
      <c r="C78" s="91" t="n">
        <f aca="false">IF(ISNUMBER(Unit_Cost!J21),(C35*Unit_Cost!J19+C36*(Unit_Cost!J20+Cache_Store!J17*C50/B4_Retain)+C37*Unit_Cost!J21)/1000000,"SLO 不可達")</f>
        <v>0.000109935098198099</v>
      </c>
      <c r="D78" s="91" t="n">
        <f aca="false">IF(ISNUMBER(Unit_Cost!J21),(D35*Unit_Cost!J19+D36*(Unit_Cost!J20+Cache_Store!J17*D50/B4_Retain)+D37*Unit_Cost!J21)/1000000,"SLO 不可達")</f>
        <v>0.000716797711690633</v>
      </c>
      <c r="E78" s="91" t="n">
        <f aca="false">IF(ISNUMBER(Unit_Cost!J21),(E35*Unit_Cost!J19+E36*(Unit_Cost!J20+Cache_Store!J17*E50/B4_Retain)+E37*Unit_Cost!J21)/1000000,"SLO 不可達")</f>
        <v>0.000322795950305773</v>
      </c>
      <c r="F78" s="91" t="n">
        <f aca="false">IF(ISNUMBER(Unit_Cost!J21),(F35*Unit_Cost!J19+F36*(Unit_Cost!J20+Cache_Store!J17*F50/B4_Retain)+F37*Unit_Cost!J21)/1000000,"SLO 不可達")</f>
        <v>0.00129118380122309</v>
      </c>
      <c r="G78" s="91" t="n">
        <f aca="false">IF(ISNUMBER(Unit_Cost!J21),(G35*Unit_Cost!J19+G36*(Unit_Cost!J20+Cache_Store!J17*G50/B4_Retain)+G37*Unit_Cost!J21)/1000000,"SLO 不可達")</f>
        <v>0.00468988602096294</v>
      </c>
      <c r="I78" s="65" t="s">
        <v>2526</v>
      </c>
    </row>
    <row r="79" customFormat="false" ht="15" hidden="false" customHeight="false" outlineLevel="0" collapsed="false">
      <c r="A79" s="5" t="s">
        <v>2527</v>
      </c>
      <c r="B79" s="62" t="s">
        <v>2513</v>
      </c>
      <c r="C79" s="91" t="n">
        <f aca="false">IF(ISNUMBER(Unit_Cost!J34),(C18*Unit_Cost!J32+C19*(Unit_Cost!J33+Cache_Store!J23*C48/B4_Retain)+C20*Unit_Cost!J34)/1000000,"SLO 不可達")</f>
        <v>0.00037413323584002</v>
      </c>
      <c r="D79" s="91" t="n">
        <f aca="false">IF(ISNUMBER(Unit_Cost!J34),(D18*Unit_Cost!J32+D19*(Unit_Cost!J33+Cache_Store!J23*D48/B4_Retain)+D20*Unit_Cost!J34)/1000000,"SLO 不可達")</f>
        <v>0.00243349226818212</v>
      </c>
      <c r="E79" s="91" t="n">
        <f aca="false">IF(ISNUMBER(Unit_Cost!J34),(E18*Unit_Cost!J32+E19*(Unit_Cost!J33+Cache_Store!J23*E48/B4_Retain)+E20*Unit_Cost!J34)/1000000,"SLO 不可達")</f>
        <v>0.00178418019626706</v>
      </c>
      <c r="F79" s="91" t="n">
        <f aca="false">IF(ISNUMBER(Unit_Cost!J34),(F18*Unit_Cost!J32+F19*(Unit_Cost!J33+Cache_Store!J23*F48/B4_Retain)+F20*Unit_Cost!J34)/1000000,"SLO 不可達")</f>
        <v>0.00713672078506823</v>
      </c>
      <c r="G79" s="91" t="n">
        <f aca="false">IF(ISNUMBER(Unit_Cost!J34),(G18*Unit_Cost!J32+G19*(Unit_Cost!J33+Cache_Store!J23*G48/B4_Retain)+G20*Unit_Cost!J34)/1000000,"SLO 不可達")</f>
        <v>0.0263758138384536</v>
      </c>
      <c r="I79" s="65" t="s">
        <v>2528</v>
      </c>
    </row>
    <row r="80" customFormat="false" ht="15" hidden="false" customHeight="false" outlineLevel="0" collapsed="false">
      <c r="A80" s="5" t="s">
        <v>2529</v>
      </c>
      <c r="B80" s="62" t="s">
        <v>2513</v>
      </c>
      <c r="C80" s="91" t="n">
        <f aca="false">IF(ISNUMBER(Unit_Cost!J34),(C41*Unit_Cost!J32+C42*(Unit_Cost!J33+Cache_Store!J23*C49/B4_Retain)+C43*Unit_Cost!J34)/1000000,"SLO 不可達")</f>
        <v>0.00037413323584002</v>
      </c>
      <c r="D80" s="91" t="n">
        <f aca="false">IF(ISNUMBER(Unit_Cost!J34),(D41*Unit_Cost!J32+D42*(Unit_Cost!J33+Cache_Store!J23*D49/B4_Retain)+D43*Unit_Cost!J34)/1000000,"SLO 不可達")</f>
        <v>0.00243349226818212</v>
      </c>
      <c r="E80" s="91" t="n">
        <f aca="false">IF(ISNUMBER(Unit_Cost!J34),(E41*Unit_Cost!J32+E42*(Unit_Cost!J33+Cache_Store!J23*E49/B4_Retain)+E43*Unit_Cost!J34)/1000000,"SLO 不可達")</f>
        <v>0.00178418019626706</v>
      </c>
      <c r="F80" s="91" t="n">
        <f aca="false">IF(ISNUMBER(Unit_Cost!J34),(F41*Unit_Cost!J32+F42*(Unit_Cost!J33+Cache_Store!J23*F49/B4_Retain)+F43*Unit_Cost!J34)/1000000,"SLO 不可達")</f>
        <v>0.00713672078506823</v>
      </c>
      <c r="G80" s="91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2530</v>
      </c>
      <c r="B81" s="62" t="s">
        <v>2513</v>
      </c>
      <c r="C81" s="91" t="n">
        <f aca="false">IF(ISNUMBER(Unit_Cost!J34),(C35*Unit_Cost!J32+C36*(Unit_Cost!J33+Cache_Store!J23*C50/B4_Retain)+C37*Unit_Cost!J34)/1000000,"SLO 不可達")</f>
        <v>0.00037413323584002</v>
      </c>
      <c r="D81" s="91" t="n">
        <f aca="false">IF(ISNUMBER(Unit_Cost!J34),(D35*Unit_Cost!J32+D36*(Unit_Cost!J33+Cache_Store!J23*D50/B4_Retain)+D37*Unit_Cost!J34)/1000000,"SLO 不可達")</f>
        <v>0.00243349226818212</v>
      </c>
      <c r="E81" s="91" t="n">
        <f aca="false">IF(ISNUMBER(Unit_Cost!J34),(E35*Unit_Cost!J32+E36*(Unit_Cost!J33+Cache_Store!J23*E50/B4_Retain)+E37*Unit_Cost!J34)/1000000,"SLO 不可達")</f>
        <v>0.0010960476302489</v>
      </c>
      <c r="F81" s="91" t="n">
        <f aca="false">IF(ISNUMBER(Unit_Cost!J34),(F35*Unit_Cost!J32+F36*(Unit_Cost!J33+Cache_Store!J23*F50/B4_Retain)+F37*Unit_Cost!J34)/1000000,"SLO 不可達")</f>
        <v>0.00438419052099561</v>
      </c>
      <c r="G81" s="91" t="n">
        <f aca="false">IF(ISNUMBER(Unit_Cost!J34),(G35*Unit_Cost!J32+G36*(Unit_Cost!J33+Cache_Store!J23*G50/B4_Retain)+G37*Unit_Cost!J34)/1000000,"SLO 不可達")</f>
        <v>0.0158320551845873</v>
      </c>
      <c r="I81" s="65" t="s">
        <v>2531</v>
      </c>
    </row>
    <row r="82" customFormat="false" ht="15" hidden="false" customHeight="false" outlineLevel="0" collapsed="false">
      <c r="A82" s="5" t="s">
        <v>2532</v>
      </c>
      <c r="B82" s="62" t="s">
        <v>2513</v>
      </c>
      <c r="C82" s="91" t="n">
        <f aca="false">IF(ISNUMBER(Unit_Cost!J47),(C18*Unit_Cost!J45+C19*(Unit_Cost!J46+Cache_Store!J29*C48/B4_Retain)+C20*Unit_Cost!J47)/1000000,"SLO 不可達")</f>
        <v>0.00204604987491247</v>
      </c>
      <c r="D82" s="91" t="n">
        <f aca="false">IF(ISNUMBER(Unit_Cost!J47),(D18*Unit_Cost!J45+D19*(Unit_Cost!J46+Cache_Store!J29*D48/B4_Retain)+D20*Unit_Cost!J47)/1000000,"SLO 不可達")</f>
        <v>0.0140243982558583</v>
      </c>
      <c r="E82" s="91" t="n">
        <f aca="false">IF(ISNUMBER(Unit_Cost!J47),(E18*Unit_Cost!J45+E19*(Unit_Cost!J46+Cache_Store!J29*E48/B4_Retain)+E20*Unit_Cost!J47)/1000000,"SLO 不可達")</f>
        <v>0.00979234689422104</v>
      </c>
      <c r="F82" s="91" t="n">
        <f aca="false">IF(ISNUMBER(Unit_Cost!J47),(F18*Unit_Cost!J45+F19*(Unit_Cost!J46+Cache_Store!J29*F48/B4_Retain)+F20*Unit_Cost!J47)/1000000,"SLO 不可達")</f>
        <v>0.0391693875768842</v>
      </c>
      <c r="G82" s="91" t="n">
        <f aca="false">IF(ISNUMBER(Unit_Cost!J47),(G18*Unit_Cost!J45+G19*(Unit_Cost!J46+Cache_Store!J29*G48/B4_Retain)+G20*Unit_Cost!J47)/1000000,"SLO 不可達")</f>
        <v>0.136679784615998</v>
      </c>
      <c r="I82" s="65" t="s">
        <v>2533</v>
      </c>
    </row>
    <row r="83" customFormat="false" ht="15" hidden="false" customHeight="false" outlineLevel="0" collapsed="false">
      <c r="A83" s="5" t="s">
        <v>2534</v>
      </c>
      <c r="B83" s="62" t="s">
        <v>2513</v>
      </c>
      <c r="C83" s="91" t="n">
        <f aca="false">IF(ISNUMBER(Unit_Cost!J47),(C41*Unit_Cost!J45+C42*(Unit_Cost!J46+Cache_Store!J29*C49/B4_Retain)+C43*Unit_Cost!J47)/1000000,"SLO 不可達")</f>
        <v>0.00204604987491247</v>
      </c>
      <c r="D83" s="91" t="n">
        <f aca="false">IF(ISNUMBER(Unit_Cost!J47),(D41*Unit_Cost!J45+D42*(Unit_Cost!J46+Cache_Store!J29*D49/B4_Retain)+D43*Unit_Cost!J47)/1000000,"SLO 不可達")</f>
        <v>0.0140243982558583</v>
      </c>
      <c r="E83" s="91" t="n">
        <f aca="false">IF(ISNUMBER(Unit_Cost!J47),(E41*Unit_Cost!J45+E42*(Unit_Cost!J46+Cache_Store!J29*E49/B4_Retain)+E43*Unit_Cost!J47)/1000000,"SLO 不可達")</f>
        <v>0.00979234689422104</v>
      </c>
      <c r="F83" s="91" t="n">
        <f aca="false">IF(ISNUMBER(Unit_Cost!J47),(F41*Unit_Cost!J45+F42*(Unit_Cost!J46+Cache_Store!J29*F49/B4_Retain)+F43*Unit_Cost!J47)/1000000,"SLO 不可達")</f>
        <v>0.0391693875768842</v>
      </c>
      <c r="G83" s="91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2535</v>
      </c>
      <c r="B84" s="62" t="s">
        <v>2513</v>
      </c>
      <c r="C84" s="91" t="n">
        <f aca="false">IF(ISNUMBER(Unit_Cost!J47),(C35*Unit_Cost!J45+C36*(Unit_Cost!J46+Cache_Store!J29*C50/B4_Retain)+C37*Unit_Cost!J47)/1000000,"SLO 不可達")</f>
        <v>0.00204604987491247</v>
      </c>
      <c r="D84" s="91" t="n">
        <f aca="false">IF(ISNUMBER(Unit_Cost!J47),(D35*Unit_Cost!J45+D36*(Unit_Cost!J46+Cache_Store!J29*D50/B4_Retain)+D37*Unit_Cost!J47)/1000000,"SLO 不可達")</f>
        <v>0.0140243982558583</v>
      </c>
      <c r="E84" s="91" t="n">
        <f aca="false">IF(ISNUMBER(Unit_Cost!J47),(E35*Unit_Cost!J45+E36*(Unit_Cost!J46+Cache_Store!J29*E50/B4_Retain)+E37*Unit_Cost!J47)/1000000,"SLO 不可達")</f>
        <v>0.00600064836424543</v>
      </c>
      <c r="F84" s="91" t="n">
        <f aca="false">IF(ISNUMBER(Unit_Cost!J47),(F35*Unit_Cost!J45+F36*(Unit_Cost!J46+Cache_Store!J29*F50/B4_Retain)+F37*Unit_Cost!J47)/1000000,"SLO 不可達")</f>
        <v>0.0240025934569817</v>
      </c>
      <c r="G84" s="91" t="n">
        <f aca="false">IF(ISNUMBER(Unit_Cost!J47),(G35*Unit_Cost!J45+G36*(Unit_Cost!J46+Cache_Store!J29*G50/B4_Retain)+G37*Unit_Cost!J47)/1000000,"SLO 不可達")</f>
        <v>0.0835955433723595</v>
      </c>
      <c r="I84" s="65" t="s">
        <v>2536</v>
      </c>
    </row>
    <row r="86" customFormat="false" ht="15" hidden="false" customHeight="false" outlineLevel="0" collapsed="false">
      <c r="A86" s="77" t="s">
        <v>2537</v>
      </c>
      <c r="B86" s="71"/>
      <c r="C86" s="71"/>
      <c r="D86" s="71"/>
      <c r="E86" s="71"/>
      <c r="F86" s="71"/>
      <c r="G86" s="71"/>
      <c r="H86" s="71"/>
    </row>
    <row r="87" customFormat="false" ht="15" hidden="false" customHeight="false" outlineLevel="0" collapsed="false">
      <c r="A87" s="5" t="s">
        <v>2538</v>
      </c>
      <c r="B87" s="62" t="s">
        <v>2513</v>
      </c>
      <c r="C87" s="171" t="n">
        <f aca="false">IF(AND(ISNUMBER(C67),C56&gt;0),C67/C56,"SLO 不可達")</f>
        <v>8.8899077896421E-005</v>
      </c>
      <c r="D87" s="171" t="n">
        <f aca="false">IF(AND(ISNUMBER(D67),D56&gt;0),D67/D56,"SLO 不可達")</f>
        <v>0.000627888436452441</v>
      </c>
      <c r="E87" s="171" t="n">
        <f aca="false">IF(AND(ISNUMBER(E67),E56&gt;0),E67/E56,"SLO 不可達")</f>
        <v>0.000588020351383176</v>
      </c>
      <c r="F87" s="171" t="n">
        <f aca="false">IF(AND(ISNUMBER(F67),F56&gt;0),F67/F56,"SLO 不可達")</f>
        <v>0.00366343990142828</v>
      </c>
      <c r="G87" s="171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2539</v>
      </c>
      <c r="B88" s="62" t="s">
        <v>2513</v>
      </c>
      <c r="C88" s="172" t="n">
        <f aca="false">IF(AND(ISNUMBER(C68),C57&gt;0),C68/C57,"SLO 不可達")</f>
        <v>8.8899077896421E-005</v>
      </c>
      <c r="D88" s="172" t="n">
        <f aca="false">IF(AND(ISNUMBER(D68),D57&gt;0),D68/D57,"SLO 不可達")</f>
        <v>0.000627888436452441</v>
      </c>
      <c r="E88" s="172" t="n">
        <f aca="false">IF(AND(ISNUMBER(E68),E57&gt;0),E68/E57,"SLO 不可達")</f>
        <v>0.000588020351383176</v>
      </c>
      <c r="F88" s="172" t="n">
        <f aca="false">IF(AND(ISNUMBER(F68),F57&gt;0),F68/F57,"SLO 不可達")</f>
        <v>0.00366343990142828</v>
      </c>
      <c r="G88" s="172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2540</v>
      </c>
      <c r="B89" s="62" t="s">
        <v>2513</v>
      </c>
      <c r="C89" s="171" t="n">
        <f aca="false">IF(AND(ISNUMBER(C69),C58&gt;0),C69/C58,"SLO 不可達")</f>
        <v>8.8899077896421E-005</v>
      </c>
      <c r="D89" s="171" t="n">
        <f aca="false">IF(AND(ISNUMBER(D69),D58&gt;0),D69/D58,"SLO 不可達")</f>
        <v>0.000627888436452441</v>
      </c>
      <c r="E89" s="171" t="n">
        <f aca="false">IF(AND(ISNUMBER(E69),E58&gt;0),E69/E58,"SLO 不可達")</f>
        <v>0.000348021397530065</v>
      </c>
      <c r="F89" s="171" t="n">
        <f aca="false">IF(AND(ISNUMBER(F69),F58&gt;0),F69/F58,"SLO 不可達")</f>
        <v>0.00174967897679409</v>
      </c>
      <c r="G89" s="171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2541</v>
      </c>
      <c r="B90" s="62" t="s">
        <v>2513</v>
      </c>
      <c r="C90" s="171" t="n">
        <f aca="false">IF(AND(ISNUMBER(C70),C59&gt;0),C70/C59,"SLO 不可達")</f>
        <v>0.000282271466750481</v>
      </c>
      <c r="D90" s="171" t="n">
        <f aca="false">IF(AND(ISNUMBER(D70),D59&gt;0),D70/D59,"SLO 不可達")</f>
        <v>0.00186329714942528</v>
      </c>
      <c r="E90" s="171" t="n">
        <f aca="false">IF(AND(ISNUMBER(E70),E59&gt;0),E70/E59,"SLO 不可達")</f>
        <v>0.00149769640054521</v>
      </c>
      <c r="F90" s="171" t="n">
        <f aca="false">IF(AND(ISNUMBER(F70),F59&gt;0),F70/F59,"SLO 不可達")</f>
        <v>0.00720786503479934</v>
      </c>
      <c r="G90" s="171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2542</v>
      </c>
      <c r="B91" s="62" t="s">
        <v>2513</v>
      </c>
      <c r="C91" s="172" t="n">
        <f aca="false">IF(AND(ISNUMBER(C71),C60&gt;0),C71/C60,"SLO 不可達")</f>
        <v>0.000282271466750481</v>
      </c>
      <c r="D91" s="172" t="n">
        <f aca="false">IF(AND(ISNUMBER(D71),D60&gt;0),D71/D60,"SLO 不可達")</f>
        <v>0.00186329714942528</v>
      </c>
      <c r="E91" s="172" t="n">
        <f aca="false">IF(AND(ISNUMBER(E71),E60&gt;0),E71/E60,"SLO 不可達")</f>
        <v>0.00149769640054521</v>
      </c>
      <c r="F91" s="172" t="n">
        <f aca="false">IF(AND(ISNUMBER(F71),F60&gt;0),F71/F60,"SLO 不可達")</f>
        <v>0.00720786503479934</v>
      </c>
      <c r="G91" s="172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2543</v>
      </c>
      <c r="B92" s="62" t="s">
        <v>2513</v>
      </c>
      <c r="C92" s="171" t="n">
        <f aca="false">IF(AND(ISNUMBER(C72),C61&gt;0),C72/C61,"SLO 不可達")</f>
        <v>0.000282271466750481</v>
      </c>
      <c r="D92" s="171" t="n">
        <f aca="false">IF(AND(ISNUMBER(D72),D61&gt;0),D72/D61,"SLO 不可達")</f>
        <v>0.00186329714942528</v>
      </c>
      <c r="E92" s="171" t="n">
        <f aca="false">IF(AND(ISNUMBER(E72),E61&gt;0),E72/E61,"SLO 不可達")</f>
        <v>0.000908104861835186</v>
      </c>
      <c r="F92" s="171" t="n">
        <f aca="false">IF(AND(ISNUMBER(F72),F61&gt;0),F72/F61,"SLO 不可達")</f>
        <v>0.00396388140691002</v>
      </c>
      <c r="G92" s="171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2544</v>
      </c>
      <c r="B93" s="62" t="s">
        <v>2513</v>
      </c>
      <c r="C93" s="171" t="n">
        <f aca="false">IF(AND(ISNUMBER(C73),C62&gt;0),C73/C62,"SLO 不可達")</f>
        <v>0.00129917760034516</v>
      </c>
      <c r="D93" s="171" t="n">
        <f aca="false">IF(AND(ISNUMBER(D73),D62&gt;0),D73/D62,"SLO 不可達")</f>
        <v>0.00884075209631596</v>
      </c>
      <c r="E93" s="171" t="n">
        <f aca="false">IF(AND(ISNUMBER(E73),E62&gt;0),E73/E62,"SLO 不可達")</f>
        <v>0.00664194467737183</v>
      </c>
      <c r="F93" s="171" t="n">
        <f aca="false">IF(AND(ISNUMBER(F73),F62&gt;0),F73/F62,"SLO 不可達")</f>
        <v>0.0299285159241019</v>
      </c>
      <c r="G93" s="171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2545</v>
      </c>
      <c r="B94" s="62" t="s">
        <v>2513</v>
      </c>
      <c r="C94" s="172" t="n">
        <f aca="false">IF(AND(ISNUMBER(C74),C63&gt;0),C74/C63,"SLO 不可達")</f>
        <v>0.00129917760034516</v>
      </c>
      <c r="D94" s="172" t="n">
        <f aca="false">IF(AND(ISNUMBER(D74),D63&gt;0),D74/D63,"SLO 不可達")</f>
        <v>0.00884075209631596</v>
      </c>
      <c r="E94" s="172" t="n">
        <f aca="false">IF(AND(ISNUMBER(E74),E63&gt;0),E74/E63,"SLO 不可達")</f>
        <v>0.00664194467737183</v>
      </c>
      <c r="F94" s="172" t="n">
        <f aca="false">IF(AND(ISNUMBER(F74),F63&gt;0),F74/F63,"SLO 不可達")</f>
        <v>0.0299285159241019</v>
      </c>
      <c r="G94" s="172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2546</v>
      </c>
      <c r="B95" s="62" t="s">
        <v>2513</v>
      </c>
      <c r="C95" s="171" t="n">
        <f aca="false">IF(AND(ISNUMBER(C75),C64&gt;0),C75/C64,"SLO 不可達")</f>
        <v>0.00129917760034516</v>
      </c>
      <c r="D95" s="171" t="n">
        <f aca="false">IF(AND(ISNUMBER(D75),D64&gt;0),D75/D64,"SLO 不可達")</f>
        <v>0.00884075209631596</v>
      </c>
      <c r="E95" s="171" t="n">
        <f aca="false">IF(AND(ISNUMBER(E75),E64&gt;0),E75/E64,"SLO 不可達")</f>
        <v>0.00404856033781159</v>
      </c>
      <c r="F95" s="171" t="n">
        <f aca="false">IF(AND(ISNUMBER(F75),F64&gt;0),F75/F64,"SLO 不可達")</f>
        <v>0.0171093826606941</v>
      </c>
      <c r="G95" s="171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2547</v>
      </c>
      <c r="B96" s="62" t="s">
        <v>2513</v>
      </c>
      <c r="C96" s="171" t="n">
        <f aca="false">IF(AND(ISNUMBER(C76),C56&gt;0),C76/C56,"SLO 不可達")</f>
        <v>0.000114248703667037</v>
      </c>
      <c r="D96" s="171" t="n">
        <f aca="false">IF(AND(ISNUMBER(D76),D56&gt;0),D76/D56,"SLO 不可達")</f>
        <v>0.000810841077890223</v>
      </c>
      <c r="E96" s="171" t="n">
        <f aca="false">IF(AND(ISNUMBER(E76),E56&gt;0),E76/E56,"SLO 不可達")</f>
        <v>0.000754882105708299</v>
      </c>
      <c r="F96" s="171" t="n">
        <f aca="false">IF(AND(ISNUMBER(F76),F56&gt;0),F76/F56,"SLO 不可達")</f>
        <v>0.00470300937785723</v>
      </c>
      <c r="G96" s="171" t="n">
        <f aca="false">IF(AND(ISNUMBER(G76),G56&gt;0),G76/G56,"SLO 不可達")</f>
        <v>0.0349973127558091</v>
      </c>
      <c r="I96" s="65" t="s">
        <v>2548</v>
      </c>
    </row>
    <row r="97" customFormat="false" ht="29.85" hidden="false" customHeight="false" outlineLevel="0" collapsed="false">
      <c r="A97" s="5" t="s">
        <v>2549</v>
      </c>
      <c r="B97" s="62" t="s">
        <v>2513</v>
      </c>
      <c r="C97" s="171" t="n">
        <f aca="false">IF(AND(ISNUMBER(C77),C57&gt;0),C77/C57,"SLO 不可達")</f>
        <v>0.000114248703667037</v>
      </c>
      <c r="D97" s="171" t="n">
        <f aca="false">IF(AND(ISNUMBER(D77),D57&gt;0),D77/D57,"SLO 不可達")</f>
        <v>0.000810841077890223</v>
      </c>
      <c r="E97" s="171" t="n">
        <f aca="false">IF(AND(ISNUMBER(E77),E57&gt;0),E77/E57,"SLO 不可達")</f>
        <v>0.000754882105708299</v>
      </c>
      <c r="F97" s="171" t="n">
        <f aca="false">IF(AND(ISNUMBER(F77),F57&gt;0),F77/F57,"SLO 不可達")</f>
        <v>0.00470300937785723</v>
      </c>
      <c r="G97" s="171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2550</v>
      </c>
      <c r="B98" s="62" t="s">
        <v>2513</v>
      </c>
      <c r="C98" s="171" t="n">
        <f aca="false">IF(AND(ISNUMBER(C78),C58&gt;0),C78/C58,"SLO 不可達")</f>
        <v>0.000114248703667037</v>
      </c>
      <c r="D98" s="171" t="n">
        <f aca="false">IF(AND(ISNUMBER(D78),D58&gt;0),D78/D58,"SLO 不可達")</f>
        <v>0.000810841077890223</v>
      </c>
      <c r="E98" s="171" t="n">
        <f aca="false">IF(AND(ISNUMBER(E78),E58&gt;0),E78/E58,"SLO 不可達")</f>
        <v>0.000446305688742682</v>
      </c>
      <c r="F98" s="171" t="n">
        <f aca="false">IF(AND(ISNUMBER(F78),F58&gt;0),F78/F58,"SLO 不可達")</f>
        <v>0.00224380364643878</v>
      </c>
      <c r="G98" s="171" t="n">
        <f aca="false">IF(AND(ISNUMBER(G78),G58&gt;0),G78/G58,"SLO 不可達")</f>
        <v>0.0144766437459101</v>
      </c>
      <c r="I98" s="65" t="s">
        <v>2551</v>
      </c>
    </row>
    <row r="99" customFormat="false" ht="15" hidden="false" customHeight="false" outlineLevel="0" collapsed="false">
      <c r="A99" s="5" t="s">
        <v>2552</v>
      </c>
      <c r="B99" s="62" t="s">
        <v>2513</v>
      </c>
      <c r="C99" s="171" t="n">
        <f aca="false">IF(AND(ISNUMBER(C79),C59&gt;0),C79/C59,"SLO 不可達")</f>
        <v>0.000378316172579921</v>
      </c>
      <c r="D99" s="171" t="n">
        <f aca="false">IF(AND(ISNUMBER(D79),D59&gt;0),D79/D59,"SLO 不可達")</f>
        <v>0.00252446526061555</v>
      </c>
      <c r="E99" s="171" t="n">
        <f aca="false">IF(AND(ISNUMBER(E79),E59&gt;0),E79/E59,"SLO 不可達")</f>
        <v>0.00200720272080044</v>
      </c>
      <c r="F99" s="171" t="n">
        <f aca="false">IF(AND(ISNUMBER(F79),F59&gt;0),F79/F59,"SLO 不可達")</f>
        <v>0.00965993261634659</v>
      </c>
      <c r="G99" s="171" t="n">
        <f aca="false">IF(AND(ISNUMBER(G79),G59&gt;0),G79/G59,"SLO 不可達")</f>
        <v>0.0527516276769073</v>
      </c>
      <c r="I99" s="65" t="s">
        <v>2553</v>
      </c>
    </row>
    <row r="100" customFormat="false" ht="15" hidden="false" customHeight="false" outlineLevel="0" collapsed="false">
      <c r="A100" s="5" t="s">
        <v>2554</v>
      </c>
      <c r="B100" s="62" t="s">
        <v>2513</v>
      </c>
      <c r="C100" s="171" t="n">
        <f aca="false">IF(AND(ISNUMBER(C80),C60&gt;0),C80/C60,"SLO 不可達")</f>
        <v>0.000378316172579921</v>
      </c>
      <c r="D100" s="171" t="n">
        <f aca="false">IF(AND(ISNUMBER(D80),D60&gt;0),D80/D60,"SLO 不可達")</f>
        <v>0.00252446526061555</v>
      </c>
      <c r="E100" s="171" t="n">
        <f aca="false">IF(AND(ISNUMBER(E80),E60&gt;0),E80/E60,"SLO 不可達")</f>
        <v>0.00200720272080044</v>
      </c>
      <c r="F100" s="171" t="n">
        <f aca="false">IF(AND(ISNUMBER(F80),F60&gt;0),F80/F60,"SLO 不可達")</f>
        <v>0.00965993261634659</v>
      </c>
      <c r="G100" s="171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2555</v>
      </c>
      <c r="B101" s="62" t="s">
        <v>2513</v>
      </c>
      <c r="C101" s="171" t="n">
        <f aca="false">IF(AND(ISNUMBER(C81),C61&gt;0),C81/C61,"SLO 不可達")</f>
        <v>0.000378316172579921</v>
      </c>
      <c r="D101" s="171" t="n">
        <f aca="false">IF(AND(ISNUMBER(D81),D61&gt;0),D81/D61,"SLO 不可達")</f>
        <v>0.00252446526061555</v>
      </c>
      <c r="E101" s="171" t="n">
        <f aca="false">IF(AND(ISNUMBER(E81),E61&gt;0),E81/E61,"SLO 不可達")</f>
        <v>0.00121554366819327</v>
      </c>
      <c r="F101" s="171" t="n">
        <f aca="false">IF(AND(ISNUMBER(F81),F61&gt;0),F81/F61,"SLO 不可達")</f>
        <v>0.00530585304421924</v>
      </c>
      <c r="G101" s="171" t="n">
        <f aca="false">IF(AND(ISNUMBER(G81),G61&gt;0),G81/G61,"SLO 不可達")</f>
        <v>0.0252458515199008</v>
      </c>
      <c r="I101" s="65" t="s">
        <v>2556</v>
      </c>
    </row>
    <row r="102" customFormat="false" ht="15" hidden="false" customHeight="false" outlineLevel="0" collapsed="false">
      <c r="A102" s="5" t="s">
        <v>2557</v>
      </c>
      <c r="B102" s="62" t="s">
        <v>2513</v>
      </c>
      <c r="C102" s="171" t="n">
        <f aca="false">IF(AND(ISNUMBER(C82),C62&gt;0),C82/C62,"SLO 不可達")</f>
        <v>0.00205965174823083</v>
      </c>
      <c r="D102" s="171" t="n">
        <f aca="false">IF(AND(ISNUMBER(D82),D62&gt;0),D82/D62,"SLO 不可達")</f>
        <v>0.0143361394890655</v>
      </c>
      <c r="E102" s="171" t="n">
        <f aca="false">IF(AND(ISNUMBER(E82),E62&gt;0),E82/E62,"SLO 不可達")</f>
        <v>0.0105201674316699</v>
      </c>
      <c r="F102" s="171" t="n">
        <f aca="false">IF(AND(ISNUMBER(F82),F62&gt;0),F82/F62,"SLO 不可達")</f>
        <v>0.0474037369771555</v>
      </c>
      <c r="G102" s="171" t="n">
        <f aca="false">IF(AND(ISNUMBER(G82),G62&gt;0),G82/G62,"SLO 不可達")</f>
        <v>0.21795007078719</v>
      </c>
      <c r="I102" s="65" t="s">
        <v>2558</v>
      </c>
    </row>
    <row r="103" customFormat="false" ht="29.85" hidden="false" customHeight="false" outlineLevel="0" collapsed="false">
      <c r="A103" s="5" t="s">
        <v>2559</v>
      </c>
      <c r="B103" s="62" t="s">
        <v>2513</v>
      </c>
      <c r="C103" s="171" t="n">
        <f aca="false">IF(AND(ISNUMBER(C83),C63&gt;0),C83/C63,"SLO 不可達")</f>
        <v>0.00205965174823083</v>
      </c>
      <c r="D103" s="171" t="n">
        <f aca="false">IF(AND(ISNUMBER(D83),D63&gt;0),D83/D63,"SLO 不可達")</f>
        <v>0.0143361394890655</v>
      </c>
      <c r="E103" s="171" t="n">
        <f aca="false">IF(AND(ISNUMBER(E83),E63&gt;0),E83/E63,"SLO 不可達")</f>
        <v>0.0105201674316699</v>
      </c>
      <c r="F103" s="171" t="n">
        <f aca="false">IF(AND(ISNUMBER(F83),F63&gt;0),F83/F63,"SLO 不可達")</f>
        <v>0.0474037369771555</v>
      </c>
      <c r="G103" s="171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2560</v>
      </c>
      <c r="B104" s="62" t="s">
        <v>2513</v>
      </c>
      <c r="C104" s="171" t="n">
        <f aca="false">IF(AND(ISNUMBER(C84),C64&gt;0),C84/C64,"SLO 不可達")</f>
        <v>0.00205965174823083</v>
      </c>
      <c r="D104" s="171" t="n">
        <f aca="false">IF(AND(ISNUMBER(D84),D64&gt;0),D84/D64,"SLO 不可達")</f>
        <v>0.0143361394890655</v>
      </c>
      <c r="E104" s="171" t="n">
        <f aca="false">IF(AND(ISNUMBER(E84),E64&gt;0),E84/E64,"SLO 不可達")</f>
        <v>0.0063896485061394</v>
      </c>
      <c r="F104" s="171" t="n">
        <f aca="false">IF(AND(ISNUMBER(F84),F64&gt;0),F84/F64,"SLO 不可達")</f>
        <v>0.0270029176391044</v>
      </c>
      <c r="G104" s="171" t="n">
        <f aca="false">IF(AND(ISNUMBER(G84),G64&gt;0),G84/G64,"SLO 不可達")</f>
        <v>0.113151031170144</v>
      </c>
      <c r="I104" s="65" t="s">
        <v>2561</v>
      </c>
    </row>
    <row r="105" customFormat="false" ht="15" hidden="false" customHeight="false" outlineLevel="0" collapsed="false">
      <c r="A105" s="5"/>
      <c r="B105" s="61"/>
      <c r="C105" s="69"/>
      <c r="D105" s="69"/>
      <c r="E105" s="69"/>
      <c r="F105" s="69"/>
      <c r="G105" s="69"/>
      <c r="I105" s="65" t="s">
        <v>2562</v>
      </c>
    </row>
    <row r="106" customFormat="false" ht="15" hidden="false" customHeight="false" outlineLevel="0" collapsed="false">
      <c r="A106" s="5"/>
      <c r="B106" s="61"/>
      <c r="C106" s="69"/>
      <c r="D106" s="69"/>
      <c r="E106" s="69"/>
      <c r="F106" s="69"/>
      <c r="G106" s="69"/>
      <c r="I106" s="65" t="s">
        <v>2563</v>
      </c>
    </row>
    <row r="107" customFormat="false" ht="15" hidden="false" customHeight="false" outlineLevel="0" collapsed="false">
      <c r="A107" s="5"/>
      <c r="B107" s="61"/>
      <c r="C107" s="69"/>
      <c r="D107" s="69"/>
      <c r="E107" s="69"/>
      <c r="F107" s="69"/>
      <c r="G107" s="69"/>
      <c r="I107" s="65" t="s">
        <v>2564</v>
      </c>
    </row>
    <row r="108" customFormat="false" ht="15" hidden="false" customHeight="false" outlineLevel="0" collapsed="false">
      <c r="A108" s="5"/>
      <c r="B108" s="61"/>
      <c r="C108" s="69"/>
      <c r="D108" s="69"/>
      <c r="E108" s="69"/>
      <c r="F108" s="69"/>
      <c r="G108" s="69"/>
      <c r="I108" s="65" t="s">
        <v>2565</v>
      </c>
    </row>
    <row r="109" customFormat="false" ht="15" hidden="false" customHeight="false" outlineLevel="0" collapsed="false">
      <c r="A109" s="5"/>
      <c r="B109" s="61"/>
      <c r="C109" s="69"/>
      <c r="D109" s="69"/>
      <c r="E109" s="69"/>
      <c r="F109" s="69"/>
      <c r="G109" s="69"/>
      <c r="I109" s="65" t="s">
        <v>2566</v>
      </c>
    </row>
    <row r="110" customFormat="false" ht="15" hidden="false" customHeight="false" outlineLevel="0" collapsed="false">
      <c r="A110" s="5"/>
      <c r="B110" s="61"/>
      <c r="C110" s="69"/>
      <c r="D110" s="69"/>
      <c r="E110" s="69"/>
      <c r="F110" s="69"/>
      <c r="G110" s="69"/>
      <c r="I110" s="65" t="s">
        <v>2567</v>
      </c>
    </row>
    <row r="111" customFormat="false" ht="15" hidden="false" customHeight="false" outlineLevel="0" collapsed="false">
      <c r="A111" s="5"/>
      <c r="B111" s="61"/>
      <c r="C111" s="69"/>
      <c r="D111" s="69"/>
      <c r="E111" s="69"/>
      <c r="F111" s="69"/>
      <c r="G111" s="69"/>
      <c r="I111" s="65" t="s">
        <v>2568</v>
      </c>
    </row>
    <row r="112" customFormat="false" ht="15" hidden="false" customHeight="false" outlineLevel="0" collapsed="false">
      <c r="A112" s="5"/>
      <c r="B112" s="61"/>
      <c r="C112" s="69"/>
      <c r="D112" s="69"/>
      <c r="E112" s="69"/>
      <c r="F112" s="69"/>
      <c r="G112" s="69"/>
      <c r="I112" s="65" t="s">
        <v>2569</v>
      </c>
    </row>
    <row r="113" customFormat="false" ht="15" hidden="false" customHeight="false" outlineLevel="0" collapsed="false">
      <c r="A113" s="5"/>
      <c r="B113" s="61"/>
      <c r="C113" s="69"/>
      <c r="D113" s="69"/>
      <c r="E113" s="69"/>
      <c r="F113" s="69"/>
      <c r="G113" s="69"/>
      <c r="I113" s="65" t="s">
        <v>2570</v>
      </c>
    </row>
    <row r="115" customFormat="false" ht="15" hidden="false" customHeight="false" outlineLevel="0" collapsed="false">
      <c r="A115" s="77" t="s">
        <v>2571</v>
      </c>
      <c r="B115" s="71"/>
      <c r="C115" s="71"/>
      <c r="D115" s="71"/>
      <c r="E115" s="71"/>
      <c r="F115" s="71"/>
      <c r="G115" s="71"/>
      <c r="H115" s="71"/>
    </row>
    <row r="116" customFormat="false" ht="15" hidden="false" customHeight="false" outlineLevel="0" collapsed="false">
      <c r="A116" s="5"/>
      <c r="B116" s="61"/>
      <c r="C116" s="171"/>
      <c r="D116" s="171"/>
      <c r="E116" s="171"/>
      <c r="F116" s="171"/>
      <c r="G116" s="171"/>
      <c r="I116" s="65" t="s">
        <v>2572</v>
      </c>
    </row>
    <row r="117" customFormat="false" ht="15" hidden="false" customHeight="false" outlineLevel="0" collapsed="false">
      <c r="A117" s="5" t="s">
        <v>2573</v>
      </c>
      <c r="B117" s="62" t="s">
        <v>2513</v>
      </c>
      <c r="C117" s="171" t="n">
        <f aca="false">(C41*INDEX(B4_EffIn,1,1)+C42*INDEX(B4_EffCache,1,1)+C43*INDEX(B4_EffOut,1,1))/1000000</f>
        <v>0.000328</v>
      </c>
      <c r="D117" s="171" t="n">
        <f aca="false">(D41*INDEX(B4_EffIn,1,1)+D42*INDEX(B4_EffCache,1,1)+D43*INDEX(B4_EffOut,1,1))/1000000</f>
        <v>0.001608</v>
      </c>
      <c r="E117" s="171" t="n">
        <f aca="false">(E41*INDEX(B4_EffIn,1,1)+E42*INDEX(B4_EffCache,1,1)+E43*INDEX(B4_EffOut,1,1))/1000000</f>
        <v>0.00165408</v>
      </c>
      <c r="F117" s="171" t="n">
        <f aca="false">(F41*INDEX(B4_EffIn,1,1)+F42*INDEX(B4_EffCache,1,1)+F43*INDEX(B4_EffOut,1,1))/1000000</f>
        <v>0.00661632</v>
      </c>
      <c r="G117" s="171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/>
      <c r="B118" s="61"/>
      <c r="C118" s="171"/>
      <c r="D118" s="171"/>
      <c r="E118" s="171"/>
      <c r="F118" s="171"/>
      <c r="G118" s="171"/>
      <c r="I118" s="65" t="s">
        <v>2574</v>
      </c>
    </row>
    <row r="119" customFormat="false" ht="15" hidden="false" customHeight="false" outlineLevel="0" collapsed="false">
      <c r="A119" s="5"/>
      <c r="B119" s="61"/>
      <c r="C119" s="171"/>
      <c r="D119" s="171"/>
      <c r="E119" s="171"/>
      <c r="F119" s="171"/>
      <c r="G119" s="171"/>
      <c r="I119" s="65" t="s">
        <v>2575</v>
      </c>
    </row>
    <row r="120" customFormat="false" ht="15" hidden="false" customHeight="false" outlineLevel="0" collapsed="false">
      <c r="A120" s="5" t="s">
        <v>2576</v>
      </c>
      <c r="B120" s="62" t="s">
        <v>2513</v>
      </c>
      <c r="C120" s="171" t="n">
        <f aca="false">(C41*INDEX(B4_EffIn,1,2)+C42*INDEX(B4_EffCache,1,2)+C43*INDEX(B4_EffOut,1,2))/1000000</f>
        <v>0.00656</v>
      </c>
      <c r="D120" s="171" t="n">
        <f aca="false">(D41*INDEX(B4_EffIn,1,2)+D42*INDEX(B4_EffCache,1,2)+D43*INDEX(B4_EffOut,1,2))/1000000</f>
        <v>0.03216</v>
      </c>
      <c r="E120" s="171" t="n">
        <f aca="false">(E41*INDEX(B4_EffIn,1,2)+E42*INDEX(B4_EffCache,1,2)+E43*INDEX(B4_EffOut,1,2))/1000000</f>
        <v>0.0330816</v>
      </c>
      <c r="F120" s="171" t="n">
        <f aca="false">(F41*INDEX(B4_EffIn,1,2)+F42*INDEX(B4_EffCache,1,2)+F43*INDEX(B4_EffOut,1,2))/1000000</f>
        <v>0.1323264</v>
      </c>
      <c r="G120" s="171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/>
      <c r="B121" s="61"/>
      <c r="C121" s="171"/>
      <c r="D121" s="171"/>
      <c r="E121" s="171"/>
      <c r="F121" s="171"/>
      <c r="G121" s="171"/>
      <c r="I121" s="65" t="s">
        <v>2577</v>
      </c>
    </row>
    <row r="122" customFormat="false" ht="15" hidden="false" customHeight="false" outlineLevel="0" collapsed="false">
      <c r="A122" s="5"/>
      <c r="B122" s="61"/>
      <c r="C122" s="171"/>
      <c r="D122" s="171"/>
      <c r="E122" s="171"/>
      <c r="F122" s="171"/>
      <c r="G122" s="171"/>
      <c r="I122" s="65" t="s">
        <v>2578</v>
      </c>
    </row>
    <row r="123" customFormat="false" ht="15" hidden="false" customHeight="false" outlineLevel="0" collapsed="false">
      <c r="A123" s="5" t="s">
        <v>2579</v>
      </c>
      <c r="B123" s="62" t="s">
        <v>2513</v>
      </c>
      <c r="C123" s="171" t="n">
        <f aca="false">(C41*INDEX(B4_EffIn,1,3)+C42*INDEX(B4_EffCache,1,3)+C43*INDEX(B4_EffOut,1,3))/1000000</f>
        <v>0.0328</v>
      </c>
      <c r="D123" s="171" t="n">
        <f aca="false">(D41*INDEX(B4_EffIn,1,3)+D42*INDEX(B4_EffCache,1,3)+D43*INDEX(B4_EffOut,1,3))/1000000</f>
        <v>0.1608</v>
      </c>
      <c r="E123" s="171" t="n">
        <f aca="false">(E41*INDEX(B4_EffIn,1,3)+E42*INDEX(B4_EffCache,1,3)+E43*INDEX(B4_EffOut,1,3))/1000000</f>
        <v>0.165408</v>
      </c>
      <c r="F123" s="171" t="n">
        <f aca="false">(F41*INDEX(B4_EffIn,1,3)+F42*INDEX(B4_EffCache,1,3)+F43*INDEX(B4_EffOut,1,3))/1000000</f>
        <v>0.661632</v>
      </c>
      <c r="G123" s="171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/>
      <c r="B124" s="61"/>
      <c r="C124" s="171"/>
      <c r="D124" s="171"/>
      <c r="E124" s="171"/>
      <c r="F124" s="171"/>
      <c r="G124" s="171"/>
      <c r="I124" s="65" t="s">
        <v>2580</v>
      </c>
    </row>
    <row r="125" customFormat="false" ht="15" hidden="false" customHeight="false" outlineLevel="0" collapsed="false">
      <c r="A125" s="5"/>
      <c r="B125" s="61"/>
      <c r="C125" s="171"/>
      <c r="D125" s="171"/>
      <c r="E125" s="171"/>
      <c r="F125" s="171"/>
      <c r="G125" s="171"/>
      <c r="I125" s="65" t="s">
        <v>2581</v>
      </c>
    </row>
    <row r="126" customFormat="false" ht="15" hidden="false" customHeight="false" outlineLevel="0" collapsed="false">
      <c r="A126" s="5" t="s">
        <v>2582</v>
      </c>
      <c r="B126" s="62" t="s">
        <v>2513</v>
      </c>
      <c r="C126" s="171" t="n">
        <f aca="false">IF(C57&gt;0,C117/C57,0)</f>
        <v>0.000340869980715914</v>
      </c>
      <c r="D126" s="171" t="n">
        <f aca="false">IF(D57&gt;0,D117/D57,0)</f>
        <v>0.00181896849275965</v>
      </c>
      <c r="E126" s="171" t="n">
        <f aca="false">IF(E57&gt;0,E117/E57,0)</f>
        <v>0.00237971056778149</v>
      </c>
      <c r="F126" s="171" t="n">
        <f aca="false">IF(F57&gt;0,F117/F57,0)</f>
        <v>0.0148258927218325</v>
      </c>
      <c r="G126" s="171" t="n">
        <f aca="false">IF(G57&gt;0,G117/G57,0)</f>
        <v>0.171997108568582</v>
      </c>
    </row>
    <row r="127" customFormat="false" ht="15" hidden="false" customHeight="false" outlineLevel="0" collapsed="false">
      <c r="A127" s="5"/>
      <c r="B127" s="61"/>
      <c r="C127" s="171"/>
      <c r="D127" s="171"/>
      <c r="E127" s="171"/>
      <c r="F127" s="171"/>
      <c r="G127" s="171"/>
      <c r="I127" s="65" t="s">
        <v>2583</v>
      </c>
    </row>
    <row r="128" customFormat="false" ht="15" hidden="false" customHeight="false" outlineLevel="0" collapsed="false">
      <c r="A128" s="5"/>
      <c r="B128" s="61"/>
      <c r="C128" s="171"/>
      <c r="D128" s="171"/>
      <c r="E128" s="171"/>
      <c r="F128" s="171"/>
      <c r="G128" s="171"/>
      <c r="I128" s="65" t="s">
        <v>2584</v>
      </c>
    </row>
    <row r="129" customFormat="false" ht="15" hidden="false" customHeight="false" outlineLevel="0" collapsed="false">
      <c r="A129" s="5" t="s">
        <v>2585</v>
      </c>
      <c r="B129" s="62" t="s">
        <v>2513</v>
      </c>
      <c r="C129" s="171" t="n">
        <f aca="false">IF(C60&gt;0,C120/C60,0)</f>
        <v>0.00663334302966199</v>
      </c>
      <c r="D129" s="171" t="n">
        <f aca="false">IF(D60&gt;0,D120/D60,0)</f>
        <v>0.0333622604201019</v>
      </c>
      <c r="E129" s="171" t="n">
        <f aca="false">IF(E60&gt;0,E120/E60,0)</f>
        <v>0.0372168</v>
      </c>
      <c r="F129" s="171" t="n">
        <f aca="false">IF(F60&gt;0,F120/F60,0)</f>
        <v>0.179110847385002</v>
      </c>
      <c r="G129" s="171" t="n">
        <f aca="false">IF(G60&gt;0,G120/G60,0)</f>
        <v>1.525632</v>
      </c>
    </row>
    <row r="130" customFormat="false" ht="15" hidden="false" customHeight="false" outlineLevel="0" collapsed="false">
      <c r="A130" s="5"/>
      <c r="B130" s="61"/>
      <c r="C130" s="171"/>
      <c r="D130" s="171"/>
      <c r="E130" s="171"/>
      <c r="F130" s="171"/>
      <c r="G130" s="171"/>
      <c r="I130" s="65" t="s">
        <v>2586</v>
      </c>
    </row>
    <row r="131" customFormat="false" ht="15" hidden="false" customHeight="false" outlineLevel="0" collapsed="false">
      <c r="A131" s="5"/>
      <c r="B131" s="61"/>
      <c r="C131" s="171"/>
      <c r="D131" s="171"/>
      <c r="E131" s="171"/>
      <c r="F131" s="171"/>
      <c r="G131" s="171"/>
      <c r="I131" s="65" t="s">
        <v>2587</v>
      </c>
    </row>
    <row r="132" customFormat="false" ht="15" hidden="false" customHeight="false" outlineLevel="0" collapsed="false">
      <c r="A132" s="5" t="s">
        <v>2588</v>
      </c>
      <c r="B132" s="62" t="s">
        <v>2513</v>
      </c>
      <c r="C132" s="171" t="n">
        <f aca="false">IF(C63&gt;0,C123/C63,0)</f>
        <v>0.0330180501317747</v>
      </c>
      <c r="D132" s="171" t="n">
        <f aca="false">IF(D63&gt;0,D123/D63,0)</f>
        <v>0.164374341614178</v>
      </c>
      <c r="E132" s="171" t="n">
        <f aca="false">IF(E63&gt;0,E123/E63,0)</f>
        <v>0.177702023154898</v>
      </c>
      <c r="F132" s="171" t="n">
        <f aca="false">IF(F63&gt;0,F123/F63,0)</f>
        <v>0.800722994254286</v>
      </c>
      <c r="G132" s="171" t="n">
        <f aca="false">IF(G63&gt;0,G123/G63,0)</f>
        <v>6.08194553659479</v>
      </c>
    </row>
    <row r="133" customFormat="false" ht="15" hidden="false" customHeight="false" outlineLevel="0" collapsed="false">
      <c r="A133" s="5"/>
      <c r="B133" s="61"/>
      <c r="C133" s="171"/>
      <c r="D133" s="171"/>
      <c r="E133" s="171"/>
      <c r="F133" s="171"/>
      <c r="G133" s="171"/>
      <c r="I133" s="65" t="s">
        <v>2589</v>
      </c>
    </row>
    <row r="135" customFormat="false" ht="15" hidden="false" customHeight="false" outlineLevel="0" collapsed="false">
      <c r="A135" s="77" t="s">
        <v>2590</v>
      </c>
      <c r="B135" s="71"/>
      <c r="C135" s="71"/>
      <c r="D135" s="71"/>
      <c r="E135" s="71"/>
      <c r="F135" s="71"/>
      <c r="G135" s="71"/>
      <c r="H135" s="71"/>
    </row>
    <row r="136" customFormat="false" ht="15" hidden="false" customHeight="false" outlineLevel="0" collapsed="false">
      <c r="A136" s="6" t="s">
        <v>2591</v>
      </c>
      <c r="B136" s="62" t="s">
        <v>132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2592</v>
      </c>
      <c r="B137" s="62" t="s">
        <v>132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2593</v>
      </c>
      <c r="B138" s="62" t="s">
        <v>132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2594</v>
      </c>
      <c r="B139" s="62" t="s">
        <v>132</v>
      </c>
      <c r="C139" s="78" t="n">
        <f aca="false">IF(AND(ISNUMBER(C98),ISNUMBER(C96)),C98/C96,"SLO 不可達")</f>
        <v>1</v>
      </c>
      <c r="D139" s="78" t="n">
        <f aca="false">IF(AND(ISNUMBER(D98),ISNUMBER(D96)),D98/D96,"SLO 不可達")</f>
        <v>1</v>
      </c>
      <c r="E139" s="78" t="n">
        <f aca="false">IF(AND(ISNUMBER(E98),ISNUMBER(E96)),E98/E96,"SLO 不可達")</f>
        <v>0.591225683279269</v>
      </c>
      <c r="F139" s="78" t="n">
        <f aca="false">IF(AND(ISNUMBER(F98),ISNUMBER(F96)),F98/F96,"SLO 不可達")</f>
        <v>0.477099547579701</v>
      </c>
      <c r="G139" s="78" t="n">
        <f aca="false">IF(AND(ISNUMBER(G98),ISNUMBER(G96)),G98/G96,"SLO 不可達")</f>
        <v>0.413650152139385</v>
      </c>
      <c r="I139" s="65" t="s">
        <v>2595</v>
      </c>
    </row>
    <row r="140" customFormat="false" ht="15" hidden="false" customHeight="false" outlineLevel="0" collapsed="false">
      <c r="A140" s="6" t="s">
        <v>2596</v>
      </c>
      <c r="B140" s="62" t="s">
        <v>132</v>
      </c>
      <c r="C140" s="78" t="n">
        <f aca="false">IF(AND(ISNUMBER(C101),ISNUMBER(C99)),C101/C99,"SLO 不可達")</f>
        <v>1</v>
      </c>
      <c r="D140" s="78" t="n">
        <f aca="false">IF(AND(ISNUMBER(D101),ISNUMBER(D99)),D101/D99,"SLO 不可達")</f>
        <v>1</v>
      </c>
      <c r="E140" s="78" t="n">
        <f aca="false">IF(AND(ISNUMBER(E101),ISNUMBER(E99)),E101/E99,"SLO 不可達")</f>
        <v>0.605590883071607</v>
      </c>
      <c r="F140" s="78" t="n">
        <f aca="false">IF(AND(ISNUMBER(F101),ISNUMBER(F99)),F101/F99,"SLO 不可達")</f>
        <v>0.549263980914385</v>
      </c>
      <c r="G140" s="78" t="n">
        <f aca="false">IF(AND(ISNUMBER(G101),ISNUMBER(G99)),G101/G99,"SLO 不可達")</f>
        <v>0.47857957435032</v>
      </c>
      <c r="I140" s="65" t="s">
        <v>2597</v>
      </c>
    </row>
    <row r="141" customFormat="false" ht="15" hidden="false" customHeight="false" outlineLevel="0" collapsed="false">
      <c r="A141" s="6" t="s">
        <v>2598</v>
      </c>
      <c r="B141" s="62" t="s">
        <v>132</v>
      </c>
      <c r="C141" s="78" t="n">
        <f aca="false">IF(AND(ISNUMBER(C104),ISNUMBER(C102)),C104/C102,"SLO 不可達")</f>
        <v>1</v>
      </c>
      <c r="D141" s="78" t="n">
        <f aca="false">IF(AND(ISNUMBER(D104),ISNUMBER(D102)),D104/D102,"SLO 不可達")</f>
        <v>1</v>
      </c>
      <c r="E141" s="78" t="n">
        <f aca="false">IF(AND(ISNUMBER(E104),ISNUMBER(E102)),E104/E102,"SLO 不可達")</f>
        <v>0.607371370051011</v>
      </c>
      <c r="F141" s="78" t="n">
        <f aca="false">IF(AND(ISNUMBER(F104),ISNUMBER(F102)),F104/F102,"SLO 不可達")</f>
        <v>0.56963689702602</v>
      </c>
      <c r="G141" s="78" t="n">
        <f aca="false">IF(AND(ISNUMBER(G104),ISNUMBER(G102)),G104/G102,"SLO 不可達")</f>
        <v>0.519160332279162</v>
      </c>
      <c r="I141" s="65" t="s">
        <v>2599</v>
      </c>
    </row>
    <row r="142" customFormat="false" ht="15" hidden="false" customHeight="false" outlineLevel="0" collapsed="false">
      <c r="A142" s="5"/>
      <c r="B142" s="61"/>
      <c r="C142" s="78"/>
      <c r="D142" s="78"/>
      <c r="E142" s="78"/>
      <c r="F142" s="78"/>
      <c r="G142" s="78"/>
      <c r="I142" s="65" t="s">
        <v>2600</v>
      </c>
    </row>
    <row r="143" customFormat="false" ht="15" hidden="false" customHeight="false" outlineLevel="0" collapsed="false">
      <c r="A143" s="5"/>
      <c r="B143" s="61"/>
      <c r="C143" s="78"/>
      <c r="D143" s="78"/>
      <c r="E143" s="78"/>
      <c r="F143" s="78"/>
      <c r="G143" s="78"/>
      <c r="I143" s="65" t="s">
        <v>2601</v>
      </c>
    </row>
    <row r="144" customFormat="false" ht="15" hidden="false" customHeight="false" outlineLevel="0" collapsed="false">
      <c r="A144" s="5"/>
      <c r="B144" s="61"/>
      <c r="C144" s="78"/>
      <c r="D144" s="78"/>
      <c r="E144" s="78"/>
      <c r="F144" s="78"/>
      <c r="G144" s="78"/>
      <c r="I144" s="65" t="s">
        <v>2602</v>
      </c>
    </row>
    <row r="146" customFormat="false" ht="15" hidden="false" customHeight="false" outlineLevel="0" collapsed="false">
      <c r="A146" s="77" t="s">
        <v>2603</v>
      </c>
      <c r="B146" s="71"/>
      <c r="C146" s="71"/>
      <c r="D146" s="71"/>
      <c r="E146" s="71"/>
      <c r="F146" s="71"/>
      <c r="G146" s="71"/>
      <c r="H146" s="71"/>
    </row>
    <row r="147" customFormat="false" ht="15" hidden="false" customHeight="false" outlineLevel="0" collapsed="false">
      <c r="A147" s="5" t="s">
        <v>2604</v>
      </c>
      <c r="B147" s="62" t="s">
        <v>2513</v>
      </c>
      <c r="C147" s="171" t="n">
        <f aca="false">MIN(C87,C90,C93,C89,C92,C95)</f>
        <v>8.8899077896421E-005</v>
      </c>
      <c r="D147" s="171" t="n">
        <f aca="false">MIN(D87,D90,D93,D89,D92,D95)</f>
        <v>0.000627888436452441</v>
      </c>
      <c r="E147" s="171" t="n">
        <f aca="false">MIN(E87,E90,E93,E89,E92,E95)</f>
        <v>0.000348021397530065</v>
      </c>
      <c r="F147" s="171" t="n">
        <f aca="false">MIN(F87,F90,F93,F89,F92,F95)</f>
        <v>0.00174967897679409</v>
      </c>
      <c r="G147" s="171" t="n">
        <f aca="false">MIN(G87,G90,G93,G89,G92,G95)</f>
        <v>0.0114149327828275</v>
      </c>
      <c r="I147" s="65" t="s">
        <v>2605</v>
      </c>
    </row>
    <row r="148" customFormat="false" ht="15" hidden="false" customHeight="false" outlineLevel="0" collapsed="false">
      <c r="A148" s="5" t="s">
        <v>2606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65" t="s">
        <v>2607</v>
      </c>
    </row>
    <row r="149" customFormat="false" ht="15" hidden="false" customHeight="false" outlineLevel="0" collapsed="false">
      <c r="A149" s="5" t="s">
        <v>2608</v>
      </c>
      <c r="B149" s="62" t="s">
        <v>2513</v>
      </c>
      <c r="C149" s="171" t="n">
        <f aca="false">MIN(C96,C99,C102,C98,C101,C104)</f>
        <v>0.000114248703667037</v>
      </c>
      <c r="D149" s="171" t="n">
        <f aca="false">MIN(D96,D99,D102,D98,D101,D104)</f>
        <v>0.000810841077890223</v>
      </c>
      <c r="E149" s="171" t="n">
        <f aca="false">MIN(E96,E99,E102,E98,E101,E104)</f>
        <v>0.000446305688742682</v>
      </c>
      <c r="F149" s="171" t="n">
        <f aca="false">MIN(F96,F99,F102,F98,F101,F104)</f>
        <v>0.00224380364643878</v>
      </c>
      <c r="G149" s="171" t="n">
        <f aca="false">MIN(G96,G99,G102,G98,G101,G104)</f>
        <v>0.0144766437459101</v>
      </c>
      <c r="I149" s="65" t="s">
        <v>2609</v>
      </c>
    </row>
    <row r="150" customFormat="false" ht="15" hidden="false" customHeight="false" outlineLevel="0" collapsed="false">
      <c r="A150" s="5" t="s">
        <v>2610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65" t="s">
        <v>2611</v>
      </c>
    </row>
    <row r="151" customFormat="false" ht="15" hidden="false" customHeight="false" outlineLevel="0" collapsed="false">
      <c r="A151" s="6" t="s">
        <v>2612</v>
      </c>
      <c r="B151" s="62" t="s">
        <v>2513</v>
      </c>
      <c r="C151" s="172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2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2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2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2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2613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2614</v>
      </c>
      <c r="B153" s="62" t="s">
        <v>127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2615</v>
      </c>
      <c r="B154" s="62" t="s">
        <v>2513</v>
      </c>
      <c r="C154" s="172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2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2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2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2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  <c r="I154" s="65" t="s">
        <v>2616</v>
      </c>
    </row>
    <row r="155" customFormat="false" ht="15" hidden="false" customHeight="false" outlineLevel="0" collapsed="false">
      <c r="A155" s="6" t="s">
        <v>2617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  <c r="I155" s="65" t="s">
        <v>2618</v>
      </c>
    </row>
    <row r="156" customFormat="false" ht="15" hidden="false" customHeight="false" outlineLevel="0" collapsed="false">
      <c r="A156" s="6" t="s">
        <v>2619</v>
      </c>
      <c r="B156" s="62" t="s">
        <v>127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  <c r="I156" s="65" t="s">
        <v>2620</v>
      </c>
    </row>
    <row r="157" customFormat="false" ht="15" hidden="false" customHeight="false" outlineLevel="0" collapsed="false">
      <c r="A157" s="65" t="s">
        <v>2621</v>
      </c>
    </row>
    <row r="159" customFormat="false" ht="15" hidden="false" customHeight="false" outlineLevel="0" collapsed="false">
      <c r="A159" s="77" t="s">
        <v>2622</v>
      </c>
      <c r="B159" s="71"/>
      <c r="C159" s="71"/>
      <c r="D159" s="71"/>
      <c r="E159" s="71"/>
      <c r="F159" s="71"/>
      <c r="G159" s="71"/>
      <c r="H159" s="71"/>
    </row>
    <row r="160" customFormat="false" ht="15" hidden="false" customHeight="false" outlineLevel="0" collapsed="false">
      <c r="A160" s="5" t="s">
        <v>2623</v>
      </c>
      <c r="B160" s="62" t="s">
        <v>1448</v>
      </c>
      <c r="C160" s="78" t="n">
        <f aca="false">INDEX(B5_H50,1,1)*C52</f>
        <v>1.5</v>
      </c>
      <c r="D160" s="78" t="n">
        <f aca="false">INDEX(B5_H50,1,1)*D52</f>
        <v>1.5</v>
      </c>
      <c r="E160" s="78" t="n">
        <f aca="false">INDEX(B5_H50,1,1)*E52</f>
        <v>1.5</v>
      </c>
      <c r="F160" s="78" t="n">
        <f aca="false">INDEX(B5_H50,1,1)*F52</f>
        <v>1.5</v>
      </c>
      <c r="G160" s="78" t="n">
        <f aca="false">INDEX(B5_H50,1,1)*G52</f>
        <v>1.5</v>
      </c>
    </row>
    <row r="161" customFormat="false" ht="15" hidden="false" customHeight="false" outlineLevel="0" collapsed="false">
      <c r="A161" s="5" t="s">
        <v>2624</v>
      </c>
      <c r="B161" s="62" t="s">
        <v>1448</v>
      </c>
      <c r="C161" s="78" t="n">
        <f aca="false">INDEX(B5_H50,1,2)*C52</f>
        <v>8</v>
      </c>
      <c r="D161" s="78" t="n">
        <f aca="false">INDEX(B5_H50,1,2)*D52</f>
        <v>8</v>
      </c>
      <c r="E161" s="78" t="n">
        <f aca="false">INDEX(B5_H50,1,2)*E52</f>
        <v>8</v>
      </c>
      <c r="F161" s="78" t="n">
        <f aca="false">INDEX(B5_H50,1,2)*F52</f>
        <v>8</v>
      </c>
      <c r="G161" s="78" t="n">
        <f aca="false">INDEX(B5_H50,1,2)*G52</f>
        <v>8</v>
      </c>
    </row>
    <row r="162" customFormat="false" ht="15" hidden="false" customHeight="false" outlineLevel="0" collapsed="false">
      <c r="A162" s="5" t="s">
        <v>2625</v>
      </c>
      <c r="B162" s="62" t="s">
        <v>1448</v>
      </c>
      <c r="C162" s="78" t="n">
        <f aca="false">INDEX(B5_H50,1,3)*C52</f>
        <v>16</v>
      </c>
      <c r="D162" s="78" t="n">
        <f aca="false">INDEX(B5_H50,1,3)*D52</f>
        <v>16</v>
      </c>
      <c r="E162" s="78" t="n">
        <f aca="false">INDEX(B5_H50,1,3)*E52</f>
        <v>16</v>
      </c>
      <c r="F162" s="78" t="n">
        <f aca="false">INDEX(B5_H50,1,3)*F52</f>
        <v>16</v>
      </c>
      <c r="G162" s="78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2626</v>
      </c>
    </row>
    <row r="2" customFormat="false" ht="15" hidden="false" customHeight="false" outlineLevel="0" collapsed="false">
      <c r="A2" s="65" t="s">
        <v>2627</v>
      </c>
    </row>
    <row r="4" customFormat="false" ht="42" hidden="false" customHeight="true" outlineLevel="0" collapsed="false">
      <c r="A4" s="60" t="s">
        <v>1023</v>
      </c>
      <c r="C4" s="84" t="s">
        <v>111</v>
      </c>
      <c r="D4" s="84" t="s">
        <v>2628</v>
      </c>
      <c r="E4" s="84" t="s">
        <v>2629</v>
      </c>
      <c r="F4" s="84" t="s">
        <v>2630</v>
      </c>
      <c r="G4" s="84" t="s">
        <v>2631</v>
      </c>
      <c r="H4" s="84" t="s">
        <v>2632</v>
      </c>
      <c r="I4" s="84" t="s">
        <v>2633</v>
      </c>
      <c r="J4" s="84" t="s">
        <v>2634</v>
      </c>
      <c r="K4" s="84" t="s">
        <v>2635</v>
      </c>
      <c r="L4" s="84" t="s">
        <v>2636</v>
      </c>
      <c r="M4" s="84" t="s">
        <v>2637</v>
      </c>
      <c r="N4" s="84" t="s">
        <v>2638</v>
      </c>
      <c r="O4" s="84" t="s">
        <v>2639</v>
      </c>
      <c r="P4" s="85" t="s">
        <v>2640</v>
      </c>
      <c r="Q4" s="85" t="s">
        <v>2641</v>
      </c>
      <c r="R4" s="85" t="s">
        <v>2642</v>
      </c>
      <c r="S4" s="85" t="s">
        <v>2643</v>
      </c>
    </row>
    <row r="5" customFormat="false" ht="15" hidden="false" customHeight="false" outlineLevel="0" collapsed="false">
      <c r="A5" s="61" t="s">
        <v>2390</v>
      </c>
      <c r="C5" s="78" t="n">
        <f aca="false">INDEX(B5_SelT,1,5)</f>
        <v>0.7</v>
      </c>
      <c r="D5" s="166" t="n">
        <f aca="false">Har_In!$C$61</f>
        <v>0.7</v>
      </c>
      <c r="E5" s="166" t="n">
        <f aca="false">Har_In!$D$61</f>
        <v>1.7</v>
      </c>
      <c r="F5" s="78" t="n">
        <f aca="false">INDEX(B5_SelT,1,5)</f>
        <v>0.7</v>
      </c>
      <c r="G5" s="78" t="n">
        <f aca="false">INDEX(B5_SelT,1,5)</f>
        <v>0.7</v>
      </c>
      <c r="H5" s="78" t="n">
        <f aca="false">INDEX(B5_SelT,1,5)</f>
        <v>0.7</v>
      </c>
      <c r="I5" s="78" t="n">
        <f aca="false">INDEX(B5_SelT,1,5)</f>
        <v>0.7</v>
      </c>
      <c r="J5" s="78" t="n">
        <f aca="false">INDEX(B5_SelT,1,5)</f>
        <v>0.7</v>
      </c>
      <c r="K5" s="78" t="n">
        <f aca="false">INDEX(B5_SelT,1,5)</f>
        <v>0.7</v>
      </c>
      <c r="L5" s="78" t="n">
        <f aca="false">INDEX(B5_SelT,1,5)</f>
        <v>0.7</v>
      </c>
      <c r="M5" s="78" t="n">
        <f aca="false">INDEX(B5_SelT,1,5)</f>
        <v>0.7</v>
      </c>
      <c r="N5" s="78" t="n">
        <f aca="false">INDEX(B5_SelT,1,5)</f>
        <v>0.7</v>
      </c>
      <c r="O5" s="78" t="n">
        <f aca="false">INDEX(B5_SelT,1,5)</f>
        <v>0.7</v>
      </c>
      <c r="P5" s="78" t="n">
        <f aca="false">INDEX(B5_SelT,1,5)</f>
        <v>0.7</v>
      </c>
      <c r="Q5" s="78" t="n">
        <f aca="false">INDEX(B5_SelT,1,5)</f>
        <v>0.7</v>
      </c>
      <c r="R5" s="78" t="n">
        <f aca="false">INDEX(B5_SelT,1,5)</f>
        <v>0.7</v>
      </c>
      <c r="S5" s="78" t="n">
        <f aca="false">INDEX(B5_SelT,1,5)</f>
        <v>0.7</v>
      </c>
    </row>
    <row r="6" customFormat="false" ht="15" hidden="false" customHeight="false" outlineLevel="0" collapsed="false">
      <c r="A6" s="61" t="s">
        <v>2395</v>
      </c>
      <c r="C6" s="78" t="n">
        <f aca="false">INDEX(B5_SelH,1,5)</f>
        <v>0.8</v>
      </c>
      <c r="D6" s="78" t="n">
        <f aca="false">INDEX(B5_SelH,1,5)</f>
        <v>0.8</v>
      </c>
      <c r="E6" s="78" t="n">
        <f aca="false">INDEX(B5_SelH,1,5)</f>
        <v>0.8</v>
      </c>
      <c r="F6" s="166" t="n">
        <f aca="false">Har_In!$C$62</f>
        <v>0.6</v>
      </c>
      <c r="G6" s="166" t="n">
        <f aca="false">Har_In!$D$62</f>
        <v>1</v>
      </c>
      <c r="H6" s="78" t="n">
        <f aca="false">INDEX(B5_SelH,1,5)</f>
        <v>0.8</v>
      </c>
      <c r="I6" s="78" t="n">
        <f aca="false">INDEX(B5_SelH,1,5)</f>
        <v>0.8</v>
      </c>
      <c r="J6" s="78" t="n">
        <f aca="false">INDEX(B5_SelH,1,5)</f>
        <v>0.8</v>
      </c>
      <c r="K6" s="78" t="n">
        <f aca="false">INDEX(B5_SelH,1,5)</f>
        <v>0.8</v>
      </c>
      <c r="L6" s="78" t="n">
        <f aca="false">INDEX(B5_SelH,1,5)</f>
        <v>0.8</v>
      </c>
      <c r="M6" s="78" t="n">
        <f aca="false">INDEX(B5_SelH,1,5)</f>
        <v>0.8</v>
      </c>
      <c r="N6" s="78" t="n">
        <f aca="false">INDEX(B5_SelH,1,5)</f>
        <v>0.8</v>
      </c>
      <c r="O6" s="78" t="n">
        <f aca="false">INDEX(B5_SelH,1,5)</f>
        <v>0.8</v>
      </c>
      <c r="P6" s="78" t="n">
        <f aca="false">INDEX(B5_SelH,1,5)</f>
        <v>0.8</v>
      </c>
      <c r="Q6" s="78" t="n">
        <f aca="false">INDEX(B5_SelH,1,5)</f>
        <v>0.8</v>
      </c>
      <c r="R6" s="78" t="n">
        <f aca="false">INDEX(B5_SelH,1,5)</f>
        <v>0.8</v>
      </c>
      <c r="S6" s="78" t="n">
        <f aca="false">INDEX(B5_SelH,1,5)</f>
        <v>0.8</v>
      </c>
    </row>
    <row r="7" customFormat="false" ht="15" hidden="false" customHeight="false" outlineLevel="0" collapsed="false">
      <c r="A7" s="61" t="s">
        <v>2392</v>
      </c>
      <c r="C7" s="86" t="n">
        <f aca="false">INDEX(B5_Selrho,1,5)</f>
        <v>1</v>
      </c>
      <c r="D7" s="86" t="n">
        <f aca="false">INDEX(B5_Selrho,1,5)</f>
        <v>1</v>
      </c>
      <c r="E7" s="86" t="n">
        <f aca="false">INDEX(B5_Selrho,1,5)</f>
        <v>1</v>
      </c>
      <c r="F7" s="86" t="n">
        <f aca="false">INDEX(B5_Selrho,1,5)</f>
        <v>1</v>
      </c>
      <c r="G7" s="86" t="n">
        <f aca="false">INDEX(B5_Selrho,1,5)</f>
        <v>1</v>
      </c>
      <c r="H7" s="173" t="n">
        <f aca="false">Har_In!$C$63</f>
        <v>0.5</v>
      </c>
      <c r="I7" s="173" t="n">
        <f aca="false">Har_In!$D$63</f>
        <v>1</v>
      </c>
      <c r="J7" s="86" t="n">
        <f aca="false">INDEX(B5_Selrho,1,5)</f>
        <v>1</v>
      </c>
      <c r="K7" s="86" t="n">
        <f aca="false">INDEX(B5_Selrho,1,5)</f>
        <v>1</v>
      </c>
      <c r="L7" s="86" t="n">
        <f aca="false">INDEX(B5_Selrho,1,5)</f>
        <v>1</v>
      </c>
      <c r="M7" s="86" t="n">
        <f aca="false">INDEX(B5_Selrho,1,5)</f>
        <v>1</v>
      </c>
      <c r="N7" s="86" t="n">
        <f aca="false">INDEX(B5_Selrho,1,5)</f>
        <v>1</v>
      </c>
      <c r="O7" s="86" t="n">
        <f aca="false">INDEX(B5_Selrho,1,5)</f>
        <v>1</v>
      </c>
      <c r="P7" s="86" t="n">
        <f aca="false">INDEX(B5_Selrho,1,5)</f>
        <v>1</v>
      </c>
      <c r="Q7" s="86" t="n">
        <f aca="false">INDEX(B5_Selrho,1,5)</f>
        <v>1</v>
      </c>
      <c r="R7" s="86" t="n">
        <f aca="false">INDEX(B5_Selrho,1,5)</f>
        <v>1</v>
      </c>
      <c r="S7" s="86" t="n">
        <f aca="false">INDEX(B5_Selrho,1,5)</f>
        <v>1</v>
      </c>
    </row>
    <row r="8" customFormat="false" ht="15" hidden="false" customHeight="false" outlineLevel="0" collapsed="false">
      <c r="A8" s="61" t="s">
        <v>2440</v>
      </c>
      <c r="C8" s="78" t="n">
        <f aca="false">INDEX(B5_SelC,1,5)</f>
        <v>0.7</v>
      </c>
      <c r="D8" s="78" t="n">
        <f aca="false">INDEX(B5_SelC,1,5)</f>
        <v>0.7</v>
      </c>
      <c r="E8" s="78" t="n">
        <f aca="false">INDEX(B5_SelC,1,5)</f>
        <v>0.7</v>
      </c>
      <c r="F8" s="78" t="n">
        <f aca="false">INDEX(B5_SelC,1,5)</f>
        <v>0.7</v>
      </c>
      <c r="G8" s="78" t="n">
        <f aca="false">INDEX(B5_SelC,1,5)</f>
        <v>0.7</v>
      </c>
      <c r="H8" s="78" t="n">
        <f aca="false">INDEX(B5_SelC,1,5)</f>
        <v>0.7</v>
      </c>
      <c r="I8" s="78" t="n">
        <f aca="false">INDEX(B5_SelC,1,5)</f>
        <v>0.7</v>
      </c>
      <c r="J8" s="166" t="n">
        <f aca="false">Har_In!$C$64</f>
        <v>0.5</v>
      </c>
      <c r="K8" s="166" t="n">
        <f aca="false">Har_In!$D$64</f>
        <v>1</v>
      </c>
      <c r="L8" s="78" t="n">
        <f aca="false">INDEX(B5_SelC,1,5)</f>
        <v>0.7</v>
      </c>
      <c r="M8" s="78" t="n">
        <f aca="false">INDEX(B5_SelC,1,5)</f>
        <v>0.7</v>
      </c>
      <c r="N8" s="78" t="n">
        <f aca="false">INDEX(B5_SelC,1,5)</f>
        <v>0.7</v>
      </c>
      <c r="O8" s="78" t="n">
        <f aca="false">INDEX(B5_SelC,1,5)</f>
        <v>0.7</v>
      </c>
      <c r="P8" s="78" t="n">
        <f aca="false">INDEX(B5_SelC,1,5)</f>
        <v>0.7</v>
      </c>
      <c r="Q8" s="78" t="n">
        <f aca="false">INDEX(B5_SelC,1,5)</f>
        <v>0.7</v>
      </c>
      <c r="R8" s="78" t="n">
        <f aca="false">INDEX(B5_SelC,1,5)</f>
        <v>0.7</v>
      </c>
      <c r="S8" s="78" t="n">
        <f aca="false">INDEX(B5_SelC,1,5)</f>
        <v>0.7</v>
      </c>
    </row>
    <row r="9" customFormat="false" ht="15" hidden="false" customHeight="false" outlineLevel="0" collapsed="false">
      <c r="A9" s="61" t="s">
        <v>2644</v>
      </c>
      <c r="C9" s="78" t="n">
        <f aca="false">INDEX(B5_SelHz,1,5)</f>
        <v>2</v>
      </c>
      <c r="D9" s="78" t="n">
        <f aca="false">INDEX(B5_SelHz,1,5)</f>
        <v>2</v>
      </c>
      <c r="E9" s="78" t="n">
        <f aca="false">INDEX(B5_SelHz,1,5)</f>
        <v>2</v>
      </c>
      <c r="F9" s="78" t="n">
        <f aca="false">INDEX(B5_SelHz,1,5)</f>
        <v>2</v>
      </c>
      <c r="G9" s="78" t="n">
        <f aca="false">INDEX(B5_SelHz,1,5)</f>
        <v>2</v>
      </c>
      <c r="H9" s="78" t="n">
        <f aca="false">INDEX(B5_SelHz,1,5)</f>
        <v>2</v>
      </c>
      <c r="I9" s="78" t="n">
        <f aca="false">INDEX(B5_SelHz,1,5)</f>
        <v>2</v>
      </c>
      <c r="J9" s="78" t="n">
        <f aca="false">INDEX(B5_SelHz,1,5)</f>
        <v>2</v>
      </c>
      <c r="K9" s="78" t="n">
        <f aca="false">INDEX(B5_SelHz,1,5)</f>
        <v>2</v>
      </c>
      <c r="L9" s="166" t="n">
        <f aca="false">Har_In!$C$65</f>
        <v>1</v>
      </c>
      <c r="M9" s="166" t="n">
        <f aca="false">Har_In!$D$65</f>
        <v>4</v>
      </c>
      <c r="N9" s="78" t="n">
        <f aca="false">INDEX(B5_SelHz,1,5)</f>
        <v>2</v>
      </c>
      <c r="O9" s="78" t="n">
        <f aca="false">INDEX(B5_SelHz,1,5)</f>
        <v>2</v>
      </c>
      <c r="P9" s="78" t="n">
        <f aca="false">INDEX(B5_SelHz,1,5)</f>
        <v>2</v>
      </c>
      <c r="Q9" s="78" t="n">
        <f aca="false">INDEX(B5_SelHz,1,5)</f>
        <v>2</v>
      </c>
      <c r="R9" s="78" t="n">
        <f aca="false">INDEX(B5_SelHz,1,5)</f>
        <v>2</v>
      </c>
      <c r="S9" s="78" t="n">
        <f aca="false">INDEX(B5_SelHz,1,5)</f>
        <v>2</v>
      </c>
    </row>
    <row r="10" customFormat="false" ht="15" hidden="false" customHeight="false" outlineLevel="0" collapsed="false">
      <c r="A10" s="61" t="s">
        <v>2645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4" t="n">
        <f aca="false">Har_In!$C$66</f>
        <v>0.0833333333333333</v>
      </c>
      <c r="O10" s="174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2646</v>
      </c>
      <c r="C11" s="78" t="n">
        <f aca="false">B5_Beta</f>
        <v>0.75</v>
      </c>
      <c r="D11" s="78" t="n">
        <f aca="false">B5_Beta</f>
        <v>0.75</v>
      </c>
      <c r="E11" s="78" t="n">
        <f aca="false">B5_Beta</f>
        <v>0.75</v>
      </c>
      <c r="F11" s="78" t="n">
        <f aca="false">B5_Beta</f>
        <v>0.75</v>
      </c>
      <c r="G11" s="78" t="n">
        <f aca="false">B5_Beta</f>
        <v>0.75</v>
      </c>
      <c r="H11" s="78" t="n">
        <f aca="false">B5_Beta</f>
        <v>0.75</v>
      </c>
      <c r="I11" s="78" t="n">
        <f aca="false">B5_Beta</f>
        <v>0.75</v>
      </c>
      <c r="J11" s="78" t="n">
        <f aca="false">B5_Beta</f>
        <v>0.75</v>
      </c>
      <c r="K11" s="78" t="n">
        <f aca="false">B5_Beta</f>
        <v>0.75</v>
      </c>
      <c r="L11" s="78" t="n">
        <f aca="false">B5_Beta</f>
        <v>0.75</v>
      </c>
      <c r="M11" s="78" t="n">
        <f aca="false">B5_Beta</f>
        <v>0.75</v>
      </c>
      <c r="N11" s="78" t="n">
        <f aca="false">B5_Beta</f>
        <v>0.75</v>
      </c>
      <c r="O11" s="78" t="n">
        <f aca="false">B5_Beta</f>
        <v>0.75</v>
      </c>
      <c r="P11" s="166" t="n">
        <f aca="false">Har_In!$D$51</f>
        <v>0.65</v>
      </c>
      <c r="Q11" s="166" t="n">
        <f aca="false">Har_In!$E$51</f>
        <v>1</v>
      </c>
      <c r="R11" s="78" t="n">
        <f aca="false">B5_Beta</f>
        <v>0.75</v>
      </c>
      <c r="S11" s="78" t="n">
        <f aca="false">B5_Beta</f>
        <v>0.75</v>
      </c>
    </row>
    <row r="12" customFormat="false" ht="15" hidden="false" customHeight="false" outlineLevel="0" collapsed="false">
      <c r="A12" s="62" t="s">
        <v>2647</v>
      </c>
      <c r="C12" s="87" t="n">
        <f aca="false">INDEX(B5_H50,1,1)</f>
        <v>1.5</v>
      </c>
      <c r="D12" s="87" t="n">
        <f aca="false">INDEX(B5_H50,1,1)</f>
        <v>1.5</v>
      </c>
      <c r="E12" s="87" t="n">
        <f aca="false">INDEX(B5_H50,1,1)</f>
        <v>1.5</v>
      </c>
      <c r="F12" s="87" t="n">
        <f aca="false">INDEX(B5_H50,1,1)</f>
        <v>1.5</v>
      </c>
      <c r="G12" s="87" t="n">
        <f aca="false">INDEX(B5_H50,1,1)</f>
        <v>1.5</v>
      </c>
      <c r="H12" s="87" t="n">
        <f aca="false">INDEX(B5_H50,1,1)</f>
        <v>1.5</v>
      </c>
      <c r="I12" s="87" t="n">
        <f aca="false">INDEX(B5_H50,1,1)</f>
        <v>1.5</v>
      </c>
      <c r="J12" s="87" t="n">
        <f aca="false">INDEX(B5_H50,1,1)</f>
        <v>1.5</v>
      </c>
      <c r="K12" s="87" t="n">
        <f aca="false">INDEX(B5_H50,1,1)</f>
        <v>1.5</v>
      </c>
      <c r="L12" s="87" t="n">
        <f aca="false">INDEX(B5_H50,1,1)</f>
        <v>1.5</v>
      </c>
      <c r="M12" s="87" t="n">
        <f aca="false">INDEX(B5_H50,1,1)</f>
        <v>1.5</v>
      </c>
      <c r="N12" s="87" t="n">
        <f aca="false">INDEX(B5_H50,1,1)</f>
        <v>1.5</v>
      </c>
      <c r="O12" s="87" t="n">
        <f aca="false">INDEX(B5_H50,1,1)</f>
        <v>1.5</v>
      </c>
      <c r="P12" s="87" t="n">
        <f aca="false">INDEX(B5_H50,1,1)</f>
        <v>1.5</v>
      </c>
      <c r="Q12" s="87" t="n">
        <f aca="false">INDEX(B5_H50,1,1)</f>
        <v>1.5</v>
      </c>
      <c r="R12" s="89" t="n">
        <f aca="false">INDEX(B5_H50Lo,1,1)</f>
        <v>0.5</v>
      </c>
      <c r="S12" s="89" t="n">
        <f aca="false">INDEX(B5_H50Hi,1,1)</f>
        <v>4</v>
      </c>
    </row>
    <row r="13" customFormat="false" ht="15" hidden="false" customHeight="false" outlineLevel="0" collapsed="false">
      <c r="A13" s="62" t="s">
        <v>2648</v>
      </c>
      <c r="C13" s="87" t="n">
        <f aca="false">INDEX(B5_H50,1,2)</f>
        <v>8</v>
      </c>
      <c r="D13" s="87" t="n">
        <f aca="false">INDEX(B5_H50,1,2)</f>
        <v>8</v>
      </c>
      <c r="E13" s="87" t="n">
        <f aca="false">INDEX(B5_H50,1,2)</f>
        <v>8</v>
      </c>
      <c r="F13" s="87" t="n">
        <f aca="false">INDEX(B5_H50,1,2)</f>
        <v>8</v>
      </c>
      <c r="G13" s="87" t="n">
        <f aca="false">INDEX(B5_H50,1,2)</f>
        <v>8</v>
      </c>
      <c r="H13" s="87" t="n">
        <f aca="false">INDEX(B5_H50,1,2)</f>
        <v>8</v>
      </c>
      <c r="I13" s="87" t="n">
        <f aca="false">INDEX(B5_H50,1,2)</f>
        <v>8</v>
      </c>
      <c r="J13" s="87" t="n">
        <f aca="false">INDEX(B5_H50,1,2)</f>
        <v>8</v>
      </c>
      <c r="K13" s="87" t="n">
        <f aca="false">INDEX(B5_H50,1,2)</f>
        <v>8</v>
      </c>
      <c r="L13" s="87" t="n">
        <f aca="false">INDEX(B5_H50,1,2)</f>
        <v>8</v>
      </c>
      <c r="M13" s="87" t="n">
        <f aca="false">INDEX(B5_H50,1,2)</f>
        <v>8</v>
      </c>
      <c r="N13" s="87" t="n">
        <f aca="false">INDEX(B5_H50,1,2)</f>
        <v>8</v>
      </c>
      <c r="O13" s="87" t="n">
        <f aca="false">INDEX(B5_H50,1,2)</f>
        <v>8</v>
      </c>
      <c r="P13" s="87" t="n">
        <f aca="false">INDEX(B5_H50,1,2)</f>
        <v>8</v>
      </c>
      <c r="Q13" s="87" t="n">
        <f aca="false">INDEX(B5_H50,1,2)</f>
        <v>8</v>
      </c>
      <c r="R13" s="89" t="n">
        <f aca="false">INDEX(B5_H50Lo,1,2)</f>
        <v>4</v>
      </c>
      <c r="S13" s="89" t="n">
        <f aca="false">INDEX(B5_H50Hi,1,2)</f>
        <v>12</v>
      </c>
    </row>
    <row r="14" customFormat="false" ht="15" hidden="false" customHeight="false" outlineLevel="0" collapsed="false">
      <c r="A14" s="62" t="s">
        <v>2649</v>
      </c>
      <c r="C14" s="87" t="n">
        <f aca="false">INDEX(B5_H50,1,3)</f>
        <v>16</v>
      </c>
      <c r="D14" s="87" t="n">
        <f aca="false">INDEX(B5_H50,1,3)</f>
        <v>16</v>
      </c>
      <c r="E14" s="87" t="n">
        <f aca="false">INDEX(B5_H50,1,3)</f>
        <v>16</v>
      </c>
      <c r="F14" s="87" t="n">
        <f aca="false">INDEX(B5_H50,1,3)</f>
        <v>16</v>
      </c>
      <c r="G14" s="87" t="n">
        <f aca="false">INDEX(B5_H50,1,3)</f>
        <v>16</v>
      </c>
      <c r="H14" s="87" t="n">
        <f aca="false">INDEX(B5_H50,1,3)</f>
        <v>16</v>
      </c>
      <c r="I14" s="87" t="n">
        <f aca="false">INDEX(B5_H50,1,3)</f>
        <v>16</v>
      </c>
      <c r="J14" s="87" t="n">
        <f aca="false">INDEX(B5_H50,1,3)</f>
        <v>16</v>
      </c>
      <c r="K14" s="87" t="n">
        <f aca="false">INDEX(B5_H50,1,3)</f>
        <v>16</v>
      </c>
      <c r="L14" s="87" t="n">
        <f aca="false">INDEX(B5_H50,1,3)</f>
        <v>16</v>
      </c>
      <c r="M14" s="87" t="n">
        <f aca="false">INDEX(B5_H50,1,3)</f>
        <v>16</v>
      </c>
      <c r="N14" s="87" t="n">
        <f aca="false">INDEX(B5_H50,1,3)</f>
        <v>16</v>
      </c>
      <c r="O14" s="87" t="n">
        <f aca="false">INDEX(B5_H50,1,3)</f>
        <v>16</v>
      </c>
      <c r="P14" s="87" t="n">
        <f aca="false">INDEX(B5_H50,1,3)</f>
        <v>16</v>
      </c>
      <c r="Q14" s="87" t="n">
        <f aca="false">INDEX(B5_H50,1,3)</f>
        <v>16</v>
      </c>
      <c r="R14" s="89" t="n">
        <f aca="false">INDEX(B5_H50Lo,1,3)</f>
        <v>11</v>
      </c>
      <c r="S14" s="89" t="n">
        <f aca="false">INDEX(B5_H50Hi,1,3)</f>
        <v>40</v>
      </c>
    </row>
    <row r="16" customFormat="false" ht="15" hidden="false" customHeight="false" outlineLevel="0" collapsed="false">
      <c r="A16" s="61" t="s">
        <v>2650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2651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2652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2653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2654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2655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2656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2657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2658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2659</v>
      </c>
      <c r="C26" s="91" t="n">
        <f aca="false">IF(ISNUMBER(Unit_Cost!$M$21),(C21*Unit_Cost!$M$19+C22*(Unit_Cost!$M$20+Cache_Store!$M$17*C10/B4_Retain)+C23*Unit_Cost!$M$21)/1000000,"SLO 不可達")</f>
        <v>0.00369800726107797</v>
      </c>
      <c r="D26" s="91" t="n">
        <f aca="false">IF(ISNUMBER(Unit_Cost!$M$21),(D21*Unit_Cost!$M$19+D22*(Unit_Cost!$M$20+Cache_Store!$M$17*D10/B4_Retain)+D23*Unit_Cost!$M$21)/1000000,"SLO 不可達")</f>
        <v>0.00369800726107797</v>
      </c>
      <c r="E26" s="91" t="n">
        <f aca="false">IF(ISNUMBER(Unit_Cost!$M$21),(E21*Unit_Cost!$M$19+E22*(Unit_Cost!$M$20+Cache_Store!$M$17*E10/B4_Retain)+E23*Unit_Cost!$M$21)/1000000,"SLO 不可達")</f>
        <v>0.010459699573596</v>
      </c>
      <c r="F26" s="91" t="n">
        <f aca="false">IF(ISNUMBER(Unit_Cost!$M$21),(F21*Unit_Cost!$M$19+F22*(Unit_Cost!$M$20+Cache_Store!$M$17*F10/B4_Retain)+F23*Unit_Cost!$M$21)/1000000,"SLO 不可達")</f>
        <v>0.00331134418633338</v>
      </c>
      <c r="G26" s="91" t="n">
        <f aca="false">IF(ISNUMBER(Unit_Cost!$M$21),(G21*Unit_Cost!$M$19+G22*(Unit_Cost!$M$20+Cache_Store!$M$17*G10/B4_Retain)+G23*Unit_Cost!$M$21)/1000000,"SLO 不可達")</f>
        <v>0.00408467033582255</v>
      </c>
      <c r="H26" s="91" t="n">
        <f aca="false">IF(ISNUMBER(Unit_Cost!$M$21),(H21*Unit_Cost!$M$19+H22*(Unit_Cost!$M$20+Cache_Store!$M$17*H10/B4_Retain)+H23*Unit_Cost!$M$21)/1000000,"SLO 不可達")</f>
        <v>0.00366417793566343</v>
      </c>
      <c r="I26" s="91" t="n">
        <f aca="false">IF(ISNUMBER(Unit_Cost!$M$21),(I21*Unit_Cost!$M$19+I22*(Unit_Cost!$M$20+Cache_Store!$M$17*I10/B4_Retain)+I23*Unit_Cost!$M$21)/1000000,"SLO 不可達")</f>
        <v>0.00369800726107797</v>
      </c>
      <c r="J26" s="91" t="n">
        <f aca="false">IF(ISNUMBER(Unit_Cost!$M$21),(J21*Unit_Cost!$M$19+J22*(Unit_Cost!$M$20+Cache_Store!$M$17*J10/B4_Retain)+J23*Unit_Cost!$M$21)/1000000,"SLO 不可達")</f>
        <v>0.00358202100251386</v>
      </c>
      <c r="K26" s="91" t="n">
        <f aca="false">IF(ISNUMBER(Unit_Cost!$M$21),(K21*Unit_Cost!$M$19+K22*(Unit_Cost!$M$20+Cache_Store!$M$17*K10/B4_Retain)+K23*Unit_Cost!$M$21)/1000000,"SLO 不可達")</f>
        <v>0.00387198664892413</v>
      </c>
      <c r="L26" s="91" t="n">
        <f aca="false">IF(ISNUMBER(Unit_Cost!$M$21),(L21*Unit_Cost!$M$19+L22*(Unit_Cost!$M$20+Cache_Store!$M$17*L10/B4_Retain)+L23*Unit_Cost!$M$21)/1000000,"SLO 不可達")</f>
        <v>0.00369800726107797</v>
      </c>
      <c r="M26" s="91" t="n">
        <f aca="false">IF(ISNUMBER(Unit_Cost!$M$21),(M21*Unit_Cost!$M$19+M22*(Unit_Cost!$M$20+Cache_Store!$M$17*M10/B4_Retain)+M23*Unit_Cost!$M$21)/1000000,"SLO 不可達")</f>
        <v>0.00369800726107797</v>
      </c>
      <c r="N26" s="91" t="n">
        <f aca="false">IF(ISNUMBER(Unit_Cost!$M$21),(N21*Unit_Cost!$M$19+N22*(Unit_Cost!$M$20+Cache_Store!$M$17*N10/B4_Retain)+N23*Unit_Cost!$M$21)/1000000,"SLO 不可達")</f>
        <v>0.00364111974546153</v>
      </c>
      <c r="O26" s="91" t="n">
        <f aca="false">IF(ISNUMBER(Unit_Cost!$M$21),(O21*Unit_Cost!$M$19+O22*(Unit_Cost!$M$20+Cache_Store!$M$17*O10/B4_Retain)+O23*Unit_Cost!$M$21)/1000000,"SLO 不可達")</f>
        <v>0.0038269738447766</v>
      </c>
      <c r="P26" s="91" t="n">
        <f aca="false">IF(ISNUMBER(Unit_Cost!$M$21),(P21*Unit_Cost!$M$19+P22*(Unit_Cost!$M$20+Cache_Store!$M$17*P10/B4_Retain)+P23*Unit_Cost!$M$21)/1000000,"SLO 不可達")</f>
        <v>0.00369800726107797</v>
      </c>
      <c r="Q26" s="91" t="n">
        <f aca="false">IF(ISNUMBER(Unit_Cost!$M$21),(Q21*Unit_Cost!$M$19+Q22*(Unit_Cost!$M$20+Cache_Store!$M$17*Q10/B4_Retain)+Q23*Unit_Cost!$M$21)/1000000,"SLO 不可達")</f>
        <v>0.00369800726107797</v>
      </c>
      <c r="R26" s="91" t="n">
        <f aca="false">IF(ISNUMBER(Unit_Cost!$M$21),(R21*Unit_Cost!$M$19+R22*(Unit_Cost!$M$20+Cache_Store!$M$17*R10/B4_Retain)+R23*Unit_Cost!$M$21)/1000000,"SLO 不可達")</f>
        <v>0.00369800726107797</v>
      </c>
      <c r="S26" s="91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2660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2661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2662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2663</v>
      </c>
      <c r="C30" s="91" t="n">
        <f aca="false">IF(ISNUMBER(Unit_Cost!$M$34),(C21*Unit_Cost!$M$32+C22*(Unit_Cost!$M$33+Cache_Store!$M$23*C10/B4_Retain)+C23*Unit_Cost!$M$34)/1000000,"SLO 不可達")</f>
        <v>0.0119741376990666</v>
      </c>
      <c r="D30" s="91" t="n">
        <f aca="false">IF(ISNUMBER(Unit_Cost!$M$34),(D21*Unit_Cost!$M$32+D22*(Unit_Cost!$M$33+Cache_Store!$M$23*D10/B4_Retain)+D23*Unit_Cost!$M$34)/1000000,"SLO 不可達")</f>
        <v>0.0119741376990666</v>
      </c>
      <c r="E30" s="91" t="n">
        <f aca="false">IF(ISNUMBER(Unit_Cost!$M$34),(E21*Unit_Cost!$M$32+E22*(Unit_Cost!$M$33+Cache_Store!$M$23*E10/B4_Retain)+E23*Unit_Cost!$M$34)/1000000,"SLO 不可達")</f>
        <v>0.0337319599508847</v>
      </c>
      <c r="F30" s="91" t="n">
        <f aca="false">IF(ISNUMBER(Unit_Cost!$M$34),(F21*Unit_Cost!$M$32+F22*(Unit_Cost!$M$33+Cache_Store!$M$23*F10/B4_Retain)+F23*Unit_Cost!$M$34)/1000000,"SLO 不可達")</f>
        <v>0.0107262921439707</v>
      </c>
      <c r="G30" s="91" t="n">
        <f aca="false">IF(ISNUMBER(Unit_Cost!$M$34),(G21*Unit_Cost!$M$32+G22*(Unit_Cost!$M$33+Cache_Store!$M$23*G10/B4_Retain)+G23*Unit_Cost!$M$34)/1000000,"SLO 不可達")</f>
        <v>0.0132219832541625</v>
      </c>
      <c r="H30" s="91" t="n">
        <f aca="false">IF(ISNUMBER(Unit_Cost!$M$34),(H21*Unit_Cost!$M$32+H22*(Unit_Cost!$M$33+Cache_Store!$M$23*H10/B4_Retain)+H23*Unit_Cost!$M$34)/1000000,"SLO 不可達")</f>
        <v>0.0118677214285697</v>
      </c>
      <c r="I30" s="91" t="n">
        <f aca="false">IF(ISNUMBER(Unit_Cost!$M$34),(I21*Unit_Cost!$M$32+I22*(Unit_Cost!$M$33+Cache_Store!$M$23*I10/B4_Retain)+I23*Unit_Cost!$M$34)/1000000,"SLO 不可達")</f>
        <v>0.0119741376990666</v>
      </c>
      <c r="J30" s="91" t="n">
        <f aca="false">IF(ISNUMBER(Unit_Cost!$M$34),(J21*Unit_Cost!$M$32+J22*(Unit_Cost!$M$33+Cache_Store!$M$23*J10/B4_Retain)+J23*Unit_Cost!$M$34)/1000000,"SLO 不可達")</f>
        <v>0.0116092819145057</v>
      </c>
      <c r="K30" s="91" t="n">
        <f aca="false">IF(ISNUMBER(Unit_Cost!$M$34),(K21*Unit_Cost!$M$32+K22*(Unit_Cost!$M$33+Cache_Store!$M$23*K10/B4_Retain)+K23*Unit_Cost!$M$34)/1000000,"SLO 不可達")</f>
        <v>0.0125214213759079</v>
      </c>
      <c r="L30" s="91" t="n">
        <f aca="false">IF(ISNUMBER(Unit_Cost!$M$34),(L21*Unit_Cost!$M$32+L22*(Unit_Cost!$M$33+Cache_Store!$M$23*L10/B4_Retain)+L23*Unit_Cost!$M$34)/1000000,"SLO 不可達")</f>
        <v>0.0119741376990666</v>
      </c>
      <c r="M30" s="91" t="n">
        <f aca="false">IF(ISNUMBER(Unit_Cost!$M$34),(M21*Unit_Cost!$M$32+M22*(Unit_Cost!$M$33+Cache_Store!$M$23*M10/B4_Retain)+M23*Unit_Cost!$M$34)/1000000,"SLO 不可達")</f>
        <v>0.0119741376990666</v>
      </c>
      <c r="N30" s="91" t="n">
        <f aca="false">IF(ISNUMBER(Unit_Cost!$M$34),(N21*Unit_Cost!$M$32+N22*(Unit_Cost!$M$33+Cache_Store!$M$23*N10/B4_Retain)+N23*Unit_Cost!$M$34)/1000000,"SLO 不可達")</f>
        <v>0.01189343680482</v>
      </c>
      <c r="O30" s="91" t="n">
        <f aca="false">IF(ISNUMBER(Unit_Cost!$M$34),(O21*Unit_Cost!$M$32+O22*(Unit_Cost!$M$33+Cache_Store!$M$23*O10/B4_Retain)+O23*Unit_Cost!$M$34)/1000000,"SLO 不可達")</f>
        <v>0.012157090294546</v>
      </c>
      <c r="P30" s="91" t="n">
        <f aca="false">IF(ISNUMBER(Unit_Cost!$M$34),(P21*Unit_Cost!$M$32+P22*(Unit_Cost!$M$33+Cache_Store!$M$23*P10/B4_Retain)+P23*Unit_Cost!$M$34)/1000000,"SLO 不可達")</f>
        <v>0.0119741376990666</v>
      </c>
      <c r="Q30" s="91" t="n">
        <f aca="false">IF(ISNUMBER(Unit_Cost!$M$34),(Q21*Unit_Cost!$M$32+Q22*(Unit_Cost!$M$33+Cache_Store!$M$23*Q10/B4_Retain)+Q23*Unit_Cost!$M$34)/1000000,"SLO 不可達")</f>
        <v>0.0119741376990666</v>
      </c>
      <c r="R30" s="91" t="n">
        <f aca="false">IF(ISNUMBER(Unit_Cost!$M$34),(R21*Unit_Cost!$M$32+R22*(Unit_Cost!$M$33+Cache_Store!$M$23*R10/B4_Retain)+R23*Unit_Cost!$M$34)/1000000,"SLO 不可達")</f>
        <v>0.0119741376990666</v>
      </c>
      <c r="S30" s="91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2664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2665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2666</v>
      </c>
      <c r="C33" s="166" t="n">
        <f aca="false">IF(AND(ISNUMBER(C30),ISNUMBER(Harness!$G$70)),(C30/C32)/(Harness!$G$70/C31),"SLO 不可達")</f>
        <v>0.478078141949835</v>
      </c>
      <c r="D33" s="166" t="n">
        <f aca="false">IF(AND(ISNUMBER(D30),ISNUMBER(Harness!$G$70)),(D30/D32)/(Harness!$G$70/D31),"SLO 不可達")</f>
        <v>0.478078141949835</v>
      </c>
      <c r="E33" s="166" t="n">
        <f aca="false">IF(AND(ISNUMBER(E30),ISNUMBER(Harness!$G$70)),(E30/E32)/(Harness!$G$70/E31),"SLO 不可達")</f>
        <v>1.34677862765035</v>
      </c>
      <c r="F33" s="166" t="n">
        <f aca="false">IF(AND(ISNUMBER(F30),ISNUMBER(Harness!$G$70)),(F30/F32)/(Harness!$G$70/F31),"SLO 不可達")</f>
        <v>0.42825679368965</v>
      </c>
      <c r="G33" s="166" t="n">
        <f aca="false">IF(AND(ISNUMBER(G30),ISNUMBER(Harness!$G$70)),(G30/G32)/(Harness!$G$70/G31),"SLO 不可達")</f>
        <v>0.52789949021002</v>
      </c>
      <c r="H33" s="166" t="n">
        <f aca="false">IF(AND(ISNUMBER(H30),ISNUMBER(Harness!$G$70)),(H30/H32)/(Harness!$G$70/H31),"SLO 不可達")</f>
        <v>0.473829377307988</v>
      </c>
      <c r="I33" s="166" t="n">
        <f aca="false">IF(AND(ISNUMBER(I30),ISNUMBER(Harness!$G$70)),(I30/I32)/(Harness!$G$70/I31),"SLO 不可達")</f>
        <v>0.478078141949835</v>
      </c>
      <c r="J33" s="166" t="n">
        <f aca="false">IF(AND(ISNUMBER(J30),ISNUMBER(Harness!$G$70)),(J30/J32)/(Harness!$G$70/J31),"SLO 不可達")</f>
        <v>0.463510948892073</v>
      </c>
      <c r="K33" s="166" t="n">
        <f aca="false">IF(AND(ISNUMBER(K30),ISNUMBER(Harness!$G$70)),(K30/K32)/(Harness!$G$70/K31),"SLO 不可達")</f>
        <v>0.499928931536477</v>
      </c>
      <c r="L33" s="166" t="n">
        <f aca="false">IF(AND(ISNUMBER(L30),ISNUMBER(Harness!$G$70)),(L30/L32)/(Harness!$G$70/L31),"SLO 不可達")</f>
        <v>0.59962006192806</v>
      </c>
      <c r="M33" s="166" t="n">
        <f aca="false">IF(AND(ISNUMBER(M30),ISNUMBER(Harness!$G$70)),(M30/M32)/(Harness!$G$70/M31),"SLO 不可達")</f>
        <v>0.405808883945237</v>
      </c>
      <c r="N33" s="166" t="n">
        <f aca="false">IF(AND(ISNUMBER(N30),ISNUMBER(Harness!$G$70)),(N30/N32)/(Harness!$G$70/N31),"SLO 不可達")</f>
        <v>0.474856086671642</v>
      </c>
      <c r="O33" s="166" t="n">
        <f aca="false">IF(AND(ISNUMBER(O30),ISNUMBER(Harness!$G$70)),(O30/O32)/(Harness!$G$70/O31),"SLO 不可達")</f>
        <v>0.485382687722558</v>
      </c>
      <c r="P33" s="166" t="n">
        <f aca="false">IF(AND(ISNUMBER(P30),ISNUMBER(Harness!$G$70)),(P30/P32)/(Harness!$G$70/P31),"SLO 不可達")</f>
        <v>0.49087306153509</v>
      </c>
      <c r="Q33" s="166" t="n">
        <f aca="false">IF(AND(ISNUMBER(Q30),ISNUMBER(Harness!$G$70)),(Q30/Q32)/(Harness!$G$70/Q31),"SLO 不可達")</f>
        <v>0.449715046446045</v>
      </c>
      <c r="R33" s="166" t="n">
        <f aca="false">IF(AND(ISNUMBER(R30),ISNUMBER(Harness!$G$70)),(R30/R32)/(Harness!$G$70/R31),"SLO 不可達")</f>
        <v>0.447178510664154</v>
      </c>
      <c r="S33" s="166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2667</v>
      </c>
      <c r="C34" s="91" t="n">
        <f aca="false">IF(ISNUMBER(Unit_Cost!$M$47),(C21*Unit_Cost!$M$45+C22*(Unit_Cost!$M$46+Cache_Store!$M$29*C10/B4_Retain)+C23*Unit_Cost!$M$47)/1000000,"SLO 不可達")</f>
        <v>0.0547838751770541</v>
      </c>
      <c r="D34" s="91" t="n">
        <f aca="false">IF(ISNUMBER(Unit_Cost!$M$47),(D21*Unit_Cost!$M$45+D22*(Unit_Cost!$M$46+Cache_Store!$M$29*D10/B4_Retain)+D23*Unit_Cost!$M$47)/1000000,"SLO 不可達")</f>
        <v>0.0547838751770541</v>
      </c>
      <c r="E34" s="91" t="n">
        <f aca="false">IF(ISNUMBER(Unit_Cost!$M$47),(E21*Unit_Cost!$M$45+E22*(Unit_Cost!$M$46+Cache_Store!$M$29*E10/B4_Retain)+E23*Unit_Cost!$M$47)/1000000,"SLO 不可達")</f>
        <v>0.152204548586889</v>
      </c>
      <c r="F34" s="91" t="n">
        <f aca="false">IF(ISNUMBER(Unit_Cost!$M$47),(F21*Unit_Cost!$M$45+F22*(Unit_Cost!$M$46+Cache_Store!$M$29*F10/B4_Retain)+F23*Unit_Cost!$M$47)/1000000,"SLO 不可達")</f>
        <v>0.0487703929471712</v>
      </c>
      <c r="G34" s="91" t="n">
        <f aca="false">IF(ISNUMBER(Unit_Cost!$M$47),(G21*Unit_Cost!$M$45+G22*(Unit_Cost!$M$46+Cache_Store!$M$29*G10/B4_Retain)+G23*Unit_Cost!$M$47)/1000000,"SLO 不可達")</f>
        <v>0.060797357406937</v>
      </c>
      <c r="H34" s="91" t="n">
        <f aca="false">IF(ISNUMBER(Unit_Cost!$M$47),(H21*Unit_Cost!$M$45+H22*(Unit_Cost!$M$46+Cache_Store!$M$29*H10/B4_Retain)+H23*Unit_Cost!$M$47)/1000000,"SLO 不可達")</f>
        <v>0.0543456203989551</v>
      </c>
      <c r="I34" s="91" t="n">
        <f aca="false">IF(ISNUMBER(Unit_Cost!$M$47),(I21*Unit_Cost!$M$45+I22*(Unit_Cost!$M$46+Cache_Store!$M$29*I10/B4_Retain)+I23*Unit_Cost!$M$47)/1000000,"SLO 不可達")</f>
        <v>0.0547838751770541</v>
      </c>
      <c r="J34" s="91" t="n">
        <f aca="false">IF(ISNUMBER(Unit_Cost!$M$47),(J21*Unit_Cost!$M$45+J22*(Unit_Cost!$M$46+Cache_Store!$M$29*J10/B4_Retain)+J23*Unit_Cost!$M$47)/1000000,"SLO 不可達")</f>
        <v>0.0532812873664288</v>
      </c>
      <c r="K34" s="91" t="n">
        <f aca="false">IF(ISNUMBER(Unit_Cost!$M$47),(K21*Unit_Cost!$M$45+K22*(Unit_Cost!$M$46+Cache_Store!$M$29*K10/B4_Retain)+K23*Unit_Cost!$M$47)/1000000,"SLO 不可達")</f>
        <v>0.057037756892992</v>
      </c>
      <c r="L34" s="91" t="n">
        <f aca="false">IF(ISNUMBER(Unit_Cost!$M$47),(L21*Unit_Cost!$M$45+L22*(Unit_Cost!$M$46+Cache_Store!$M$29*L10/B4_Retain)+L23*Unit_Cost!$M$47)/1000000,"SLO 不可達")</f>
        <v>0.0547838751770541</v>
      </c>
      <c r="M34" s="91" t="n">
        <f aca="false">IF(ISNUMBER(Unit_Cost!$M$47),(M21*Unit_Cost!$M$45+M22*(Unit_Cost!$M$46+Cache_Store!$M$29*M10/B4_Retain)+M23*Unit_Cost!$M$47)/1000000,"SLO 不可達")</f>
        <v>0.0547838751770541</v>
      </c>
      <c r="N34" s="91" t="n">
        <f aca="false">IF(ISNUMBER(Unit_Cost!$M$47),(N21*Unit_Cost!$M$45+N22*(Unit_Cost!$M$46+Cache_Store!$M$29*N10/B4_Retain)+N23*Unit_Cost!$M$47)/1000000,"SLO 不可達")</f>
        <v>0.0536115242291089</v>
      </c>
      <c r="O34" s="91" t="n">
        <f aca="false">IF(ISNUMBER(Unit_Cost!$M$47),(O21*Unit_Cost!$M$45+O22*(Unit_Cost!$M$46+Cache_Store!$M$29*O10/B4_Retain)+O23*Unit_Cost!$M$47)/1000000,"SLO 不可達")</f>
        <v>0.0574416480647254</v>
      </c>
      <c r="P34" s="91" t="n">
        <f aca="false">IF(ISNUMBER(Unit_Cost!$M$47),(P21*Unit_Cost!$M$45+P22*(Unit_Cost!$M$46+Cache_Store!$M$29*P10/B4_Retain)+P23*Unit_Cost!$M$47)/1000000,"SLO 不可達")</f>
        <v>0.0547838751770541</v>
      </c>
      <c r="Q34" s="91" t="n">
        <f aca="false">IF(ISNUMBER(Unit_Cost!$M$47),(Q21*Unit_Cost!$M$45+Q22*(Unit_Cost!$M$46+Cache_Store!$M$29*Q10/B4_Retain)+Q23*Unit_Cost!$M$47)/1000000,"SLO 不可達")</f>
        <v>0.0547838751770541</v>
      </c>
      <c r="R34" s="91" t="n">
        <f aca="false">IF(ISNUMBER(Unit_Cost!$M$47),(R21*Unit_Cost!$M$45+R22*(Unit_Cost!$M$46+Cache_Store!$M$29*R10/B4_Retain)+R23*Unit_Cost!$M$47)/1000000,"SLO 不可達")</f>
        <v>0.0547838751770541</v>
      </c>
      <c r="S34" s="91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2668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2669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2670</v>
      </c>
      <c r="C37" s="166" t="n">
        <f aca="false">IF(AND(ISNUMBER(C34),ISNUMBER(Harness!$G$73)),(C34/C36)/(Harness!$G$73/C35),"SLO 不可達")</f>
        <v>0.519237863316496</v>
      </c>
      <c r="D37" s="166" t="n">
        <f aca="false">IF(AND(ISNUMBER(D34),ISNUMBER(Harness!$G$73)),(D34/D36)/(Harness!$G$73/D35),"SLO 不可達")</f>
        <v>0.519237863316496</v>
      </c>
      <c r="E37" s="166" t="n">
        <f aca="false">IF(AND(ISNUMBER(E34),ISNUMBER(Harness!$G$73)),(E34/E36)/(Harness!$G$73/E35),"SLO 不可達")</f>
        <v>1.44258441630667</v>
      </c>
      <c r="F37" s="166" t="n">
        <f aca="false">IF(AND(ISNUMBER(F34),ISNUMBER(Harness!$G$73)),(F34/F36)/(Harness!$G$73/F35),"SLO 不可達")</f>
        <v>0.46224248549693</v>
      </c>
      <c r="G37" s="166" t="n">
        <f aca="false">IF(AND(ISNUMBER(G34),ISNUMBER(Harness!$G$73)),(G34/G36)/(Harness!$G$73/G35),"SLO 不可達")</f>
        <v>0.576233241136061</v>
      </c>
      <c r="H37" s="166" t="n">
        <f aca="false">IF(AND(ISNUMBER(H34),ISNUMBER(Harness!$G$73)),(H34/H36)/(Harness!$G$73/H35),"SLO 不可達")</f>
        <v>0.515084114173469</v>
      </c>
      <c r="I37" s="166" t="n">
        <f aca="false">IF(AND(ISNUMBER(I34),ISNUMBER(Harness!$G$73)),(I34/I36)/(Harness!$G$73/I35),"SLO 不可達")</f>
        <v>0.519237863316496</v>
      </c>
      <c r="J37" s="166" t="n">
        <f aca="false">IF(AND(ISNUMBER(J34),ISNUMBER(Harness!$G$73)),(J34/J36)/(Harness!$G$73/J35),"SLO 不可達")</f>
        <v>0.50499643768326</v>
      </c>
      <c r="K37" s="166" t="n">
        <f aca="false">IF(AND(ISNUMBER(K34),ISNUMBER(Harness!$G$73)),(K34/K36)/(Harness!$G$73/K35),"SLO 不可達")</f>
        <v>0.540600001766349</v>
      </c>
      <c r="L37" s="166" t="n">
        <f aca="false">IF(AND(ISNUMBER(L34),ISNUMBER(Harness!$G$73)),(L34/L36)/(Harness!$G$73/L35),"SLO 不可達")</f>
        <v>0.6117073399454</v>
      </c>
      <c r="M37" s="166" t="n">
        <f aca="false">IF(AND(ISNUMBER(M34),ISNUMBER(Harness!$G$73)),(M34/M36)/(Harness!$G$73/M35),"SLO 不可達")</f>
        <v>0.46425518355266</v>
      </c>
      <c r="N37" s="166" t="n">
        <f aca="false">IF(AND(ISNUMBER(N34),ISNUMBER(Harness!$G$73)),(N34/N36)/(Harness!$G$73/N35),"SLO 不可達")</f>
        <v>0.508126400330338</v>
      </c>
      <c r="O37" s="166" t="n">
        <f aca="false">IF(AND(ISNUMBER(O34),ISNUMBER(Harness!$G$73)),(O34/O36)/(Harness!$G$73/O35),"SLO 不可達")</f>
        <v>0.544428054972615</v>
      </c>
      <c r="P37" s="166" t="n">
        <f aca="false">IF(AND(ISNUMBER(P34),ISNUMBER(Harness!$G$73)),(P34/P36)/(Harness!$G$73/P35),"SLO 不可達")</f>
        <v>0.525345421391225</v>
      </c>
      <c r="Q37" s="166" t="n">
        <f aca="false">IF(AND(ISNUMBER(Q34),ISNUMBER(Harness!$G$73)),(Q34/Q36)/(Harness!$G$73/Q35),"SLO 不可達")</f>
        <v>0.509756116621167</v>
      </c>
      <c r="R37" s="166" t="n">
        <f aca="false">IF(AND(ISNUMBER(R34),ISNUMBER(Harness!$G$73)),(R34/R36)/(Harness!$G$73/R35),"SLO 不可達")</f>
        <v>0.502452502284687</v>
      </c>
      <c r="S37" s="166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65" t="s">
        <v>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2672</v>
      </c>
    </row>
    <row r="2" customFormat="false" ht="15" hidden="false" customHeight="false" outlineLevel="0" collapsed="false">
      <c r="A2" s="65" t="s">
        <v>2673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4" t="s">
        <v>2674</v>
      </c>
      <c r="B4" s="84" t="s">
        <v>109</v>
      </c>
      <c r="C4" s="84" t="s">
        <v>111</v>
      </c>
      <c r="D4" s="84" t="s">
        <v>1433</v>
      </c>
      <c r="E4" s="84" t="s">
        <v>1434</v>
      </c>
      <c r="F4" s="84" t="s">
        <v>113</v>
      </c>
      <c r="G4" s="84" t="s">
        <v>2675</v>
      </c>
    </row>
    <row r="5" customFormat="false" ht="15" hidden="false" customHeight="false" outlineLevel="0" collapsed="false">
      <c r="A5" s="61" t="s">
        <v>2676</v>
      </c>
      <c r="B5" s="61" t="s">
        <v>122</v>
      </c>
      <c r="C5" s="175" t="s">
        <v>1499</v>
      </c>
      <c r="D5" s="62" t="s">
        <v>809</v>
      </c>
      <c r="E5" s="62" t="s">
        <v>809</v>
      </c>
      <c r="F5" s="62" t="s">
        <v>118</v>
      </c>
      <c r="G5" s="88" t="s">
        <v>2677</v>
      </c>
    </row>
    <row r="6" customFormat="false" ht="15" hidden="false" customHeight="false" outlineLevel="0" collapsed="false">
      <c r="A6" s="61" t="s">
        <v>2678</v>
      </c>
      <c r="B6" s="61" t="s">
        <v>2679</v>
      </c>
      <c r="C6" s="176" t="n">
        <v>1</v>
      </c>
      <c r="D6" s="79" t="n">
        <v>1</v>
      </c>
      <c r="E6" s="79" t="n">
        <v>2</v>
      </c>
      <c r="F6" s="62" t="s">
        <v>128</v>
      </c>
      <c r="G6" s="88" t="s">
        <v>2680</v>
      </c>
    </row>
    <row r="7" customFormat="false" ht="15" hidden="false" customHeight="false" outlineLevel="0" collapsed="false">
      <c r="A7" s="61" t="s">
        <v>2681</v>
      </c>
      <c r="B7" s="61" t="s">
        <v>2679</v>
      </c>
      <c r="C7" s="176" t="n">
        <v>2</v>
      </c>
      <c r="D7" s="79" t="n">
        <v>0</v>
      </c>
      <c r="E7" s="79" t="n">
        <v>6</v>
      </c>
      <c r="F7" s="62" t="s">
        <v>128</v>
      </c>
      <c r="G7" s="88" t="s">
        <v>2682</v>
      </c>
    </row>
    <row r="8" customFormat="false" ht="15" hidden="false" customHeight="false" outlineLevel="0" collapsed="false">
      <c r="A8" s="61" t="s">
        <v>2683</v>
      </c>
      <c r="B8" s="62" t="s">
        <v>132</v>
      </c>
      <c r="C8" s="176" t="n">
        <v>1</v>
      </c>
      <c r="D8" s="79" t="n">
        <v>0.5</v>
      </c>
      <c r="E8" s="79" t="n">
        <v>7</v>
      </c>
      <c r="F8" s="62" t="s">
        <v>128</v>
      </c>
      <c r="G8" s="88" t="s">
        <v>2684</v>
      </c>
    </row>
    <row r="9" customFormat="false" ht="39.55" hidden="false" customHeight="false" outlineLevel="0" collapsed="false">
      <c r="A9" s="61" t="s">
        <v>2685</v>
      </c>
      <c r="B9" s="62" t="s">
        <v>127</v>
      </c>
      <c r="C9" s="177" t="n">
        <v>0.6</v>
      </c>
      <c r="D9" s="67" t="n">
        <v>0.5</v>
      </c>
      <c r="E9" s="67" t="n">
        <v>0.7</v>
      </c>
      <c r="F9" s="62" t="s">
        <v>176</v>
      </c>
      <c r="G9" s="88" t="s">
        <v>2686</v>
      </c>
      <c r="H9" s="65" t="s">
        <v>2687</v>
      </c>
    </row>
    <row r="10" customFormat="false" ht="39.55" hidden="false" customHeight="false" outlineLevel="0" collapsed="false">
      <c r="A10" s="61" t="s">
        <v>2688</v>
      </c>
      <c r="B10" s="62" t="s">
        <v>127</v>
      </c>
      <c r="C10" s="177" t="n">
        <v>0.4</v>
      </c>
      <c r="D10" s="67" t="n">
        <v>0.25</v>
      </c>
      <c r="E10" s="67" t="n">
        <v>0.4</v>
      </c>
      <c r="F10" s="62" t="s">
        <v>176</v>
      </c>
      <c r="G10" s="88" t="s">
        <v>2689</v>
      </c>
      <c r="H10" s="65" t="s">
        <v>2690</v>
      </c>
    </row>
    <row r="11" customFormat="false" ht="39.55" hidden="false" customHeight="false" outlineLevel="0" collapsed="false">
      <c r="A11" s="61" t="s">
        <v>2691</v>
      </c>
      <c r="B11" s="62" t="s">
        <v>127</v>
      </c>
      <c r="C11" s="177" t="n">
        <v>0</v>
      </c>
      <c r="D11" s="67" t="n">
        <v>0</v>
      </c>
      <c r="E11" s="67" t="n">
        <v>0.1</v>
      </c>
      <c r="F11" s="62" t="s">
        <v>176</v>
      </c>
      <c r="G11" s="88" t="s">
        <v>2692</v>
      </c>
      <c r="H11" s="65" t="s">
        <v>2693</v>
      </c>
    </row>
    <row r="12" customFormat="false" ht="39.55" hidden="false" customHeight="false" outlineLevel="0" collapsed="false">
      <c r="A12" s="61" t="s">
        <v>2694</v>
      </c>
      <c r="B12" s="62" t="s">
        <v>127</v>
      </c>
      <c r="C12" s="177" t="n">
        <v>0</v>
      </c>
      <c r="D12" s="67" t="n">
        <v>0</v>
      </c>
      <c r="E12" s="67" t="n">
        <v>0</v>
      </c>
      <c r="F12" s="62" t="s">
        <v>176</v>
      </c>
      <c r="G12" s="88" t="s">
        <v>2695</v>
      </c>
      <c r="H12" s="65" t="s">
        <v>2696</v>
      </c>
    </row>
    <row r="13" customFormat="false" ht="15" hidden="false" customHeight="false" outlineLevel="0" collapsed="false">
      <c r="A13" s="61" t="s">
        <v>2697</v>
      </c>
      <c r="B13" s="62" t="s">
        <v>127</v>
      </c>
      <c r="C13" s="177" t="n">
        <v>0</v>
      </c>
      <c r="D13" s="67" t="n">
        <v>0</v>
      </c>
      <c r="E13" s="67" t="n">
        <v>1</v>
      </c>
      <c r="F13" s="62" t="s">
        <v>2698</v>
      </c>
      <c r="G13" s="88" t="s">
        <v>2699</v>
      </c>
      <c r="H13" s="65" t="s">
        <v>1439</v>
      </c>
    </row>
    <row r="14" customFormat="false" ht="15" hidden="false" customHeight="false" outlineLevel="0" collapsed="false">
      <c r="A14" s="62" t="s">
        <v>2700</v>
      </c>
      <c r="B14" s="62" t="s">
        <v>132</v>
      </c>
      <c r="C14" s="176" t="n">
        <v>0.75</v>
      </c>
      <c r="D14" s="79" t="n">
        <v>0.6</v>
      </c>
      <c r="E14" s="79" t="n">
        <v>0.9</v>
      </c>
      <c r="F14" s="62" t="s">
        <v>128</v>
      </c>
      <c r="G14" s="88" t="s">
        <v>2701</v>
      </c>
    </row>
    <row r="15" customFormat="false" ht="64.9" hidden="false" customHeight="false" outlineLevel="0" collapsed="false">
      <c r="A15" s="61" t="s">
        <v>2702</v>
      </c>
      <c r="B15" s="62" t="s">
        <v>333</v>
      </c>
      <c r="C15" s="178" t="n">
        <v>4000</v>
      </c>
      <c r="D15" s="64" t="n">
        <v>2000</v>
      </c>
      <c r="E15" s="64" t="n">
        <v>11000</v>
      </c>
      <c r="F15" s="62" t="s">
        <v>128</v>
      </c>
      <c r="G15" s="88" t="s">
        <v>2703</v>
      </c>
    </row>
    <row r="16" customFormat="false" ht="26.85" hidden="false" customHeight="false" outlineLevel="0" collapsed="false">
      <c r="A16" s="62" t="s">
        <v>2704</v>
      </c>
      <c r="B16" s="62" t="s">
        <v>127</v>
      </c>
      <c r="C16" s="177" t="n">
        <v>0.6</v>
      </c>
      <c r="D16" s="67" t="n">
        <v>0.4</v>
      </c>
      <c r="E16" s="67" t="n">
        <v>0.8</v>
      </c>
      <c r="F16" s="62" t="s">
        <v>128</v>
      </c>
      <c r="G16" s="93" t="s">
        <v>2705</v>
      </c>
    </row>
    <row r="18" customFormat="false" ht="15" hidden="false" customHeight="false" outlineLevel="0" collapsed="false">
      <c r="A18" s="60" t="s">
        <v>2706</v>
      </c>
      <c r="C18" s="86" t="n">
        <f aca="false">SUM(AL_MixGen)</f>
        <v>1</v>
      </c>
    </row>
    <row r="20" customFormat="false" ht="15" hidden="false" customHeight="false" outlineLevel="0" collapsed="false">
      <c r="A20" s="65" t="s">
        <v>2707</v>
      </c>
    </row>
    <row r="22" customFormat="false" ht="15" hidden="false" customHeight="false" outlineLevel="0" collapsed="false">
      <c r="A22" s="77" t="s">
        <v>2708</v>
      </c>
      <c r="B22" s="71"/>
      <c r="C22" s="71"/>
      <c r="D22" s="71"/>
      <c r="E22" s="71"/>
      <c r="F22" s="71"/>
      <c r="G22" s="71"/>
    </row>
    <row r="23" customFormat="false" ht="39.55" hidden="false" customHeight="false" outlineLevel="0" collapsed="false">
      <c r="A23" s="5" t="s">
        <v>2709</v>
      </c>
      <c r="B23" s="62" t="s">
        <v>132</v>
      </c>
      <c r="C23" s="153" t="n">
        <v>0.85</v>
      </c>
      <c r="D23" s="80" t="n">
        <v>0.73</v>
      </c>
      <c r="E23" s="80" t="n">
        <v>1.17</v>
      </c>
      <c r="F23" s="62" t="s">
        <v>176</v>
      </c>
      <c r="G23" s="93" t="s">
        <v>2710</v>
      </c>
    </row>
    <row r="24" customFormat="false" ht="52.2" hidden="false" customHeight="false" outlineLevel="0" collapsed="false">
      <c r="A24" s="5" t="s">
        <v>2711</v>
      </c>
      <c r="B24" s="62" t="s">
        <v>132</v>
      </c>
      <c r="C24" s="153" t="n">
        <v>0.41</v>
      </c>
      <c r="D24" s="80" t="n">
        <v>0.3</v>
      </c>
      <c r="E24" s="80" t="n">
        <v>0.65</v>
      </c>
      <c r="F24" s="62" t="s">
        <v>128</v>
      </c>
      <c r="G24" s="93" t="s">
        <v>2712</v>
      </c>
    </row>
    <row r="25" customFormat="false" ht="29.85" hidden="false" customHeight="false" outlineLevel="0" collapsed="false">
      <c r="A25" s="5" t="s">
        <v>2713</v>
      </c>
      <c r="B25" s="62" t="s">
        <v>333</v>
      </c>
      <c r="C25" s="64" t="n">
        <v>2000</v>
      </c>
      <c r="D25" s="62" t="s">
        <v>809</v>
      </c>
      <c r="E25" s="62" t="s">
        <v>809</v>
      </c>
      <c r="F25" s="62" t="s">
        <v>2714</v>
      </c>
      <c r="G25" s="88" t="s">
        <v>2715</v>
      </c>
    </row>
    <row r="26" customFormat="false" ht="90.25" hidden="false" customHeight="false" outlineLevel="0" collapsed="false">
      <c r="A26" s="5" t="s">
        <v>2716</v>
      </c>
      <c r="B26" s="62" t="s">
        <v>132</v>
      </c>
      <c r="C26" s="153" t="n">
        <v>1</v>
      </c>
      <c r="D26" s="80" t="n">
        <v>0.65</v>
      </c>
      <c r="E26" s="80" t="n">
        <v>1.2</v>
      </c>
      <c r="F26" s="62" t="s">
        <v>176</v>
      </c>
      <c r="G26" s="88" t="s">
        <v>2717</v>
      </c>
    </row>
    <row r="28" customFormat="false" ht="15" hidden="false" customHeight="false" outlineLevel="0" collapsed="false">
      <c r="A28" s="10" t="s">
        <v>2718</v>
      </c>
    </row>
    <row r="29" customFormat="false" ht="64.9" hidden="false" customHeight="false" outlineLevel="0" collapsed="false">
      <c r="A29" s="5" t="s">
        <v>2719</v>
      </c>
      <c r="B29" s="62" t="s">
        <v>127</v>
      </c>
      <c r="C29" s="177" t="n">
        <v>0.6</v>
      </c>
      <c r="D29" s="67" t="n">
        <v>0.4</v>
      </c>
      <c r="E29" s="67" t="n">
        <v>0.75</v>
      </c>
      <c r="F29" s="62" t="s">
        <v>176</v>
      </c>
      <c r="G29" s="88" t="s">
        <v>2720</v>
      </c>
      <c r="H29" s="65" t="s">
        <v>2721</v>
      </c>
    </row>
    <row r="30" customFormat="false" ht="64.9" hidden="false" customHeight="false" outlineLevel="0" collapsed="false">
      <c r="A30" s="5" t="s">
        <v>2722</v>
      </c>
      <c r="B30" s="62" t="s">
        <v>127</v>
      </c>
      <c r="C30" s="177" t="n">
        <v>0.38</v>
      </c>
      <c r="D30" s="67" t="n">
        <v>0.25</v>
      </c>
      <c r="E30" s="67" t="n">
        <v>0.55</v>
      </c>
      <c r="F30" s="62" t="s">
        <v>176</v>
      </c>
      <c r="G30" s="88" t="s">
        <v>2720</v>
      </c>
      <c r="H30" s="65" t="s">
        <v>1439</v>
      </c>
    </row>
    <row r="31" customFormat="false" ht="64.9" hidden="false" customHeight="false" outlineLevel="0" collapsed="false">
      <c r="A31" s="5" t="s">
        <v>2723</v>
      </c>
      <c r="B31" s="62" t="s">
        <v>127</v>
      </c>
      <c r="C31" s="177" t="n">
        <v>0.02</v>
      </c>
      <c r="D31" s="67" t="n">
        <v>0</v>
      </c>
      <c r="E31" s="67" t="n">
        <v>0.05</v>
      </c>
      <c r="F31" s="62" t="s">
        <v>176</v>
      </c>
      <c r="G31" s="88" t="s">
        <v>2720</v>
      </c>
      <c r="H31" s="65" t="s">
        <v>1439</v>
      </c>
    </row>
    <row r="32" customFormat="false" ht="64.9" hidden="false" customHeight="false" outlineLevel="0" collapsed="false">
      <c r="A32" s="5" t="s">
        <v>2724</v>
      </c>
      <c r="B32" s="62" t="s">
        <v>127</v>
      </c>
      <c r="C32" s="177" t="n">
        <v>0</v>
      </c>
      <c r="D32" s="67" t="n">
        <v>0</v>
      </c>
      <c r="E32" s="67" t="n">
        <v>0</v>
      </c>
      <c r="F32" s="62" t="s">
        <v>176</v>
      </c>
      <c r="G32" s="88" t="s">
        <v>2720</v>
      </c>
      <c r="H32" s="65" t="s">
        <v>1439</v>
      </c>
    </row>
    <row r="33" customFormat="false" ht="15" hidden="false" customHeight="false" outlineLevel="0" collapsed="false">
      <c r="A33" s="61" t="s">
        <v>2725</v>
      </c>
      <c r="C33" s="86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2726</v>
      </c>
    </row>
    <row r="2" customFormat="false" ht="15" hidden="false" customHeight="false" outlineLevel="0" collapsed="false">
      <c r="A2" s="65" t="s">
        <v>2727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7" t="s">
        <v>2728</v>
      </c>
      <c r="B4" s="71"/>
      <c r="C4" s="71"/>
      <c r="D4" s="71"/>
      <c r="E4" s="71"/>
      <c r="F4" s="71"/>
      <c r="G4" s="71"/>
    </row>
    <row r="5" customFormat="false" ht="15" hidden="false" customHeight="false" outlineLevel="0" collapsed="false">
      <c r="A5" s="6" t="s">
        <v>2729</v>
      </c>
      <c r="B5" s="62" t="s">
        <v>993</v>
      </c>
      <c r="C5" s="69" t="n">
        <f aca="false">SRC_DEM_010*1000000000*525600*AL_APIratio/1000000</f>
        <v>2365200000</v>
      </c>
      <c r="G5" s="59" t="s">
        <v>2730</v>
      </c>
    </row>
    <row r="6" customFormat="false" ht="15" hidden="false" customHeight="false" outlineLevel="0" collapsed="false">
      <c r="A6" s="6" t="s">
        <v>2731</v>
      </c>
      <c r="B6" s="62" t="s">
        <v>993</v>
      </c>
      <c r="C6" s="69" t="n">
        <f aca="false">SRC_DEM_012*1000000000*AL_TokPerPrompt*365/1000000</f>
        <v>3650000000</v>
      </c>
      <c r="G6" s="59" t="s">
        <v>2732</v>
      </c>
    </row>
    <row r="7" customFormat="false" ht="15" hidden="false" customHeight="false" outlineLevel="0" collapsed="false">
      <c r="A7" s="6" t="s">
        <v>2733</v>
      </c>
      <c r="B7" s="62" t="s">
        <v>993</v>
      </c>
      <c r="C7" s="69" t="n">
        <f aca="false">AL_DChat*AL_FreeShare</f>
        <v>2190000000</v>
      </c>
      <c r="G7" s="59" t="s">
        <v>2734</v>
      </c>
    </row>
    <row r="8" customFormat="false" ht="15" hidden="false" customHeight="false" outlineLevel="0" collapsed="false">
      <c r="A8" s="6" t="s">
        <v>2735</v>
      </c>
      <c r="B8" s="62" t="s">
        <v>993</v>
      </c>
      <c r="C8" s="69" t="n">
        <f aca="false">AL_DChat-AL_DChatFree</f>
        <v>1460000000</v>
      </c>
      <c r="G8" s="59" t="s">
        <v>2736</v>
      </c>
    </row>
    <row r="9" customFormat="false" ht="15" hidden="false" customHeight="false" outlineLevel="0" collapsed="false">
      <c r="A9" s="5" t="s">
        <v>2737</v>
      </c>
      <c r="B9" s="62" t="s">
        <v>993</v>
      </c>
      <c r="C9" s="69" t="n">
        <f aca="false">AL_DAPI+AL_DChatPaid</f>
        <v>3825200000</v>
      </c>
    </row>
    <row r="10" customFormat="false" ht="15" hidden="false" customHeight="false" outlineLevel="0" collapsed="false">
      <c r="A10" s="5" t="s">
        <v>2738</v>
      </c>
      <c r="B10" s="62" t="s">
        <v>993</v>
      </c>
      <c r="C10" s="69" t="n">
        <f aca="false">AL_DChatFree</f>
        <v>2190000000</v>
      </c>
    </row>
    <row r="11" customFormat="false" ht="15" hidden="false" customHeight="false" outlineLevel="0" collapsed="false">
      <c r="A11" s="6" t="s">
        <v>2739</v>
      </c>
      <c r="B11" s="62" t="s">
        <v>993</v>
      </c>
      <c r="C11" s="72" t="n">
        <f aca="false">AL_DPaid+AL_DFree</f>
        <v>6015200000</v>
      </c>
    </row>
    <row r="12" customFormat="false" ht="15" hidden="false" customHeight="false" outlineLevel="0" collapsed="false">
      <c r="A12" s="5" t="s">
        <v>2740</v>
      </c>
      <c r="B12" s="62" t="s">
        <v>1606</v>
      </c>
      <c r="C12" s="73" t="n">
        <f aca="false">AL_D/365/1000000</f>
        <v>16.48</v>
      </c>
      <c r="G12" s="59" t="s">
        <v>2741</v>
      </c>
    </row>
    <row r="14" customFormat="false" ht="15" hidden="false" customHeight="false" outlineLevel="0" collapsed="false">
      <c r="A14" s="77" t="s">
        <v>2742</v>
      </c>
      <c r="B14" s="71"/>
      <c r="C14" s="71"/>
      <c r="D14" s="71"/>
      <c r="E14" s="71"/>
      <c r="F14" s="71"/>
      <c r="G14" s="71"/>
    </row>
    <row r="15" customFormat="false" ht="15" hidden="false" customHeight="false" outlineLevel="0" collapsed="false">
      <c r="A15" s="60" t="s">
        <v>200</v>
      </c>
      <c r="C15" s="83" t="str">
        <f aca="false">INDEX(Spec_Rack!$C$4:$G$4,C16)</f>
        <v>Hopper H100</v>
      </c>
      <c r="D15" s="83" t="str">
        <f aca="false">INDEX(Spec_Rack!$C$4:$G$4,D16)</f>
        <v>GB200 NVL72</v>
      </c>
      <c r="E15" s="83" t="str">
        <f aca="false">INDEX(Spec_Rack!$C$4:$G$4,E16)</f>
        <v>GB300 NVL72</v>
      </c>
      <c r="F15" s="83" t="str">
        <f aca="false">INDEX(Spec_Rack!$C$4:$G$4,F16)</f>
        <v>VR200 NVL72</v>
      </c>
      <c r="Y15" s="65" t="s">
        <v>2743</v>
      </c>
    </row>
    <row r="16" customFormat="false" ht="15" hidden="false" customHeight="false" outlineLevel="0" collapsed="false">
      <c r="A16" s="5" t="s">
        <v>2744</v>
      </c>
      <c r="B16" s="61" t="s">
        <v>1162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7.15" hidden="false" customHeight="false" outlineLevel="0" collapsed="false">
      <c r="A17" s="6" t="s">
        <v>2745</v>
      </c>
      <c r="B17" s="61" t="s">
        <v>1162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  <c r="G17" s="76" t="s">
        <v>2746</v>
      </c>
    </row>
    <row r="18" customFormat="false" ht="15" hidden="false" customHeight="false" outlineLevel="0" collapsed="false">
      <c r="A18" s="5" t="s">
        <v>2747</v>
      </c>
      <c r="B18" s="62" t="s">
        <v>127</v>
      </c>
      <c r="C18" s="86" t="n">
        <f aca="false">AL_MixHopper</f>
        <v>0.6</v>
      </c>
      <c r="D18" s="86" t="n">
        <f aca="false">AL_MixGB200</f>
        <v>0.4</v>
      </c>
      <c r="E18" s="86" t="n">
        <f aca="false">AL_MixGB300</f>
        <v>0</v>
      </c>
      <c r="F18" s="86" t="n">
        <f aca="false">AL_MixVR200</f>
        <v>0</v>
      </c>
    </row>
    <row r="19" customFormat="false" ht="29.85" hidden="false" customHeight="false" outlineLevel="0" collapsed="false">
      <c r="A19" s="6" t="s">
        <v>2748</v>
      </c>
      <c r="B19" s="61" t="s">
        <v>2180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65" t="s">
        <v>2749</v>
      </c>
    </row>
    <row r="20" customFormat="false" ht="29.85" hidden="false" customHeight="false" outlineLevel="0" collapsed="false">
      <c r="A20" s="6" t="s">
        <v>2750</v>
      </c>
      <c r="B20" s="61" t="s">
        <v>2180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2751</v>
      </c>
      <c r="B21" s="61" t="s">
        <v>2180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2752</v>
      </c>
      <c r="B22" s="62" t="s">
        <v>127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65" t="s">
        <v>2753</v>
      </c>
    </row>
    <row r="23" customFormat="false" ht="15" hidden="false" customHeight="false" outlineLevel="0" collapsed="false">
      <c r="A23" s="5" t="s">
        <v>2754</v>
      </c>
      <c r="B23" s="62" t="s">
        <v>127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65" t="s">
        <v>2755</v>
      </c>
    </row>
    <row r="24" customFormat="false" ht="15" hidden="false" customHeight="false" outlineLevel="0" collapsed="false">
      <c r="A24" s="5" t="s">
        <v>2756</v>
      </c>
      <c r="B24" s="62" t="s">
        <v>127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65" t="s">
        <v>2757</v>
      </c>
      <c r="Y24" s="65" t="s">
        <v>2758</v>
      </c>
    </row>
    <row r="25" customFormat="false" ht="15" hidden="false" customHeight="false" outlineLevel="0" collapsed="false">
      <c r="A25" s="5" t="s">
        <v>2759</v>
      </c>
      <c r="B25" s="62" t="s">
        <v>127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  <c r="Y25" s="65" t="s">
        <v>2760</v>
      </c>
    </row>
    <row r="26" customFormat="false" ht="29.85" hidden="false" customHeight="false" outlineLevel="0" collapsed="false">
      <c r="A26" s="5" t="s">
        <v>2761</v>
      </c>
      <c r="B26" s="61" t="s">
        <v>2180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2762</v>
      </c>
      <c r="B27" s="62" t="s">
        <v>2763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65" t="s">
        <v>2764</v>
      </c>
    </row>
    <row r="28" customFormat="false" ht="15" hidden="false" customHeight="false" outlineLevel="0" collapsed="false">
      <c r="A28" s="6" t="s">
        <v>2765</v>
      </c>
      <c r="B28" s="62" t="s">
        <v>2763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2766</v>
      </c>
      <c r="B29" s="62" t="s">
        <v>1670</v>
      </c>
      <c r="C29" s="69" t="n">
        <f aca="false">IF(C26=1,IF_Util/C27,"SLO 不可達")</f>
        <v>15395391054.8974</v>
      </c>
      <c r="D29" s="69" t="n">
        <f aca="false">IF(D26=1,IF_Util/D27,"SLO 不可達")</f>
        <v>67191407765.9557</v>
      </c>
      <c r="E29" s="69" t="n">
        <f aca="false">IF(E26=1,IF_Util/E27,"SLO 不可達")</f>
        <v>92402809365.7302</v>
      </c>
      <c r="F29" s="69" t="n">
        <f aca="false">IF(F26=1,IF_Util/F27,"SLO 不可達")</f>
        <v>151955347509.519</v>
      </c>
      <c r="G29" s="65" t="s">
        <v>2767</v>
      </c>
    </row>
    <row r="30" customFormat="false" ht="15" hidden="false" customHeight="false" outlineLevel="0" collapsed="false">
      <c r="A30" s="5" t="s">
        <v>2768</v>
      </c>
      <c r="B30" s="62" t="s">
        <v>1670</v>
      </c>
      <c r="C30" s="69" t="n">
        <f aca="false">IF(C26=1,IF_Util/C28,"SLO 不可達")</f>
        <v>54582804988.7847</v>
      </c>
      <c r="D30" s="69" t="n">
        <f aca="false">IF(D26=1,IF_Util/D28,"SLO 不可達")</f>
        <v>240239726016.927</v>
      </c>
      <c r="E30" s="69" t="n">
        <f aca="false">IF(E26=1,IF_Util/E28,"SLO 不可達")</f>
        <v>349759256732.35</v>
      </c>
      <c r="F30" s="69" t="n">
        <f aca="false">IF(F26=1,IF_Util/F28,"SLO 不可達")</f>
        <v>510130972611.328</v>
      </c>
      <c r="G30" s="65" t="s">
        <v>2769</v>
      </c>
    </row>
    <row r="31" customFormat="false" ht="15" hidden="false" customHeight="false" outlineLevel="0" collapsed="false">
      <c r="A31" s="5" t="s">
        <v>2770</v>
      </c>
      <c r="B31" s="62" t="s">
        <v>127</v>
      </c>
      <c r="C31" s="103" t="n">
        <f aca="false">(IF(AND(C$18&gt;0,C$26=1),C$18,0)+IF(AND(D$18&gt;0,D$26=1),D$18,0)+IF(AND(E$18&gt;0,E$26=1),E$18,0)+IF(AND(F$18&gt;0,F$26=1),F$18,0))</f>
        <v>1</v>
      </c>
      <c r="G31" s="65" t="s">
        <v>2771</v>
      </c>
    </row>
    <row r="32" customFormat="false" ht="15" hidden="false" customHeight="false" outlineLevel="0" collapsed="false">
      <c r="A32" s="5" t="s">
        <v>2772</v>
      </c>
      <c r="B32" s="62" t="s">
        <v>127</v>
      </c>
      <c r="C32" s="103" t="n">
        <f aca="false">SUM(C18:F18)-C31</f>
        <v>0</v>
      </c>
      <c r="Y32" s="65" t="s">
        <v>2773</v>
      </c>
    </row>
    <row r="33" customFormat="false" ht="29.85" hidden="false" customHeight="false" outlineLevel="0" collapsed="false">
      <c r="A33" s="5" t="s">
        <v>2774</v>
      </c>
      <c r="B33" s="62" t="s">
        <v>1670</v>
      </c>
      <c r="C33" s="69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2775</v>
      </c>
      <c r="B34" s="62" t="s">
        <v>1670</v>
      </c>
      <c r="C34" s="69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2776</v>
      </c>
      <c r="B35" s="62" t="s">
        <v>117</v>
      </c>
      <c r="C35" s="74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2777</v>
      </c>
      <c r="B36" s="62" t="s">
        <v>117</v>
      </c>
      <c r="C36" s="74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2778</v>
      </c>
      <c r="B37" s="62" t="s">
        <v>117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2779</v>
      </c>
      <c r="B38" s="62" t="s">
        <v>117</v>
      </c>
      <c r="C38" s="74" t="n">
        <f aca="false">IF(AL_ServeGW="整代不可達","整代不可達",IF(AND(ISNUMBER(AL_ServeGW),AL_GenShareOK&gt;0),AL_ServeGW*IF(C26=1,C18/AL_GenShareOK,0),"SLO 不可達"))</f>
        <v>0.0737506958947424</v>
      </c>
      <c r="D38" s="74" t="n">
        <f aca="false">IF(AL_ServeGW="整代不可達","整代不可達",IF(AND(ISNUMBER(AL_ServeGW),AL_GenShareOK&gt;0),AL_ServeGW*IF(D26=1,D18/AL_GenShareOK,0),"SLO 不可達"))</f>
        <v>0.0491671305964949</v>
      </c>
      <c r="E38" s="74" t="n">
        <f aca="false">IF(AL_ServeGW="整代不可達","整代不可達",IF(AND(ISNUMBER(AL_ServeGW),AL_GenShareOK&gt;0),AL_ServeGW*IF(E26=1,E18/AL_GenShareOK,0),"SLO 不可達"))</f>
        <v>0</v>
      </c>
      <c r="F38" s="74" t="n">
        <f aca="false">IF(AL_ServeGW="整代不可達","整代不可達",IF(AND(ISNUMBER(AL_ServeGW),AL_GenShareOK&gt;0),AL_ServeGW*IF(F26=1,F18/AL_GenShareOK,0),"SLO 不可達"))</f>
        <v>0</v>
      </c>
      <c r="Y38" s="65" t="s">
        <v>2780</v>
      </c>
    </row>
    <row r="39" customFormat="false" ht="15" hidden="false" customHeight="false" outlineLevel="0" collapsed="false">
      <c r="A39" s="5" t="s">
        <v>2781</v>
      </c>
      <c r="B39" s="62" t="s">
        <v>1923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7" t="s">
        <v>2782</v>
      </c>
      <c r="B41" s="71"/>
      <c r="C41" s="71"/>
      <c r="D41" s="71"/>
      <c r="E41" s="71"/>
      <c r="F41" s="71"/>
      <c r="G41" s="71"/>
    </row>
    <row r="42" customFormat="false" ht="15" hidden="false" customHeight="false" outlineLevel="0" collapsed="false">
      <c r="A42" s="5" t="s">
        <v>2783</v>
      </c>
      <c r="B42" s="61" t="s">
        <v>1162</v>
      </c>
      <c r="C42" s="105" t="n">
        <f aca="false">IF_TrainGenDefault</f>
        <v>4</v>
      </c>
    </row>
    <row r="43" customFormat="false" ht="17.15" hidden="false" customHeight="false" outlineLevel="0" collapsed="false">
      <c r="A43" s="6" t="s">
        <v>2784</v>
      </c>
      <c r="B43" s="61" t="s">
        <v>1162</v>
      </c>
      <c r="C43" s="105" t="n">
        <f aca="false">3*(AL_TrainGen-1)+2</f>
        <v>11</v>
      </c>
      <c r="G43" s="76" t="s">
        <v>2785</v>
      </c>
    </row>
    <row r="44" customFormat="false" ht="15" hidden="false" customHeight="false" outlineLevel="0" collapsed="false">
      <c r="A44" s="60" t="s">
        <v>913</v>
      </c>
      <c r="C44" s="10" t="s">
        <v>302</v>
      </c>
      <c r="D44" s="10" t="s">
        <v>303</v>
      </c>
      <c r="E44" s="10" t="s">
        <v>304</v>
      </c>
      <c r="F44" s="60" t="s">
        <v>2786</v>
      </c>
    </row>
    <row r="45" customFormat="false" ht="15" hidden="false" customHeight="false" outlineLevel="0" collapsed="false">
      <c r="A45" s="5" t="s">
        <v>915</v>
      </c>
      <c r="B45" s="61" t="s">
        <v>1162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2787</v>
      </c>
      <c r="B46" s="62" t="s">
        <v>2788</v>
      </c>
      <c r="C46" s="74" t="n">
        <f aca="false">C138</f>
        <v>0.0048031261226561</v>
      </c>
      <c r="D46" s="74" t="n">
        <f aca="false">D138</f>
        <v>0.0146923629397871</v>
      </c>
      <c r="E46" s="74" t="n">
        <f aca="false">E138</f>
        <v>0.0934421135566879</v>
      </c>
      <c r="F46" s="74" t="n">
        <f aca="false">IF(COUNT(C46:E46)=3,SUM(C46:E46),"SLO 不可達")</f>
        <v>0.112937602619131</v>
      </c>
      <c r="G46" s="65" t="s">
        <v>2789</v>
      </c>
    </row>
    <row r="47" customFormat="false" ht="15" hidden="false" customHeight="false" outlineLevel="0" collapsed="false">
      <c r="A47" s="5" t="s">
        <v>2790</v>
      </c>
      <c r="B47" s="62" t="s">
        <v>1292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9" t="n">
        <f aca="false">IF(COUNT(C47:E47)=3,SUM(C47:E47),"SLO 不可達")</f>
        <v>6715266.00380034</v>
      </c>
      <c r="G47" s="59" t="s">
        <v>2791</v>
      </c>
      <c r="Y47" s="65" t="s">
        <v>2792</v>
      </c>
    </row>
    <row r="48" customFormat="false" ht="15" hidden="false" customHeight="false" outlineLevel="0" collapsed="false">
      <c r="A48" s="5" t="s">
        <v>2793</v>
      </c>
      <c r="B48" s="61" t="s">
        <v>926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  <c r="Y48" s="65" t="s">
        <v>2794</v>
      </c>
    </row>
    <row r="49" customFormat="false" ht="44" hidden="false" customHeight="false" outlineLevel="0" collapsed="false">
      <c r="A49" s="5" t="s">
        <v>2795</v>
      </c>
      <c r="B49" s="62" t="s">
        <v>2788</v>
      </c>
      <c r="C49" s="74" t="n">
        <f aca="false">C139</f>
        <v>0.000784115530100258</v>
      </c>
      <c r="D49" s="74" t="n">
        <f aca="false">D139</f>
        <v>0.00279276038679845</v>
      </c>
      <c r="E49" s="74" t="n">
        <f aca="false">E139</f>
        <v>0.0414277177934233</v>
      </c>
      <c r="F49" s="74" t="n">
        <f aca="false">IF(COUNT(C49:E49)=3,SUM(C49:E49),"SLO 不可達")</f>
        <v>0.045004593710322</v>
      </c>
      <c r="G49" s="65" t="s">
        <v>2796</v>
      </c>
    </row>
    <row r="50" customFormat="false" ht="29.85" hidden="false" customHeight="false" outlineLevel="0" collapsed="false">
      <c r="A50" s="5" t="s">
        <v>2797</v>
      </c>
      <c r="B50" s="62" t="s">
        <v>2788</v>
      </c>
      <c r="C50" s="152" t="n">
        <f aca="false">IF(AND(ISNUMBER(AL_FamGWyr),ISNUMBER(AL_RefGWyr)),AL_k*(AL_Nmajor*AL_FamGWyr+AL_Nrefresh*AL_RefGWyr),"SLO 不可達")</f>
        <v>0.202946790039775</v>
      </c>
    </row>
    <row r="51" customFormat="false" ht="15" hidden="false" customHeight="false" outlineLevel="0" collapsed="false">
      <c r="A51" s="5" t="s">
        <v>2798</v>
      </c>
      <c r="B51" s="62" t="s">
        <v>2788</v>
      </c>
      <c r="C51" s="74" t="n">
        <f aca="false">IF(ISNUMBER(AL_RDGW),AL_RDGW*(1+AL_g),"SLO 不可達")</f>
        <v>0.202946790039775</v>
      </c>
      <c r="Y51" s="65" t="s">
        <v>2799</v>
      </c>
    </row>
    <row r="52" customFormat="false" ht="29.85" hidden="false" customHeight="false" outlineLevel="0" collapsed="false">
      <c r="A52" s="5" t="s">
        <v>2800</v>
      </c>
      <c r="B52" s="62" t="s">
        <v>1923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2801</v>
      </c>
      <c r="B53" s="62" t="s">
        <v>2255</v>
      </c>
      <c r="C53" s="107" t="n">
        <f aca="false">IF(ISNUMBER(AL_RDGW),AL_RDGW*AL_HoldTrain,"SLO 不可達")</f>
        <v>1.90653968242434</v>
      </c>
    </row>
    <row r="55" customFormat="false" ht="15" hidden="false" customHeight="false" outlineLevel="0" collapsed="false">
      <c r="A55" s="77" t="s">
        <v>2802</v>
      </c>
      <c r="B55" s="71"/>
      <c r="C55" s="71"/>
      <c r="D55" s="71"/>
      <c r="E55" s="71"/>
      <c r="F55" s="71"/>
      <c r="G55" s="71"/>
    </row>
    <row r="56" customFormat="false" ht="44" hidden="false" customHeight="false" outlineLevel="0" collapsed="false">
      <c r="A56" s="6" t="s">
        <v>2803</v>
      </c>
      <c r="B56" s="62" t="s">
        <v>127</v>
      </c>
      <c r="C56" s="101" t="n">
        <f aca="false">IF(AL_ServeGW="整代不可達","整代不可達",IF(AND(ISNUMBER(AL_ServeGWSpend),ISNUMBER(AL_RDGW)),AL_RDGW/(AL_RDGW+AL_ServeGWSpend),"SLO 不可達"))</f>
        <v>0.184322317309608</v>
      </c>
    </row>
    <row r="57" customFormat="false" ht="58.2" hidden="false" customHeight="false" outlineLevel="0" collapsed="false">
      <c r="A57" s="6" t="s">
        <v>2804</v>
      </c>
      <c r="B57" s="62" t="s">
        <v>127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0.563029812844433</v>
      </c>
    </row>
    <row r="58" customFormat="false" ht="44" hidden="false" customHeight="false" outlineLevel="0" collapsed="false">
      <c r="A58" s="6" t="s">
        <v>2805</v>
      </c>
      <c r="B58" s="62" t="s">
        <v>127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0.184983490208217</v>
      </c>
      <c r="G58" s="65" t="s">
        <v>2806</v>
      </c>
    </row>
    <row r="59" customFormat="false" ht="15" hidden="false" customHeight="false" outlineLevel="0" collapsed="false">
      <c r="A59" s="6" t="s">
        <v>2807</v>
      </c>
      <c r="B59" s="62" t="s">
        <v>127</v>
      </c>
      <c r="C59" s="103" t="n">
        <f aca="false">IF(AL_ServeGW="整代不可達","整代不可達",IF(AND(ISNUMBER(AL_ServeGWSpend),ISNUMBER(AL_RDGWg)),AL_RDGWg/(AL_RDGWg+AL_ServeGWSpend),"SLO 不可達"))</f>
        <v>0.184322317309608</v>
      </c>
      <c r="Y59" s="65" t="s">
        <v>2808</v>
      </c>
    </row>
    <row r="60" customFormat="false" ht="15" hidden="false" customHeight="false" outlineLevel="0" collapsed="false">
      <c r="A60" s="6" t="s">
        <v>2809</v>
      </c>
      <c r="B60" s="62" t="s">
        <v>127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0.184983490208217</v>
      </c>
      <c r="Y60" s="65" t="s">
        <v>2810</v>
      </c>
    </row>
    <row r="61" customFormat="false" ht="15" hidden="false" customHeight="false" outlineLevel="0" collapsed="false">
      <c r="A61" s="6" t="s">
        <v>2811</v>
      </c>
      <c r="B61" s="61"/>
      <c r="C61" s="61" t="s">
        <v>2812</v>
      </c>
      <c r="G61" s="59" t="s">
        <v>2813</v>
      </c>
    </row>
    <row r="63" customFormat="false" ht="15" hidden="false" customHeight="false" outlineLevel="0" collapsed="false">
      <c r="A63" s="77" t="s">
        <v>2814</v>
      </c>
      <c r="B63" s="71"/>
      <c r="C63" s="71"/>
      <c r="D63" s="71"/>
      <c r="E63" s="71"/>
      <c r="F63" s="71"/>
      <c r="G63" s="71"/>
    </row>
    <row r="64" customFormat="false" ht="15" hidden="false" customHeight="false" outlineLevel="0" collapsed="false">
      <c r="A64" s="6" t="s">
        <v>2815</v>
      </c>
      <c r="B64" s="62" t="s">
        <v>127</v>
      </c>
      <c r="C64" s="103" t="n">
        <f aca="false">SRC_DEM_006/(SRC_DEM_004+SRC_DEM_006)</f>
        <v>0.588235294117647</v>
      </c>
      <c r="G64" s="59" t="s">
        <v>2816</v>
      </c>
    </row>
    <row r="65" customFormat="false" ht="29.85" hidden="false" customHeight="false" outlineLevel="0" collapsed="false">
      <c r="A65" s="5" t="s">
        <v>2817</v>
      </c>
      <c r="B65" s="62" t="s">
        <v>117</v>
      </c>
      <c r="C65" s="74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2818</v>
      </c>
      <c r="B66" s="61" t="s">
        <v>370</v>
      </c>
      <c r="C66" s="104" t="n">
        <f aca="false">IF(AL_ImpliedRDGW="整代不可達","整代不可達",IF(AND(ISNUMBER(AL_ImpliedRDGW),ISNUMBER(AL_FamGWyr)),AL_ImpliedRDGW/AL_FamGWyr,"SLO 不可達"))</f>
        <v>11.36020687772</v>
      </c>
    </row>
    <row r="67" customFormat="false" ht="44" hidden="false" customHeight="false" outlineLevel="0" collapsed="false">
      <c r="A67" s="6" t="s">
        <v>2819</v>
      </c>
      <c r="B67" s="62" t="s">
        <v>132</v>
      </c>
      <c r="C67" s="78" t="n">
        <f aca="false">IF(AL_ImpliedNk="整代不可達","整代不可達",IF(AND(ISNUMBER(AL_ImpliedNk),ISNUMBER(AL_RefGWyr),ISNUMBER(AL_FamGWyr)),AL_ImpliedNk/(AL_Nmajor+AL_Nrefresh*AL_RefGWyr/AL_FamGWyr),"SLO 不可達"))</f>
        <v>6.32182716354176</v>
      </c>
      <c r="G67" s="65" t="s">
        <v>2820</v>
      </c>
      <c r="Y67" s="65" t="s">
        <v>2821</v>
      </c>
    </row>
    <row r="69" customFormat="false" ht="15" hidden="false" customHeight="false" outlineLevel="0" collapsed="false">
      <c r="A69" s="77" t="s">
        <v>2822</v>
      </c>
      <c r="B69" s="71"/>
      <c r="C69" s="71"/>
      <c r="D69" s="71"/>
      <c r="E69" s="71"/>
      <c r="F69" s="71"/>
      <c r="G69" s="71"/>
    </row>
    <row r="70" customFormat="false" ht="29.85" hidden="false" customHeight="false" outlineLevel="0" collapsed="false">
      <c r="A70" s="5" t="s">
        <v>2823</v>
      </c>
      <c r="B70" s="62" t="s">
        <v>117</v>
      </c>
      <c r="C70" s="74" t="n">
        <f aca="false">SRC_DEM_004/SUMPRODUCT(AL_ShareGen,AL_HoldGen)</f>
        <v>0.89809617101894</v>
      </c>
      <c r="G70" s="65" t="s">
        <v>2824</v>
      </c>
    </row>
    <row r="71" customFormat="false" ht="29.85" hidden="false" customHeight="false" outlineLevel="0" collapsed="false">
      <c r="A71" s="5" t="s">
        <v>2825</v>
      </c>
      <c r="B71" s="62" t="s">
        <v>117</v>
      </c>
      <c r="C71" s="74" t="n">
        <f aca="false">SRC_DEM_018/SUMPRODUCT(AL_ShareGen,AL_HoldGen)</f>
        <v>1.34714425652841</v>
      </c>
      <c r="G71" s="65" t="s">
        <v>2826</v>
      </c>
      <c r="Y71" s="65" t="s">
        <v>2827</v>
      </c>
    </row>
    <row r="72" customFormat="false" ht="15" hidden="false" customHeight="false" outlineLevel="0" collapsed="false">
      <c r="A72" s="5" t="s">
        <v>2828</v>
      </c>
      <c r="B72" s="62" t="s">
        <v>127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2829</v>
      </c>
      <c r="B73" s="62" t="s">
        <v>127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2830</v>
      </c>
      <c r="B74" s="62" t="s">
        <v>1606</v>
      </c>
      <c r="C74" s="75"/>
    </row>
    <row r="75" customFormat="false" ht="15" hidden="false" customHeight="false" outlineLevel="0" collapsed="false">
      <c r="A75" s="6" t="s">
        <v>2831</v>
      </c>
      <c r="B75" s="62" t="s">
        <v>1606</v>
      </c>
      <c r="C75" s="75"/>
    </row>
    <row r="76" customFormat="false" ht="15" hidden="false" customHeight="false" outlineLevel="0" collapsed="false">
      <c r="A76" s="5" t="s">
        <v>2832</v>
      </c>
      <c r="B76" s="61"/>
      <c r="C76" s="61"/>
    </row>
    <row r="78" customFormat="false" ht="15" hidden="false" customHeight="false" outlineLevel="0" collapsed="false">
      <c r="A78" s="77" t="s">
        <v>2833</v>
      </c>
      <c r="B78" s="71"/>
      <c r="C78" s="71"/>
      <c r="D78" s="71"/>
      <c r="E78" s="71"/>
      <c r="F78" s="71"/>
      <c r="G78" s="71"/>
    </row>
    <row r="79" customFormat="false" ht="15" hidden="false" customHeight="false" outlineLevel="0" collapsed="false">
      <c r="A79" s="65" t="s">
        <v>2834</v>
      </c>
    </row>
    <row r="80" customFormat="false" ht="29.85" hidden="false" customHeight="false" outlineLevel="0" collapsed="false">
      <c r="A80" s="60" t="s">
        <v>1023</v>
      </c>
      <c r="B80" s="60" t="s">
        <v>2835</v>
      </c>
      <c r="C80" s="85" t="s">
        <v>2836</v>
      </c>
      <c r="D80" s="85" t="s">
        <v>2837</v>
      </c>
      <c r="E80" s="85" t="s">
        <v>2838</v>
      </c>
      <c r="F80" s="85" t="s">
        <v>2839</v>
      </c>
      <c r="G80" s="84" t="s">
        <v>2840</v>
      </c>
      <c r="H80" s="84" t="s">
        <v>2841</v>
      </c>
      <c r="I80" s="85" t="s">
        <v>2842</v>
      </c>
      <c r="J80" s="85" t="s">
        <v>2843</v>
      </c>
      <c r="K80" s="85" t="s">
        <v>2844</v>
      </c>
      <c r="L80" s="85" t="s">
        <v>2845</v>
      </c>
      <c r="M80" s="84" t="s">
        <v>2846</v>
      </c>
      <c r="N80" s="84" t="s">
        <v>2847</v>
      </c>
      <c r="O80" s="84" t="s">
        <v>2848</v>
      </c>
      <c r="P80" s="84" t="s">
        <v>2849</v>
      </c>
      <c r="Q80" s="84" t="s">
        <v>2850</v>
      </c>
      <c r="R80" s="84" t="s">
        <v>2851</v>
      </c>
      <c r="S80" s="85" t="s">
        <v>2852</v>
      </c>
      <c r="T80" s="85" t="s">
        <v>2853</v>
      </c>
      <c r="U80" s="84" t="s">
        <v>2854</v>
      </c>
      <c r="V80" s="84" t="s">
        <v>2855</v>
      </c>
      <c r="W80" s="84" t="s">
        <v>2856</v>
      </c>
      <c r="X80" s="84" t="s">
        <v>2857</v>
      </c>
    </row>
    <row r="81" customFormat="false" ht="15" hidden="false" customHeight="false" outlineLevel="0" collapsed="false">
      <c r="A81" s="61" t="s">
        <v>111</v>
      </c>
      <c r="B81" s="62" t="s">
        <v>809</v>
      </c>
      <c r="C81" s="87" t="n">
        <f aca="false">AL_Nmajor</f>
        <v>1</v>
      </c>
      <c r="D81" s="87" t="n">
        <f aca="false">AL_Nrefresh</f>
        <v>2</v>
      </c>
      <c r="E81" s="87" t="n">
        <f aca="false">AL_k</f>
        <v>1</v>
      </c>
      <c r="F81" s="78" t="n">
        <f aca="false">AL_APIratio</f>
        <v>0.75</v>
      </c>
      <c r="G81" s="69" t="n">
        <f aca="false">AL_TokPerPrompt</f>
        <v>4000</v>
      </c>
      <c r="H81" s="86" t="n">
        <f aca="false">AL_FreeShare</f>
        <v>0.6</v>
      </c>
      <c r="I81" s="86" t="n">
        <f aca="false">AL_MixHopper</f>
        <v>0.6</v>
      </c>
      <c r="J81" s="86" t="n">
        <f aca="false">AL_MixGB200</f>
        <v>0.4</v>
      </c>
      <c r="K81" s="86" t="n">
        <f aca="false">AL_MixGB300</f>
        <v>0</v>
      </c>
      <c r="L81" s="86" t="n">
        <f aca="false">AL_MixVR200</f>
        <v>0</v>
      </c>
      <c r="M81" s="69" t="n">
        <f aca="false">SRC_DEM_010*1000000000*525600*F81/1000000+SRC_DEM_012*1000000000*G81*365/1000000*(1-H81)</f>
        <v>3825200000</v>
      </c>
      <c r="N81" s="69" t="n">
        <f aca="false">SRC_DEM_012*1000000000*G81*365/1000000*H81</f>
        <v>2190000000</v>
      </c>
      <c r="O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9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4" t="n">
        <f aca="false">IF(O81="整代不可達","整代不可達",IF(AND(ISNUMBER(O81),ISNUMBER(P81)),IF(AND(O81&gt;0,P81&gt;0),M81/O81+N81/P81,"SLO 不可達"),"SLO 不可達"))</f>
        <v>0.122917826491237</v>
      </c>
      <c r="R81" s="74" t="n">
        <f aca="false">IF(AND(ISNUMBER(AL_FamGWyr),ISNUMBER(AL_RefGWyr)),E81*(C81*AL_FamGWyr+D81*AL_RefGWyr),"SLO 不可達")</f>
        <v>0.202946790039775</v>
      </c>
      <c r="S81" s="103" t="n">
        <f aca="false">IF(W81="整代不可達","整代不可達",IF(AND(ISNUMBER(W81),ISNUMBER(R81)),R81/(R81+W81),"SLO 不可達"))</f>
        <v>0.184322317309608</v>
      </c>
      <c r="T81" s="103" t="n">
        <f aca="false">IF(W81="整代不可達","整代不可達",IF(AND(ISNUMBER(W81),ISNUMBER(R81)),R81*AL_HoldTrain/(R81*AL_HoldTrain+SRC_DEM_004),"SLO 不可達"))</f>
        <v>0.184983490208217</v>
      </c>
      <c r="U81" s="107" t="n">
        <f aca="false">IF(ISNUMBER(R81),R81*AL_HoldTrain,"SLO 不可達")</f>
        <v>1.90653968242434</v>
      </c>
      <c r="V81" s="73" t="n">
        <f aca="false">(M81+N81)/365/1000000</f>
        <v>16.48</v>
      </c>
      <c r="W81" s="74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65" t="s">
        <v>2858</v>
      </c>
    </row>
    <row r="82" customFormat="false" ht="15" hidden="false" customHeight="false" outlineLevel="0" collapsed="false">
      <c r="A82" s="62" t="s">
        <v>2859</v>
      </c>
      <c r="B82" s="62" t="s">
        <v>2836</v>
      </c>
      <c r="C82" s="89" t="n">
        <f aca="false">AL_Nmajor_Lo</f>
        <v>1</v>
      </c>
      <c r="D82" s="87" t="n">
        <f aca="false">AL_Nrefresh</f>
        <v>2</v>
      </c>
      <c r="E82" s="87" t="n">
        <f aca="false">AL_k</f>
        <v>1</v>
      </c>
      <c r="F82" s="78" t="n">
        <f aca="false">AL_APIratio</f>
        <v>0.75</v>
      </c>
      <c r="G82" s="69" t="n">
        <f aca="false">AL_TokPerPrompt</f>
        <v>4000</v>
      </c>
      <c r="H82" s="86" t="n">
        <f aca="false">AL_FreeShare</f>
        <v>0.6</v>
      </c>
      <c r="I82" s="86" t="n">
        <f aca="false">AL_MixHopper</f>
        <v>0.6</v>
      </c>
      <c r="J82" s="86" t="n">
        <f aca="false">AL_MixGB200</f>
        <v>0.4</v>
      </c>
      <c r="K82" s="86" t="n">
        <f aca="false">AL_MixGB300</f>
        <v>0</v>
      </c>
      <c r="L82" s="86" t="n">
        <f aca="false">AL_MixVR200</f>
        <v>0</v>
      </c>
      <c r="M82" s="69" t="n">
        <f aca="false">SRC_DEM_010*1000000000*525600*F82/1000000+SRC_DEM_012*1000000000*G82*365/1000000*(1-H82)</f>
        <v>3825200000</v>
      </c>
      <c r="N82" s="69" t="n">
        <f aca="false">SRC_DEM_012*1000000000*G82*365/1000000*H82</f>
        <v>2190000000</v>
      </c>
      <c r="O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9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4" t="n">
        <f aca="false">IF(O82="整代不可達","整代不可達",IF(AND(ISNUMBER(O82),ISNUMBER(P82)),IF(AND(O82&gt;0,P82&gt;0),M82/O82+N82/P82,"SLO 不可達"),"SLO 不可達"))</f>
        <v>0.122917826491237</v>
      </c>
      <c r="R82" s="74" t="n">
        <f aca="false">IF(AND(ISNUMBER(AL_FamGWyr),ISNUMBER(AL_RefGWyr)),E82*(C82*AL_FamGWyr+D82*AL_RefGWyr),"SLO 不可達")</f>
        <v>0.202946790039775</v>
      </c>
      <c r="S82" s="103" t="n">
        <f aca="false">IF(W82="整代不可達","整代不可達",IF(AND(ISNUMBER(W82),ISNUMBER(R82)),R82/(R82+W82),"SLO 不可達"))</f>
        <v>0.184322317309608</v>
      </c>
      <c r="T82" s="103" t="n">
        <f aca="false">IF(W82="整代不可達","整代不可達",IF(AND(ISNUMBER(W82),ISNUMBER(R82)),R82*AL_HoldTrain/(R82*AL_HoldTrain+SRC_DEM_004),"SLO 不可達"))</f>
        <v>0.184983490208217</v>
      </c>
      <c r="U82" s="107" t="n">
        <f aca="false">IF(ISNUMBER(R82),R82*AL_HoldTrain,"SLO 不可達")</f>
        <v>1.90653968242434</v>
      </c>
      <c r="V82" s="73" t="n">
        <f aca="false">(M82+N82)/365/1000000</f>
        <v>16.48</v>
      </c>
      <c r="W82" s="74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65" t="s">
        <v>2860</v>
      </c>
    </row>
    <row r="83" customFormat="false" ht="15" hidden="false" customHeight="false" outlineLevel="0" collapsed="false">
      <c r="A83" s="62" t="s">
        <v>2861</v>
      </c>
      <c r="B83" s="62" t="s">
        <v>2836</v>
      </c>
      <c r="C83" s="89" t="n">
        <f aca="false">AL_Nmajor_Hi</f>
        <v>2</v>
      </c>
      <c r="D83" s="87" t="n">
        <f aca="false">AL_Nrefresh</f>
        <v>2</v>
      </c>
      <c r="E83" s="87" t="n">
        <f aca="false">AL_k</f>
        <v>1</v>
      </c>
      <c r="F83" s="78" t="n">
        <f aca="false">AL_APIratio</f>
        <v>0.75</v>
      </c>
      <c r="G83" s="69" t="n">
        <f aca="false">AL_TokPerPrompt</f>
        <v>4000</v>
      </c>
      <c r="H83" s="86" t="n">
        <f aca="false">AL_FreeShare</f>
        <v>0.6</v>
      </c>
      <c r="I83" s="86" t="n">
        <f aca="false">AL_MixHopper</f>
        <v>0.6</v>
      </c>
      <c r="J83" s="86" t="n">
        <f aca="false">AL_MixGB200</f>
        <v>0.4</v>
      </c>
      <c r="K83" s="86" t="n">
        <f aca="false">AL_MixGB300</f>
        <v>0</v>
      </c>
      <c r="L83" s="86" t="n">
        <f aca="false">AL_MixVR200</f>
        <v>0</v>
      </c>
      <c r="M83" s="69" t="n">
        <f aca="false">SRC_DEM_010*1000000000*525600*F83/1000000+SRC_DEM_012*1000000000*G83*365/1000000*(1-H83)</f>
        <v>3825200000</v>
      </c>
      <c r="N83" s="69" t="n">
        <f aca="false">SRC_DEM_012*1000000000*G83*365/1000000*H83</f>
        <v>2190000000</v>
      </c>
      <c r="O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9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4" t="n">
        <f aca="false">IF(O83="整代不可達","整代不可達",IF(AND(ISNUMBER(O83),ISNUMBER(P83)),IF(AND(O83&gt;0,P83&gt;0),M83/O83+N83/P83,"SLO 不可達"),"SLO 不可達"))</f>
        <v>0.122917826491237</v>
      </c>
      <c r="R83" s="74" t="n">
        <f aca="false">IF(AND(ISNUMBER(AL_FamGWyr),ISNUMBER(AL_RefGWyr)),E83*(C83*AL_FamGWyr+D83*AL_RefGWyr),"SLO 不可達")</f>
        <v>0.315884392658906</v>
      </c>
      <c r="S83" s="103" t="n">
        <f aca="false">IF(W83="整代不可達","整代不可達",IF(AND(ISNUMBER(W83),ISNUMBER(R83)),R83/(R83+W83),"SLO 不可達"))</f>
        <v>0.26020547783888</v>
      </c>
      <c r="T83" s="103" t="n">
        <f aca="false">IF(W83="整代不可達","整代不可達",IF(AND(ISNUMBER(W83),ISNUMBER(R83)),R83*AL_HoldTrain/(R83*AL_HoldTrain+SRC_DEM_004),"SLO 不可達"))</f>
        <v>0.261051732718114</v>
      </c>
      <c r="U83" s="107" t="n">
        <f aca="false">IF(ISNUMBER(R83),R83*AL_HoldTrain,"SLO 不可達")</f>
        <v>2.96750754000437</v>
      </c>
      <c r="V83" s="73" t="n">
        <f aca="false">(M83+N83)/365/1000000</f>
        <v>16.48</v>
      </c>
      <c r="W83" s="74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65" t="s">
        <v>2862</v>
      </c>
    </row>
    <row r="84" customFormat="false" ht="15" hidden="false" customHeight="false" outlineLevel="0" collapsed="false">
      <c r="A84" s="62" t="s">
        <v>2863</v>
      </c>
      <c r="B84" s="62" t="s">
        <v>2837</v>
      </c>
      <c r="C84" s="87" t="n">
        <f aca="false">AL_Nmajor</f>
        <v>1</v>
      </c>
      <c r="D84" s="89" t="n">
        <f aca="false">AL_Nrefresh_Lo</f>
        <v>0</v>
      </c>
      <c r="E84" s="87" t="n">
        <f aca="false">AL_k</f>
        <v>1</v>
      </c>
      <c r="F84" s="78" t="n">
        <f aca="false">AL_APIratio</f>
        <v>0.75</v>
      </c>
      <c r="G84" s="69" t="n">
        <f aca="false">AL_TokPerPrompt</f>
        <v>4000</v>
      </c>
      <c r="H84" s="86" t="n">
        <f aca="false">AL_FreeShare</f>
        <v>0.6</v>
      </c>
      <c r="I84" s="86" t="n">
        <f aca="false">AL_MixHopper</f>
        <v>0.6</v>
      </c>
      <c r="J84" s="86" t="n">
        <f aca="false">AL_MixGB200</f>
        <v>0.4</v>
      </c>
      <c r="K84" s="86" t="n">
        <f aca="false">AL_MixGB300</f>
        <v>0</v>
      </c>
      <c r="L84" s="86" t="n">
        <f aca="false">AL_MixVR200</f>
        <v>0</v>
      </c>
      <c r="M84" s="69" t="n">
        <f aca="false">SRC_DEM_010*1000000000*525600*F84/1000000+SRC_DEM_012*1000000000*G84*365/1000000*(1-H84)</f>
        <v>3825200000</v>
      </c>
      <c r="N84" s="69" t="n">
        <f aca="false">SRC_DEM_012*1000000000*G84*365/1000000*H84</f>
        <v>2190000000</v>
      </c>
      <c r="O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9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4" t="n">
        <f aca="false">IF(O84="整代不可達","整代不可達",IF(AND(ISNUMBER(O84),ISNUMBER(P84)),IF(AND(O84&gt;0,P84&gt;0),M84/O84+N84/P84,"SLO 不可達"),"SLO 不可達"))</f>
        <v>0.122917826491237</v>
      </c>
      <c r="R84" s="74" t="n">
        <f aca="false">IF(AND(ISNUMBER(AL_FamGWyr),ISNUMBER(AL_RefGWyr)),E84*(C84*AL_FamGWyr+D84*AL_RefGWyr),"SLO 不可達")</f>
        <v>0.112937602619131</v>
      </c>
      <c r="S84" s="103" t="n">
        <f aca="false">IF(W84="整代不可達","整代不可達",IF(AND(ISNUMBER(W84),ISNUMBER(R84)),R84/(R84+W84),"SLO 不可達"))</f>
        <v>0.111705074117099</v>
      </c>
      <c r="T84" s="103" t="n">
        <f aca="false">IF(W84="整代不可達","整代不可達",IF(AND(ISNUMBER(W84),ISNUMBER(R84)),R84*AL_HoldTrain/(R84*AL_HoldTrain+SRC_DEM_004),"SLO 不可達"))</f>
        <v>0.112141577220347</v>
      </c>
      <c r="U84" s="107" t="n">
        <f aca="false">IF(ISNUMBER(R84),R84*AL_HoldTrain,"SLO 不可達")</f>
        <v>1.06096785758003</v>
      </c>
      <c r="V84" s="73" t="n">
        <f aca="false">(M84+N84)/365/1000000</f>
        <v>16.48</v>
      </c>
      <c r="W84" s="74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65" t="s">
        <v>2864</v>
      </c>
    </row>
    <row r="85" customFormat="false" ht="15" hidden="false" customHeight="false" outlineLevel="0" collapsed="false">
      <c r="A85" s="62" t="s">
        <v>2865</v>
      </c>
      <c r="B85" s="62" t="s">
        <v>2837</v>
      </c>
      <c r="C85" s="87" t="n">
        <f aca="false">AL_Nmajor</f>
        <v>1</v>
      </c>
      <c r="D85" s="89" t="n">
        <f aca="false">AL_Nrefresh_Hi</f>
        <v>6</v>
      </c>
      <c r="E85" s="87" t="n">
        <f aca="false">AL_k</f>
        <v>1</v>
      </c>
      <c r="F85" s="78" t="n">
        <f aca="false">AL_APIratio</f>
        <v>0.75</v>
      </c>
      <c r="G85" s="69" t="n">
        <f aca="false">AL_TokPerPrompt</f>
        <v>4000</v>
      </c>
      <c r="H85" s="86" t="n">
        <f aca="false">AL_FreeShare</f>
        <v>0.6</v>
      </c>
      <c r="I85" s="86" t="n">
        <f aca="false">AL_MixHopper</f>
        <v>0.6</v>
      </c>
      <c r="J85" s="86" t="n">
        <f aca="false">AL_MixGB200</f>
        <v>0.4</v>
      </c>
      <c r="K85" s="86" t="n">
        <f aca="false">AL_MixGB300</f>
        <v>0</v>
      </c>
      <c r="L85" s="86" t="n">
        <f aca="false">AL_MixVR200</f>
        <v>0</v>
      </c>
      <c r="M85" s="69" t="n">
        <f aca="false">SRC_DEM_010*1000000000*525600*F85/1000000+SRC_DEM_012*1000000000*G85*365/1000000*(1-H85)</f>
        <v>3825200000</v>
      </c>
      <c r="N85" s="69" t="n">
        <f aca="false">SRC_DEM_012*1000000000*G85*365/1000000*H85</f>
        <v>2190000000</v>
      </c>
      <c r="O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9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4" t="n">
        <f aca="false">IF(O85="整代不可達","整代不可達",IF(AND(ISNUMBER(O85),ISNUMBER(P85)),IF(AND(O85&gt;0,P85&gt;0),M85/O85+N85/P85,"SLO 不可達"),"SLO 不可達"))</f>
        <v>0.122917826491237</v>
      </c>
      <c r="R85" s="74" t="n">
        <f aca="false">IF(AND(ISNUMBER(AL_FamGWyr),ISNUMBER(AL_RefGWyr)),E85*(C85*AL_FamGWyr+D85*AL_RefGWyr),"SLO 不可達")</f>
        <v>0.382965164881063</v>
      </c>
      <c r="S85" s="103" t="n">
        <f aca="false">IF(W85="整代不可達","整代不可達",IF(AND(ISNUMBER(W85),ISNUMBER(R85)),R85/(R85+W85),"SLO 不可達"))</f>
        <v>0.298943660345516</v>
      </c>
      <c r="T85" s="103" t="n">
        <f aca="false">IF(W85="整代不可達","整代不可達",IF(AND(ISNUMBER(W85),ISNUMBER(R85)),R85*AL_HoldTrain/(R85*AL_HoldTrain+SRC_DEM_004),"SLO 不可達"))</f>
        <v>0.299864834945544</v>
      </c>
      <c r="U85" s="107" t="n">
        <f aca="false">IF(ISNUMBER(R85),R85*AL_HoldTrain,"SLO 不可達")</f>
        <v>3.59768333211296</v>
      </c>
      <c r="V85" s="73" t="n">
        <f aca="false">(M85+N85)/365/1000000</f>
        <v>16.48</v>
      </c>
      <c r="W85" s="74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65" t="s">
        <v>2866</v>
      </c>
    </row>
    <row r="86" customFormat="false" ht="15" hidden="false" customHeight="false" outlineLevel="0" collapsed="false">
      <c r="A86" s="62" t="s">
        <v>2867</v>
      </c>
      <c r="B86" s="62" t="s">
        <v>2838</v>
      </c>
      <c r="C86" s="87" t="n">
        <f aca="false">AL_Nmajor</f>
        <v>1</v>
      </c>
      <c r="D86" s="87" t="n">
        <f aca="false">AL_Nrefresh</f>
        <v>2</v>
      </c>
      <c r="E86" s="89" t="n">
        <f aca="false">AL_k_Lo</f>
        <v>0.5</v>
      </c>
      <c r="F86" s="78" t="n">
        <f aca="false">AL_APIratio</f>
        <v>0.75</v>
      </c>
      <c r="G86" s="69" t="n">
        <f aca="false">AL_TokPerPrompt</f>
        <v>4000</v>
      </c>
      <c r="H86" s="86" t="n">
        <f aca="false">AL_FreeShare</f>
        <v>0.6</v>
      </c>
      <c r="I86" s="86" t="n">
        <f aca="false">AL_MixHopper</f>
        <v>0.6</v>
      </c>
      <c r="J86" s="86" t="n">
        <f aca="false">AL_MixGB200</f>
        <v>0.4</v>
      </c>
      <c r="K86" s="86" t="n">
        <f aca="false">AL_MixGB300</f>
        <v>0</v>
      </c>
      <c r="L86" s="86" t="n">
        <f aca="false">AL_MixVR200</f>
        <v>0</v>
      </c>
      <c r="M86" s="69" t="n">
        <f aca="false">SRC_DEM_010*1000000000*525600*F86/1000000+SRC_DEM_012*1000000000*G86*365/1000000*(1-H86)</f>
        <v>3825200000</v>
      </c>
      <c r="N86" s="69" t="n">
        <f aca="false">SRC_DEM_012*1000000000*G86*365/1000000*H86</f>
        <v>2190000000</v>
      </c>
      <c r="O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9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4" t="n">
        <f aca="false">IF(O86="整代不可達","整代不可達",IF(AND(ISNUMBER(O86),ISNUMBER(P86)),IF(AND(O86&gt;0,P86&gt;0),M86/O86+N86/P86,"SLO 不可達"),"SLO 不可達"))</f>
        <v>0.122917826491237</v>
      </c>
      <c r="R86" s="74" t="n">
        <f aca="false">IF(AND(ISNUMBER(AL_FamGWyr),ISNUMBER(AL_RefGWyr)),E86*(C86*AL_FamGWyr+D86*AL_RefGWyr),"SLO 不可達")</f>
        <v>0.101473395019888</v>
      </c>
      <c r="S86" s="103" t="n">
        <f aca="false">IF(W86="整代不可達","整代不可達",IF(AND(ISNUMBER(W86),ISNUMBER(R86)),R86/(R86+W86),"SLO 不可達"))</f>
        <v>0.101517091423676</v>
      </c>
      <c r="T86" s="103" t="n">
        <f aca="false">IF(W86="整代不可達","整代不可達",IF(AND(ISNUMBER(W86),ISNUMBER(R86)),R86*AL_HoldTrain/(R86*AL_HoldTrain+SRC_DEM_004),"SLO 不可達"))</f>
        <v>0.101918351271327</v>
      </c>
      <c r="U86" s="107" t="n">
        <f aca="false">IF(ISNUMBER(R86),R86*AL_HoldTrain,"SLO 不可達")</f>
        <v>0.95326984121217</v>
      </c>
      <c r="V86" s="73" t="n">
        <f aca="false">(M86+N86)/365/1000000</f>
        <v>16.48</v>
      </c>
      <c r="W86" s="74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65" t="s">
        <v>2868</v>
      </c>
    </row>
    <row r="87" customFormat="false" ht="15" hidden="false" customHeight="false" outlineLevel="0" collapsed="false">
      <c r="A87" s="62" t="s">
        <v>2869</v>
      </c>
      <c r="B87" s="62" t="s">
        <v>2838</v>
      </c>
      <c r="C87" s="87" t="n">
        <f aca="false">AL_Nmajor</f>
        <v>1</v>
      </c>
      <c r="D87" s="87" t="n">
        <f aca="false">AL_Nrefresh</f>
        <v>2</v>
      </c>
      <c r="E87" s="89" t="n">
        <f aca="false">AL_k_Hi</f>
        <v>7</v>
      </c>
      <c r="F87" s="78" t="n">
        <f aca="false">AL_APIratio</f>
        <v>0.75</v>
      </c>
      <c r="G87" s="69" t="n">
        <f aca="false">AL_TokPerPrompt</f>
        <v>4000</v>
      </c>
      <c r="H87" s="86" t="n">
        <f aca="false">AL_FreeShare</f>
        <v>0.6</v>
      </c>
      <c r="I87" s="86" t="n">
        <f aca="false">AL_MixHopper</f>
        <v>0.6</v>
      </c>
      <c r="J87" s="86" t="n">
        <f aca="false">AL_MixGB200</f>
        <v>0.4</v>
      </c>
      <c r="K87" s="86" t="n">
        <f aca="false">AL_MixGB300</f>
        <v>0</v>
      </c>
      <c r="L87" s="86" t="n">
        <f aca="false">AL_MixVR200</f>
        <v>0</v>
      </c>
      <c r="M87" s="69" t="n">
        <f aca="false">SRC_DEM_010*1000000000*525600*F87/1000000+SRC_DEM_012*1000000000*G87*365/1000000*(1-H87)</f>
        <v>3825200000</v>
      </c>
      <c r="N87" s="69" t="n">
        <f aca="false">SRC_DEM_012*1000000000*G87*365/1000000*H87</f>
        <v>2190000000</v>
      </c>
      <c r="O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9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4" t="n">
        <f aca="false">IF(O87="整代不可達","整代不可達",IF(AND(ISNUMBER(O87),ISNUMBER(P87)),IF(AND(O87&gt;0,P87&gt;0),M87/O87+N87/P87,"SLO 不可達"),"SLO 不可達"))</f>
        <v>0.122917826491237</v>
      </c>
      <c r="R87" s="74" t="n">
        <f aca="false">IF(AND(ISNUMBER(AL_FamGWyr),ISNUMBER(AL_RefGWyr)),E87*(C87*AL_FamGWyr+D87*AL_RefGWyr),"SLO 不可達")</f>
        <v>1.42062753027843</v>
      </c>
      <c r="S87" s="103" t="n">
        <f aca="false">IF(W87="整代不可達","整代不可達",IF(AND(ISNUMBER(W87),ISNUMBER(R87)),R87/(R87+W87),"SLO 不可達"))</f>
        <v>0.61267650366603</v>
      </c>
      <c r="T87" s="103" t="n">
        <f aca="false">IF(W87="整代不可達","整代不可達",IF(AND(ISNUMBER(W87),ISNUMBER(R87)),R87*AL_HoldTrain/(R87*AL_HoldTrain+SRC_DEM_004),"SLO 不可達"))</f>
        <v>0.613718116401616</v>
      </c>
      <c r="U87" s="107" t="n">
        <f aca="false">IF(ISNUMBER(R87),R87*AL_HoldTrain,"SLO 不可達")</f>
        <v>13.3457777769704</v>
      </c>
      <c r="V87" s="73" t="n">
        <f aca="false">(M87+N87)/365/1000000</f>
        <v>16.48</v>
      </c>
      <c r="W87" s="74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65" t="s">
        <v>2870</v>
      </c>
    </row>
    <row r="88" customFormat="false" ht="15" hidden="false" customHeight="false" outlineLevel="0" collapsed="false">
      <c r="A88" s="61" t="s">
        <v>2871</v>
      </c>
      <c r="B88" s="61" t="s">
        <v>2702</v>
      </c>
      <c r="C88" s="87" t="n">
        <f aca="false">AL_Nmajor</f>
        <v>1</v>
      </c>
      <c r="D88" s="87" t="n">
        <f aca="false">AL_Nrefresh</f>
        <v>2</v>
      </c>
      <c r="E88" s="87" t="n">
        <f aca="false">AL_k</f>
        <v>1</v>
      </c>
      <c r="F88" s="78" t="n">
        <f aca="false">AL_APIratio</f>
        <v>0.75</v>
      </c>
      <c r="G88" s="72" t="n">
        <f aca="false">AL_TokPerPrompt_Lo</f>
        <v>2000</v>
      </c>
      <c r="H88" s="86" t="n">
        <f aca="false">AL_FreeShare</f>
        <v>0.6</v>
      </c>
      <c r="I88" s="86" t="n">
        <f aca="false">AL_MixHopper</f>
        <v>0.6</v>
      </c>
      <c r="J88" s="86" t="n">
        <f aca="false">AL_MixGB200</f>
        <v>0.4</v>
      </c>
      <c r="K88" s="86" t="n">
        <f aca="false">AL_MixGB300</f>
        <v>0</v>
      </c>
      <c r="L88" s="86" t="n">
        <f aca="false">AL_MixVR200</f>
        <v>0</v>
      </c>
      <c r="M88" s="69" t="n">
        <f aca="false">SRC_DEM_010*1000000000*525600*F88/1000000+SRC_DEM_012*1000000000*G88*365/1000000*(1-H88)</f>
        <v>3095200000</v>
      </c>
      <c r="N88" s="69" t="n">
        <f aca="false">SRC_DEM_012*1000000000*G88*365/1000000*H88</f>
        <v>1095000000</v>
      </c>
      <c r="O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9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4" t="n">
        <f aca="false">IF(O88="整代不可達","整代不可達",IF(AND(ISNUMBER(O88),ISNUMBER(P88)),IF(AND(O88&gt;0,P88&gt;0),M88/O88+N88/P88,"SLO 不可達"),"SLO 不可達"))</f>
        <v>0.0942054000187996</v>
      </c>
      <c r="R88" s="74" t="n">
        <f aca="false">IF(AND(ISNUMBER(AL_FamGWyr),ISNUMBER(AL_RefGWyr)),E88*(C88*AL_FamGWyr+D88*AL_RefGWyr),"SLO 不可達")</f>
        <v>0.202946790039775</v>
      </c>
      <c r="S88" s="103" t="n">
        <f aca="false">IF(W88="整代不可達","整代不可達",IF(AND(ISNUMBER(W88),ISNUMBER(R88)),R88/(R88+W88),"SLO 不可達"))</f>
        <v>0.184322317309608</v>
      </c>
      <c r="T88" s="103" t="n">
        <f aca="false">IF(W88="整代不可達","整代不可達",IF(AND(ISNUMBER(W88),ISNUMBER(R88)),R88*AL_HoldTrain/(R88*AL_HoldTrain+SRC_DEM_004),"SLO 不可達"))</f>
        <v>0.184983490208217</v>
      </c>
      <c r="U88" s="107" t="n">
        <f aca="false">IF(ISNUMBER(R88),R88*AL_HoldTrain,"SLO 不可達")</f>
        <v>1.90653968242434</v>
      </c>
      <c r="V88" s="73" t="n">
        <f aca="false">(M88+N88)/365/1000000</f>
        <v>11.48</v>
      </c>
      <c r="W88" s="74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65" t="s">
        <v>2872</v>
      </c>
    </row>
    <row r="89" customFormat="false" ht="15" hidden="false" customHeight="false" outlineLevel="0" collapsed="false">
      <c r="A89" s="61" t="s">
        <v>2873</v>
      </c>
      <c r="B89" s="61" t="s">
        <v>2702</v>
      </c>
      <c r="C89" s="87" t="n">
        <f aca="false">AL_Nmajor</f>
        <v>1</v>
      </c>
      <c r="D89" s="87" t="n">
        <f aca="false">AL_Nrefresh</f>
        <v>2</v>
      </c>
      <c r="E89" s="87" t="n">
        <f aca="false">AL_k</f>
        <v>1</v>
      </c>
      <c r="F89" s="78" t="n">
        <f aca="false">AL_APIratio</f>
        <v>0.75</v>
      </c>
      <c r="G89" s="72" t="n">
        <f aca="false">AL_TokPerPrompt_Hi</f>
        <v>11000</v>
      </c>
      <c r="H89" s="86" t="n">
        <f aca="false">AL_FreeShare</f>
        <v>0.6</v>
      </c>
      <c r="I89" s="86" t="n">
        <f aca="false">AL_MixHopper</f>
        <v>0.6</v>
      </c>
      <c r="J89" s="86" t="n">
        <f aca="false">AL_MixGB200</f>
        <v>0.4</v>
      </c>
      <c r="K89" s="86" t="n">
        <f aca="false">AL_MixGB300</f>
        <v>0</v>
      </c>
      <c r="L89" s="86" t="n">
        <f aca="false">AL_MixVR200</f>
        <v>0</v>
      </c>
      <c r="M89" s="69" t="n">
        <f aca="false">SRC_DEM_010*1000000000*525600*F89/1000000+SRC_DEM_012*1000000000*G89*365/1000000*(1-H89)</f>
        <v>6380200000</v>
      </c>
      <c r="N89" s="69" t="n">
        <f aca="false">SRC_DEM_012*1000000000*G89*365/1000000*H89</f>
        <v>6022500000</v>
      </c>
      <c r="O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9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4" t="n">
        <f aca="false">IF(O89="整代不可達","整代不可達",IF(AND(ISNUMBER(O89),ISNUMBER(P89)),IF(AND(O89&gt;0,P89&gt;0),M89/O89+N89/P89,"SLO 不可達"),"SLO 不可達"))</f>
        <v>0.223411319144769</v>
      </c>
      <c r="R89" s="74" t="n">
        <f aca="false">IF(AND(ISNUMBER(AL_FamGWyr),ISNUMBER(AL_RefGWyr)),E89*(C89*AL_FamGWyr+D89*AL_RefGWyr),"SLO 不可達")</f>
        <v>0.202946790039775</v>
      </c>
      <c r="S89" s="103" t="n">
        <f aca="false">IF(W89="整代不可達","整代不可達",IF(AND(ISNUMBER(W89),ISNUMBER(R89)),R89/(R89+W89),"SLO 不可達"))</f>
        <v>0.184322317309608</v>
      </c>
      <c r="T89" s="103" t="n">
        <f aca="false">IF(W89="整代不可達","整代不可達",IF(AND(ISNUMBER(W89),ISNUMBER(R89)),R89*AL_HoldTrain/(R89*AL_HoldTrain+SRC_DEM_004),"SLO 不可達"))</f>
        <v>0.184983490208217</v>
      </c>
      <c r="U89" s="107" t="n">
        <f aca="false">IF(ISNUMBER(R89),R89*AL_HoldTrain,"SLO 不可達")</f>
        <v>1.90653968242434</v>
      </c>
      <c r="V89" s="73" t="n">
        <f aca="false">(M89+N89)/365/1000000</f>
        <v>33.98</v>
      </c>
      <c r="W89" s="74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65" t="s">
        <v>2874</v>
      </c>
    </row>
    <row r="90" customFormat="false" ht="15" hidden="false" customHeight="false" outlineLevel="0" collapsed="false">
      <c r="A90" s="62" t="s">
        <v>2875</v>
      </c>
      <c r="B90" s="62" t="s">
        <v>2876</v>
      </c>
      <c r="C90" s="87" t="n">
        <f aca="false">AL_Nmajor</f>
        <v>1</v>
      </c>
      <c r="D90" s="87" t="n">
        <f aca="false">AL_Nrefresh</f>
        <v>2</v>
      </c>
      <c r="E90" s="87" t="n">
        <f aca="false">AL_k</f>
        <v>1</v>
      </c>
      <c r="F90" s="104" t="n">
        <f aca="false">AL_APIratio_Lo</f>
        <v>0.6</v>
      </c>
      <c r="G90" s="69" t="n">
        <f aca="false">AL_TokPerPrompt</f>
        <v>4000</v>
      </c>
      <c r="H90" s="86" t="n">
        <f aca="false">AL_FreeShare</f>
        <v>0.6</v>
      </c>
      <c r="I90" s="86" t="n">
        <f aca="false">AL_MixHopper</f>
        <v>0.6</v>
      </c>
      <c r="J90" s="86" t="n">
        <f aca="false">AL_MixGB200</f>
        <v>0.4</v>
      </c>
      <c r="K90" s="86" t="n">
        <f aca="false">AL_MixGB300</f>
        <v>0</v>
      </c>
      <c r="L90" s="86" t="n">
        <f aca="false">AL_MixVR200</f>
        <v>0</v>
      </c>
      <c r="M90" s="69" t="n">
        <f aca="false">SRC_DEM_010*1000000000*525600*F90/1000000+SRC_DEM_012*1000000000*G90*365/1000000*(1-H90)</f>
        <v>3352160000</v>
      </c>
      <c r="N90" s="69" t="n">
        <f aca="false">SRC_DEM_012*1000000000*G90*365/1000000*H90</f>
        <v>2190000000</v>
      </c>
      <c r="O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9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4" t="n">
        <f aca="false">IF(O90="整代不可達","整代不可達",IF(AND(ISNUMBER(O90),ISNUMBER(P90)),IF(AND(O90&gt;0,P90&gt;0),M90/O90+N90/P90,"SLO 不可達"),"SLO 不可達"))</f>
        <v>0.109819231781965</v>
      </c>
      <c r="R90" s="74" t="n">
        <f aca="false">IF(AND(ISNUMBER(AL_FamGWyr),ISNUMBER(AL_RefGWyr)),E90*(C90*AL_FamGWyr+D90*AL_RefGWyr),"SLO 不可達")</f>
        <v>0.202946790039775</v>
      </c>
      <c r="S90" s="103" t="n">
        <f aca="false">IF(W90="整代不可達","整代不可達",IF(AND(ISNUMBER(W90),ISNUMBER(R90)),R90/(R90+W90),"SLO 不可達"))</f>
        <v>0.184322317309608</v>
      </c>
      <c r="T90" s="103" t="n">
        <f aca="false">IF(W90="整代不可達","整代不可達",IF(AND(ISNUMBER(W90),ISNUMBER(R90)),R90*AL_HoldTrain/(R90*AL_HoldTrain+SRC_DEM_004),"SLO 不可達"))</f>
        <v>0.184983490208217</v>
      </c>
      <c r="U90" s="107" t="n">
        <f aca="false">IF(ISNUMBER(R90),R90*AL_HoldTrain,"SLO 不可達")</f>
        <v>1.90653968242434</v>
      </c>
      <c r="V90" s="73" t="n">
        <f aca="false">(M90+N90)/365/1000000</f>
        <v>15.184</v>
      </c>
      <c r="W90" s="74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65" t="s">
        <v>2877</v>
      </c>
    </row>
    <row r="91" customFormat="false" ht="15" hidden="false" customHeight="false" outlineLevel="0" collapsed="false">
      <c r="A91" s="62" t="s">
        <v>2878</v>
      </c>
      <c r="B91" s="62" t="s">
        <v>2876</v>
      </c>
      <c r="C91" s="87" t="n">
        <f aca="false">AL_Nmajor</f>
        <v>1</v>
      </c>
      <c r="D91" s="87" t="n">
        <f aca="false">AL_Nrefresh</f>
        <v>2</v>
      </c>
      <c r="E91" s="87" t="n">
        <f aca="false">AL_k</f>
        <v>1</v>
      </c>
      <c r="F91" s="104" t="n">
        <f aca="false">AL_APIratio_Hi</f>
        <v>0.9</v>
      </c>
      <c r="G91" s="69" t="n">
        <f aca="false">AL_TokPerPrompt</f>
        <v>4000</v>
      </c>
      <c r="H91" s="86" t="n">
        <f aca="false">AL_FreeShare</f>
        <v>0.6</v>
      </c>
      <c r="I91" s="86" t="n">
        <f aca="false">AL_MixHopper</f>
        <v>0.6</v>
      </c>
      <c r="J91" s="86" t="n">
        <f aca="false">AL_MixGB200</f>
        <v>0.4</v>
      </c>
      <c r="K91" s="86" t="n">
        <f aca="false">AL_MixGB300</f>
        <v>0</v>
      </c>
      <c r="L91" s="86" t="n">
        <f aca="false">AL_MixVR200</f>
        <v>0</v>
      </c>
      <c r="M91" s="69" t="n">
        <f aca="false">SRC_DEM_010*1000000000*525600*F91/1000000+SRC_DEM_012*1000000000*G91*365/1000000*(1-H91)</f>
        <v>4298240000</v>
      </c>
      <c r="N91" s="69" t="n">
        <f aca="false">SRC_DEM_012*1000000000*G91*365/1000000*H91</f>
        <v>2190000000</v>
      </c>
      <c r="O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9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4" t="n">
        <f aca="false">IF(O91="整代不可達","整代不可達",IF(AND(ISNUMBER(O91),ISNUMBER(P91)),IF(AND(O91&gt;0,P91&gt;0),M91/O91+N91/P91,"SLO 不可達"),"SLO 不可達"))</f>
        <v>0.13601642120051</v>
      </c>
      <c r="R91" s="74" t="n">
        <f aca="false">IF(AND(ISNUMBER(AL_FamGWyr),ISNUMBER(AL_RefGWyr)),E91*(C91*AL_FamGWyr+D91*AL_RefGWyr),"SLO 不可達")</f>
        <v>0.202946790039775</v>
      </c>
      <c r="S91" s="103" t="n">
        <f aca="false">IF(W91="整代不可達","整代不可達",IF(AND(ISNUMBER(W91),ISNUMBER(R91)),R91/(R91+W91),"SLO 不可達"))</f>
        <v>0.184322317309608</v>
      </c>
      <c r="T91" s="103" t="n">
        <f aca="false">IF(W91="整代不可達","整代不可達",IF(AND(ISNUMBER(W91),ISNUMBER(R91)),R91*AL_HoldTrain/(R91*AL_HoldTrain+SRC_DEM_004),"SLO 不可達"))</f>
        <v>0.184983490208217</v>
      </c>
      <c r="U91" s="107" t="n">
        <f aca="false">IF(ISNUMBER(R91),R91*AL_HoldTrain,"SLO 不可達")</f>
        <v>1.90653968242434</v>
      </c>
      <c r="V91" s="73" t="n">
        <f aca="false">(M91+N91)/365/1000000</f>
        <v>17.776</v>
      </c>
      <c r="W91" s="74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65" t="s">
        <v>2879</v>
      </c>
    </row>
    <row r="92" customFormat="false" ht="15" hidden="false" customHeight="false" outlineLevel="0" collapsed="false">
      <c r="A92" s="61" t="s">
        <v>2880</v>
      </c>
      <c r="B92" s="61" t="s">
        <v>2841</v>
      </c>
      <c r="C92" s="87" t="n">
        <f aca="false">AL_Nmajor</f>
        <v>1</v>
      </c>
      <c r="D92" s="87" t="n">
        <f aca="false">AL_Nrefresh</f>
        <v>2</v>
      </c>
      <c r="E92" s="87" t="n">
        <f aca="false">AL_k</f>
        <v>1</v>
      </c>
      <c r="F92" s="78" t="n">
        <f aca="false">AL_APIratio</f>
        <v>0.75</v>
      </c>
      <c r="G92" s="69" t="n">
        <f aca="false">AL_TokPerPrompt</f>
        <v>4000</v>
      </c>
      <c r="H92" s="117" t="n">
        <f aca="false">AL_FreeShare_Lo</f>
        <v>0.4</v>
      </c>
      <c r="I92" s="86" t="n">
        <f aca="false">AL_MixHopper</f>
        <v>0.6</v>
      </c>
      <c r="J92" s="86" t="n">
        <f aca="false">AL_MixGB200</f>
        <v>0.4</v>
      </c>
      <c r="K92" s="86" t="n">
        <f aca="false">AL_MixGB300</f>
        <v>0</v>
      </c>
      <c r="L92" s="86" t="n">
        <f aca="false">AL_MixVR200</f>
        <v>0</v>
      </c>
      <c r="M92" s="69" t="n">
        <f aca="false">SRC_DEM_010*1000000000*525600*F92/1000000+SRC_DEM_012*1000000000*G92*365/1000000*(1-H92)</f>
        <v>4555200000</v>
      </c>
      <c r="N92" s="69" t="n">
        <f aca="false">SRC_DEM_012*1000000000*G92*365/1000000*H92</f>
        <v>1460000000</v>
      </c>
      <c r="O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9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4" t="n">
        <f aca="false">IF(O92="整代不可達","整代不可達",IF(AND(ISNUMBER(O92),ISNUMBER(P92)),IF(AND(O92&gt;0,P92&gt;0),M92/O92+N92/P92,"SLO 不可達"),"SLO 不可達"))</f>
        <v>0.137466010049922</v>
      </c>
      <c r="R92" s="74" t="n">
        <f aca="false">IF(AND(ISNUMBER(AL_FamGWyr),ISNUMBER(AL_RefGWyr)),E92*(C92*AL_FamGWyr+D92*AL_RefGWyr),"SLO 不可達")</f>
        <v>0.202946790039775</v>
      </c>
      <c r="S92" s="103" t="n">
        <f aca="false">IF(W92="整代不可達","整代不可達",IF(AND(ISNUMBER(W92),ISNUMBER(R92)),R92/(R92+W92),"SLO 不可達"))</f>
        <v>0.184322317309608</v>
      </c>
      <c r="T92" s="103" t="n">
        <f aca="false">IF(W92="整代不可達","整代不可達",IF(AND(ISNUMBER(W92),ISNUMBER(R92)),R92*AL_HoldTrain/(R92*AL_HoldTrain+SRC_DEM_004),"SLO 不可達"))</f>
        <v>0.184983490208217</v>
      </c>
      <c r="U92" s="107" t="n">
        <f aca="false">IF(ISNUMBER(R92),R92*AL_HoldTrain,"SLO 不可達")</f>
        <v>1.90653968242434</v>
      </c>
      <c r="V92" s="73" t="n">
        <f aca="false">(M92+N92)/365/1000000</f>
        <v>16.48</v>
      </c>
      <c r="W92" s="74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65" t="s">
        <v>2881</v>
      </c>
    </row>
    <row r="93" customFormat="false" ht="15" hidden="false" customHeight="false" outlineLevel="0" collapsed="false">
      <c r="A93" s="61" t="s">
        <v>2882</v>
      </c>
      <c r="B93" s="61" t="s">
        <v>2841</v>
      </c>
      <c r="C93" s="87" t="n">
        <f aca="false">AL_Nmajor</f>
        <v>1</v>
      </c>
      <c r="D93" s="87" t="n">
        <f aca="false">AL_Nrefresh</f>
        <v>2</v>
      </c>
      <c r="E93" s="87" t="n">
        <f aca="false">AL_k</f>
        <v>1</v>
      </c>
      <c r="F93" s="78" t="n">
        <f aca="false">AL_APIratio</f>
        <v>0.75</v>
      </c>
      <c r="G93" s="69" t="n">
        <f aca="false">AL_TokPerPrompt</f>
        <v>4000</v>
      </c>
      <c r="H93" s="117" t="n">
        <f aca="false">AL_FreeShare_Hi</f>
        <v>0.8</v>
      </c>
      <c r="I93" s="86" t="n">
        <f aca="false">AL_MixHopper</f>
        <v>0.6</v>
      </c>
      <c r="J93" s="86" t="n">
        <f aca="false">AL_MixGB200</f>
        <v>0.4</v>
      </c>
      <c r="K93" s="86" t="n">
        <f aca="false">AL_MixGB300</f>
        <v>0</v>
      </c>
      <c r="L93" s="86" t="n">
        <f aca="false">AL_MixVR200</f>
        <v>0</v>
      </c>
      <c r="M93" s="69" t="n">
        <f aca="false">SRC_DEM_010*1000000000*525600*F93/1000000+SRC_DEM_012*1000000000*G93*365/1000000*(1-H93)</f>
        <v>3095200000</v>
      </c>
      <c r="N93" s="69" t="n">
        <f aca="false">SRC_DEM_012*1000000000*G93*365/1000000*H93</f>
        <v>2920000000</v>
      </c>
      <c r="O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9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4" t="n">
        <f aca="false">IF(O93="整代不可達","整代不可達",IF(AND(ISNUMBER(O93),ISNUMBER(P93)),IF(AND(O93&gt;0,P93&gt;0),M93/O93+N93/P93,"SLO 不可達"),"SLO 不可達"))</f>
        <v>0.108369642932553</v>
      </c>
      <c r="R93" s="74" t="n">
        <f aca="false">IF(AND(ISNUMBER(AL_FamGWyr),ISNUMBER(AL_RefGWyr)),E93*(C93*AL_FamGWyr+D93*AL_RefGWyr),"SLO 不可達")</f>
        <v>0.202946790039775</v>
      </c>
      <c r="S93" s="103" t="n">
        <f aca="false">IF(W93="整代不可達","整代不可達",IF(AND(ISNUMBER(W93),ISNUMBER(R93)),R93/(R93+W93),"SLO 不可達"))</f>
        <v>0.184322317309608</v>
      </c>
      <c r="T93" s="103" t="n">
        <f aca="false">IF(W93="整代不可達","整代不可達",IF(AND(ISNUMBER(W93),ISNUMBER(R93)),R93*AL_HoldTrain/(R93*AL_HoldTrain+SRC_DEM_004),"SLO 不可達"))</f>
        <v>0.184983490208217</v>
      </c>
      <c r="U93" s="107" t="n">
        <f aca="false">IF(ISNUMBER(R93),R93*AL_HoldTrain,"SLO 不可達")</f>
        <v>1.90653968242434</v>
      </c>
      <c r="V93" s="73" t="n">
        <f aca="false">(M93+N93)/365/1000000</f>
        <v>16.48</v>
      </c>
      <c r="W93" s="74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65" t="s">
        <v>2883</v>
      </c>
    </row>
    <row r="94" customFormat="false" ht="15" hidden="false" customHeight="false" outlineLevel="0" collapsed="false">
      <c r="A94" s="61" t="s">
        <v>2884</v>
      </c>
      <c r="B94" s="61" t="s">
        <v>2885</v>
      </c>
      <c r="C94" s="87" t="n">
        <f aca="false">AL_Nmajor</f>
        <v>1</v>
      </c>
      <c r="D94" s="87" t="n">
        <f aca="false">AL_Nrefresh</f>
        <v>2</v>
      </c>
      <c r="E94" s="87" t="n">
        <f aca="false">AL_k</f>
        <v>1</v>
      </c>
      <c r="F94" s="78" t="n">
        <f aca="false">AL_APIratio</f>
        <v>0.75</v>
      </c>
      <c r="G94" s="69" t="n">
        <f aca="false">AL_TokPerPrompt</f>
        <v>4000</v>
      </c>
      <c r="H94" s="86" t="n">
        <f aca="false">AL_FreeShare</f>
        <v>0.6</v>
      </c>
      <c r="I94" s="177" t="n">
        <v>0</v>
      </c>
      <c r="J94" s="177" t="n">
        <v>1</v>
      </c>
      <c r="K94" s="177" t="n">
        <v>0</v>
      </c>
      <c r="L94" s="177" t="n">
        <v>0</v>
      </c>
      <c r="M94" s="69" t="n">
        <f aca="false">SRC_DEM_010*1000000000*525600*F94/1000000+SRC_DEM_012*1000000000*G94*365/1000000*(1-H94)</f>
        <v>3825200000</v>
      </c>
      <c r="N94" s="69" t="n">
        <f aca="false">SRC_DEM_012*1000000000*G94*365/1000000*H94</f>
        <v>2190000000</v>
      </c>
      <c r="O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9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4" t="n">
        <f aca="false">IF(O94="整代不可達","整代不可達",IF(AND(ISNUMBER(O94),ISNUMBER(P94)),IF(AND(O94&gt;0,P94&gt;0),M94/O94+N94/P94,"SLO 不可達"),"SLO 不可達"))</f>
        <v>0.0660457926521718</v>
      </c>
      <c r="R94" s="74" t="n">
        <f aca="false">IF(AND(ISNUMBER(AL_FamGWyr),ISNUMBER(AL_RefGWyr)),E94*(C94*AL_FamGWyr+D94*AL_RefGWyr),"SLO 不可達")</f>
        <v>0.202946790039775</v>
      </c>
      <c r="S94" s="103" t="n">
        <f aca="false">IF(W94="整代不可達","整代不可達",IF(AND(ISNUMBER(W94),ISNUMBER(R94)),R94/(R94+W94),"SLO 不可達"))</f>
        <v>0.175795699335341</v>
      </c>
      <c r="T94" s="103" t="n">
        <f aca="false">IF(W94="整代不可達","整代不可達",IF(AND(ISNUMBER(W94),ISNUMBER(R94)),R94*AL_HoldTrain/(R94*AL_HoldTrain+SRC_DEM_004),"SLO 不可達"))</f>
        <v>0.184983490208217</v>
      </c>
      <c r="U94" s="107" t="n">
        <f aca="false">IF(ISNUMBER(R94),R94*AL_HoldTrain,"SLO 不可達")</f>
        <v>1.90653968242434</v>
      </c>
      <c r="V94" s="73" t="n">
        <f aca="false">(M94+N94)/365/1000000</f>
        <v>16.48</v>
      </c>
      <c r="W94" s="74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65" t="s">
        <v>2886</v>
      </c>
    </row>
    <row r="95" customFormat="false" ht="15" hidden="false" customHeight="false" outlineLevel="0" collapsed="false">
      <c r="A95" s="61" t="s">
        <v>2887</v>
      </c>
      <c r="B95" s="61" t="s">
        <v>2885</v>
      </c>
      <c r="C95" s="87" t="n">
        <f aca="false">AL_Nmajor</f>
        <v>1</v>
      </c>
      <c r="D95" s="87" t="n">
        <f aca="false">AL_Nrefresh</f>
        <v>2</v>
      </c>
      <c r="E95" s="87" t="n">
        <f aca="false">AL_k</f>
        <v>1</v>
      </c>
      <c r="F95" s="78" t="n">
        <f aca="false">AL_APIratio</f>
        <v>0.75</v>
      </c>
      <c r="G95" s="69" t="n">
        <f aca="false">AL_TokPerPrompt</f>
        <v>4000</v>
      </c>
      <c r="H95" s="86" t="n">
        <f aca="false">AL_FreeShare</f>
        <v>0.6</v>
      </c>
      <c r="I95" s="177" t="n">
        <v>0</v>
      </c>
      <c r="J95" s="177" t="n">
        <v>0</v>
      </c>
      <c r="K95" s="177" t="n">
        <v>0</v>
      </c>
      <c r="L95" s="177" t="n">
        <v>1</v>
      </c>
      <c r="M95" s="69" t="n">
        <f aca="false">SRC_DEM_010*1000000000*525600*F95/1000000+SRC_DEM_012*1000000000*G95*365/1000000*(1-H95)</f>
        <v>3825200000</v>
      </c>
      <c r="N95" s="69" t="n">
        <f aca="false">SRC_DEM_012*1000000000*G95*365/1000000*H95</f>
        <v>2190000000</v>
      </c>
      <c r="O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9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4" t="n">
        <f aca="false">IF(O95="整代不可達","整代不可達",IF(AND(ISNUMBER(O95),ISNUMBER(P95)),IF(AND(O95&gt;0,P95&gt;0),M95/O95+N95/P95,"SLO 不可達"),"SLO 不可達"))</f>
        <v>0.0294661996710384</v>
      </c>
      <c r="R95" s="74" t="n">
        <f aca="false">IF(AND(ISNUMBER(AL_FamGWyr),ISNUMBER(AL_RefGWyr)),E95*(C95*AL_FamGWyr+D95*AL_RefGWyr),"SLO 不可達")</f>
        <v>0.202946790039775</v>
      </c>
      <c r="S95" s="103" t="n">
        <f aca="false">IF(W95="整代不可達","整代不可達",IF(AND(ISNUMBER(W95),ISNUMBER(R95)),R95/(R95+W95),"SLO 不可達"))</f>
        <v>0.228020651822865</v>
      </c>
      <c r="T95" s="103" t="n">
        <f aca="false">IF(W95="整代不可達","整代不可達",IF(AND(ISNUMBER(W95),ISNUMBER(R95)),R95*AL_HoldTrain/(R95*AL_HoldTrain+SRC_DEM_004),"SLO 不可達"))</f>
        <v>0.184983490208217</v>
      </c>
      <c r="U95" s="107" t="n">
        <f aca="false">IF(ISNUMBER(R95),R95*AL_HoldTrain,"SLO 不可達")</f>
        <v>1.90653968242434</v>
      </c>
      <c r="V95" s="73" t="n">
        <f aca="false">(M95+N95)/365/1000000</f>
        <v>16.48</v>
      </c>
      <c r="W95" s="74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65" t="s">
        <v>2888</v>
      </c>
    </row>
    <row r="97" customFormat="false" ht="15" hidden="false" customHeight="false" outlineLevel="0" collapsed="false">
      <c r="A97" s="65" t="s">
        <v>2889</v>
      </c>
      <c r="B97" s="59" t="s">
        <v>809</v>
      </c>
      <c r="C97" s="87" t="n">
        <f aca="false">AL_Nmajor</f>
        <v>1</v>
      </c>
      <c r="D97" s="87" t="n">
        <f aca="false">AL_Nrefresh</f>
        <v>2</v>
      </c>
      <c r="E97" s="87" t="n">
        <f aca="false">AL_k</f>
        <v>1</v>
      </c>
      <c r="F97" s="78" t="n">
        <f aca="false">AL_APIratio</f>
        <v>0.75</v>
      </c>
      <c r="G97" s="69" t="n">
        <f aca="false">AL_TokPerPrompt</f>
        <v>4000</v>
      </c>
      <c r="H97" s="86" t="n">
        <f aca="false">AL_FreeShare</f>
        <v>0.6</v>
      </c>
      <c r="I97" s="86" t="n">
        <f aca="false">AL_MixHopper</f>
        <v>0.6</v>
      </c>
      <c r="J97" s="86" t="n">
        <f aca="false">AL_MixGB200</f>
        <v>0.4</v>
      </c>
      <c r="K97" s="86" t="n">
        <f aca="false">AL_MixGB300</f>
        <v>0</v>
      </c>
      <c r="L97" s="86" t="n">
        <f aca="false">AL_MixVR200</f>
        <v>0</v>
      </c>
      <c r="M97" s="69" t="n">
        <f aca="false">SRC_DEM_010*1000000000*525600*F97/1000000+SRC_DEM_012*1000000000*G97*365/1000000*(1-H97)</f>
        <v>3825200000</v>
      </c>
      <c r="N97" s="69" t="n">
        <f aca="false">SRC_DEM_012*1000000000*G97*365/1000000*H97</f>
        <v>2190000000</v>
      </c>
      <c r="O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9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4" t="n">
        <f aca="false">IF(O97="整代不可達","整代不可達",IF(AND(ISNUMBER(O97),ISNUMBER(P97)),IF(AND(O97&gt;0,P97&gt;0),M97/O97+N97/P97,"SLO 不可達"),"SLO 不可達"))</f>
        <v>0.122917826491237</v>
      </c>
      <c r="R97" s="74" t="n">
        <f aca="false">IF(AND(ISNUMBER(AL_FamGWyr),ISNUMBER(AL_RefGWyr)),E97*(C97*AL_FamGWyr+D97*AL_RefGWyr),"SLO 不可達")</f>
        <v>0.202946790039775</v>
      </c>
      <c r="S97" s="103" t="n">
        <f aca="false">IF(W97="整代不可達","整代不可達",IF(AND(ISNUMBER(W97),ISNUMBER(R97)),R97/(R97+W97),"SLO 不可達"))</f>
        <v>0.184322317309608</v>
      </c>
      <c r="T97" s="103" t="n">
        <f aca="false">IF(W97="整代不可達","整代不可達",IF(AND(ISNUMBER(W97),ISNUMBER(R97)),R97*AL_HoldTrain/(R97*AL_HoldTrain+SRC_DEM_004),"SLO 不可達"))</f>
        <v>0.184983490208217</v>
      </c>
      <c r="U97" s="107" t="n">
        <f aca="false">IF(ISNUMBER(R97),R97*AL_HoldTrain,"SLO 不可達")</f>
        <v>1.90653968242434</v>
      </c>
      <c r="V97" s="73" t="n">
        <f aca="false">(M97+N97)/365/1000000</f>
        <v>16.48</v>
      </c>
      <c r="W97" s="74" t="n">
        <f aca="false">IF(O97="整代不可達","整代不可達",IF((I97*$C$39+J97*$D$39+K97*$E$39+L97*$F$39)&gt;0,SRC_DEM_004/(I97*$C$39+J97*$D$39+K97*$E$39+L97*$F$39),"SLO 不可達"))</f>
        <v>0.89809617101894</v>
      </c>
      <c r="Y97" s="65" t="s">
        <v>2890</v>
      </c>
    </row>
    <row r="98" customFormat="false" ht="15" hidden="false" customHeight="false" outlineLevel="0" collapsed="false">
      <c r="A98" s="65" t="s">
        <v>2891</v>
      </c>
      <c r="B98" s="59" t="s">
        <v>2836</v>
      </c>
      <c r="C98" s="87" t="n">
        <f aca="false">AL_Nmajor</f>
        <v>1</v>
      </c>
      <c r="D98" s="87" t="n">
        <f aca="false">AL_Nrefresh</f>
        <v>2</v>
      </c>
      <c r="E98" s="87" t="n">
        <f aca="false">AL_k</f>
        <v>1</v>
      </c>
      <c r="F98" s="78" t="n">
        <f aca="false">AL_APIratio</f>
        <v>0.75</v>
      </c>
      <c r="G98" s="69" t="n">
        <f aca="false">AL_TokPerPrompt</f>
        <v>4000</v>
      </c>
      <c r="H98" s="86" t="n">
        <f aca="false">AL_FreeShare</f>
        <v>0.6</v>
      </c>
      <c r="I98" s="86" t="n">
        <f aca="false">AL_MixHopper</f>
        <v>0.6</v>
      </c>
      <c r="J98" s="86" t="n">
        <f aca="false">AL_MixGB200</f>
        <v>0.4</v>
      </c>
      <c r="K98" s="86" t="n">
        <f aca="false">AL_MixGB300</f>
        <v>0</v>
      </c>
      <c r="L98" s="86" t="n">
        <f aca="false">AL_MixVR200</f>
        <v>0</v>
      </c>
      <c r="M98" s="69" t="n">
        <f aca="false">SRC_DEM_010*1000000000*525600*F98/1000000+SRC_DEM_012*1000000000*G98*365/1000000*(1-H98)</f>
        <v>3825200000</v>
      </c>
      <c r="N98" s="69" t="n">
        <f aca="false">SRC_DEM_012*1000000000*G98*365/1000000*H98</f>
        <v>2190000000</v>
      </c>
      <c r="O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9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4" t="n">
        <f aca="false">IF(O98="整代不可達","整代不可達",IF(AND(ISNUMBER(O98),ISNUMBER(P98)),IF(AND(O98&gt;0,P98&gt;0),M98/O98+N98/P98,"SLO 不可達"),"SLO 不可達"))</f>
        <v>0.122917826491237</v>
      </c>
      <c r="R98" s="74" t="n">
        <f aca="false">IF(AND(ISNUMBER(AL_FamGWyr),ISNUMBER(AL_RefGWyr)),E98*(C98*AL_FamGWyr+D98*AL_RefGWyr),"SLO 不可達")</f>
        <v>0.202946790039775</v>
      </c>
      <c r="S98" s="103" t="n">
        <f aca="false">IF(W98="整代不可達","整代不可達",IF(AND(ISNUMBER(W98),ISNUMBER(R98)),R98/(R98+W98),"SLO 不可達"))</f>
        <v>0.184322317309608</v>
      </c>
      <c r="T98" s="103" t="n">
        <f aca="false">IF(W98="整代不可達","整代不可達",IF(AND(ISNUMBER(W98),ISNUMBER(R98)),R98*AL_HoldTrain/(R98*AL_HoldTrain+SRC_DEM_004),"SLO 不可達"))</f>
        <v>0.184983490208217</v>
      </c>
      <c r="U98" s="107" t="n">
        <f aca="false">IF(ISNUMBER(R98),R98*AL_HoldTrain,"SLO 不可達")</f>
        <v>1.90653968242434</v>
      </c>
      <c r="V98" s="73" t="n">
        <f aca="false">(M98+N98)/365/1000000</f>
        <v>16.48</v>
      </c>
      <c r="W98" s="74" t="n">
        <f aca="false">IF(O98="整代不可達","整代不可達",IF((I98*$C$39+J98*$D$39+K98*$E$39+L98*$F$39)&gt;0,SRC_DEM_004/(I98*$C$39+J98*$D$39+K98*$E$39+L98*$F$39),"SLO 不可達"))</f>
        <v>0.89809617101894</v>
      </c>
      <c r="Y98" s="65" t="s">
        <v>2892</v>
      </c>
    </row>
    <row r="99" customFormat="false" ht="15" hidden="false" customHeight="false" outlineLevel="0" collapsed="false">
      <c r="A99" s="65" t="s">
        <v>2893</v>
      </c>
      <c r="B99" s="59" t="s">
        <v>2836</v>
      </c>
      <c r="C99" s="87" t="n">
        <f aca="false">AL_Nmajor</f>
        <v>1</v>
      </c>
      <c r="D99" s="87" t="n">
        <f aca="false">AL_Nrefresh</f>
        <v>2</v>
      </c>
      <c r="E99" s="87" t="n">
        <f aca="false">AL_k</f>
        <v>1</v>
      </c>
      <c r="F99" s="78" t="n">
        <f aca="false">AL_APIratio</f>
        <v>0.75</v>
      </c>
      <c r="G99" s="69" t="n">
        <f aca="false">AL_TokPerPrompt</f>
        <v>4000</v>
      </c>
      <c r="H99" s="86" t="n">
        <f aca="false">AL_FreeShare</f>
        <v>0.6</v>
      </c>
      <c r="I99" s="86" t="n">
        <f aca="false">AL_MixHopper</f>
        <v>0.6</v>
      </c>
      <c r="J99" s="86" t="n">
        <f aca="false">AL_MixGB200</f>
        <v>0.4</v>
      </c>
      <c r="K99" s="86" t="n">
        <f aca="false">AL_MixGB300</f>
        <v>0</v>
      </c>
      <c r="L99" s="86" t="n">
        <f aca="false">AL_MixVR200</f>
        <v>0</v>
      </c>
      <c r="M99" s="69" t="n">
        <f aca="false">SRC_DEM_010*1000000000*525600*F99/1000000+SRC_DEM_012*1000000000*G99*365/1000000*(1-H99)</f>
        <v>3825200000</v>
      </c>
      <c r="N99" s="69" t="n">
        <f aca="false">SRC_DEM_012*1000000000*G99*365/1000000*H99</f>
        <v>2190000000</v>
      </c>
      <c r="O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9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4" t="n">
        <f aca="false">IF(O99="整代不可達","整代不可達",IF(AND(ISNUMBER(O99),ISNUMBER(P99)),IF(AND(O99&gt;0,P99&gt;0),M99/O99+N99/P99,"SLO 不可達"),"SLO 不可達"))</f>
        <v>0.122917826491237</v>
      </c>
      <c r="R99" s="74" t="n">
        <f aca="false">IF(AND(ISNUMBER(AL_FamGWyr),ISNUMBER(AL_RefGWyr)),E99*(C99*AL_FamGWyr+D99*AL_RefGWyr),"SLO 不可達")</f>
        <v>0.202946790039775</v>
      </c>
      <c r="S99" s="103" t="n">
        <f aca="false">IF(W99="整代不可達","整代不可達",IF(AND(ISNUMBER(W99),ISNUMBER(R99)),R99/(R99+W99),"SLO 不可達"))</f>
        <v>0.184322317309608</v>
      </c>
      <c r="T99" s="103" t="n">
        <f aca="false">IF(W99="整代不可達","整代不可達",IF(AND(ISNUMBER(W99),ISNUMBER(R99)),R99*AL_HoldTrain/(R99*AL_HoldTrain+SRC_DEM_004),"SLO 不可達"))</f>
        <v>0.184983490208217</v>
      </c>
      <c r="U99" s="107" t="n">
        <f aca="false">IF(ISNUMBER(R99),R99*AL_HoldTrain,"SLO 不可達")</f>
        <v>1.90653968242434</v>
      </c>
      <c r="V99" s="73" t="n">
        <f aca="false">(M99+N99)/365/1000000</f>
        <v>16.48</v>
      </c>
      <c r="W99" s="74" t="n">
        <f aca="false">IF(O99="整代不可達","整代不可達",IF((I99*$C$39+J99*$D$39+K99*$E$39+L99*$F$39)&gt;0,SRC_DEM_004/(I99*$C$39+J99*$D$39+K99*$E$39+L99*$F$39),"SLO 不可達"))</f>
        <v>0.89809617101894</v>
      </c>
      <c r="Y99" s="65" t="s">
        <v>2894</v>
      </c>
    </row>
    <row r="100" customFormat="false" ht="15" hidden="false" customHeight="false" outlineLevel="0" collapsed="false">
      <c r="A100" s="65" t="s">
        <v>2895</v>
      </c>
      <c r="B100" s="59" t="s">
        <v>2837</v>
      </c>
      <c r="C100" s="87" t="n">
        <f aca="false">AL_Nmajor</f>
        <v>1</v>
      </c>
      <c r="D100" s="87" t="n">
        <f aca="false">AL_Nrefresh</f>
        <v>2</v>
      </c>
      <c r="E100" s="87" t="n">
        <f aca="false">AL_k</f>
        <v>1</v>
      </c>
      <c r="F100" s="78" t="n">
        <f aca="false">AL_APIratio</f>
        <v>0.75</v>
      </c>
      <c r="G100" s="69" t="n">
        <f aca="false">AL_TokPerPrompt</f>
        <v>4000</v>
      </c>
      <c r="H100" s="86" t="n">
        <f aca="false">AL_FreeShare</f>
        <v>0.6</v>
      </c>
      <c r="I100" s="86" t="n">
        <f aca="false">AL_MixHopper</f>
        <v>0.6</v>
      </c>
      <c r="J100" s="86" t="n">
        <f aca="false">AL_MixGB200</f>
        <v>0.4</v>
      </c>
      <c r="K100" s="86" t="n">
        <f aca="false">AL_MixGB300</f>
        <v>0</v>
      </c>
      <c r="L100" s="86" t="n">
        <f aca="false">AL_MixVR200</f>
        <v>0</v>
      </c>
      <c r="M100" s="69" t="n">
        <f aca="false">SRC_DEM_010*1000000000*525600*F100/1000000+SRC_DEM_012*1000000000*G100*365/1000000*(1-H100)</f>
        <v>3825200000</v>
      </c>
      <c r="N100" s="69" t="n">
        <f aca="false">SRC_DEM_012*1000000000*G100*365/1000000*H100</f>
        <v>2190000000</v>
      </c>
      <c r="O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9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4" t="n">
        <f aca="false">IF(O100="整代不可達","整代不可達",IF(AND(ISNUMBER(O100),ISNUMBER(P100)),IF(AND(O100&gt;0,P100&gt;0),M100/O100+N100/P100,"SLO 不可達"),"SLO 不可達"))</f>
        <v>0.122917826491237</v>
      </c>
      <c r="R100" s="74" t="n">
        <f aca="false">IF(AND(ISNUMBER(AL_FamGWyr),ISNUMBER(AL_RefGWyr)),E100*(C100*AL_FamGWyr+D100*AL_RefGWyr),"SLO 不可達")</f>
        <v>0.202946790039775</v>
      </c>
      <c r="S100" s="103" t="n">
        <f aca="false">IF(W100="整代不可達","整代不可達",IF(AND(ISNUMBER(W100),ISNUMBER(R100)),R100/(R100+W100),"SLO 不可達"))</f>
        <v>0.184322317309608</v>
      </c>
      <c r="T100" s="103" t="n">
        <f aca="false">IF(W100="整代不可達","整代不可達",IF(AND(ISNUMBER(W100),ISNUMBER(R100)),R100*AL_HoldTrain/(R100*AL_HoldTrain+SRC_DEM_004),"SLO 不可達"))</f>
        <v>0.184983490208217</v>
      </c>
      <c r="U100" s="107" t="n">
        <f aca="false">IF(ISNUMBER(R100),R100*AL_HoldTrain,"SLO 不可達")</f>
        <v>1.90653968242434</v>
      </c>
      <c r="V100" s="73" t="n">
        <f aca="false">(M100+N100)/365/1000000</f>
        <v>16.48</v>
      </c>
      <c r="W100" s="74" t="n">
        <f aca="false">IF(O100="整代不可達","整代不可達",IF((I100*$C$39+J100*$D$39+K100*$E$39+L100*$F$39)&gt;0,SRC_DEM_004/(I100*$C$39+J100*$D$39+K100*$E$39+L100*$F$39),"SLO 不可達"))</f>
        <v>0.89809617101894</v>
      </c>
      <c r="Y100" s="65" t="s">
        <v>2896</v>
      </c>
    </row>
    <row r="101" customFormat="false" ht="15" hidden="false" customHeight="false" outlineLevel="0" collapsed="false">
      <c r="A101" s="65" t="s">
        <v>2897</v>
      </c>
      <c r="B101" s="59" t="s">
        <v>2837</v>
      </c>
      <c r="C101" s="87" t="n">
        <f aca="false">AL_Nmajor</f>
        <v>1</v>
      </c>
      <c r="D101" s="87" t="n">
        <f aca="false">AL_Nrefresh</f>
        <v>2</v>
      </c>
      <c r="E101" s="87" t="n">
        <f aca="false">AL_k</f>
        <v>1</v>
      </c>
      <c r="F101" s="78" t="n">
        <f aca="false">AL_APIratio</f>
        <v>0.75</v>
      </c>
      <c r="G101" s="69" t="n">
        <f aca="false">AL_TokPerPrompt</f>
        <v>4000</v>
      </c>
      <c r="H101" s="86" t="n">
        <f aca="false">AL_FreeShare</f>
        <v>0.6</v>
      </c>
      <c r="I101" s="86" t="n">
        <f aca="false">AL_MixHopper</f>
        <v>0.6</v>
      </c>
      <c r="J101" s="86" t="n">
        <f aca="false">AL_MixGB200</f>
        <v>0.4</v>
      </c>
      <c r="K101" s="86" t="n">
        <f aca="false">AL_MixGB300</f>
        <v>0</v>
      </c>
      <c r="L101" s="86" t="n">
        <f aca="false">AL_MixVR200</f>
        <v>0</v>
      </c>
      <c r="M101" s="69" t="n">
        <f aca="false">SRC_DEM_010*1000000000*525600*F101/1000000+SRC_DEM_012*1000000000*G101*365/1000000*(1-H101)</f>
        <v>3825200000</v>
      </c>
      <c r="N101" s="69" t="n">
        <f aca="false">SRC_DEM_012*1000000000*G101*365/1000000*H101</f>
        <v>2190000000</v>
      </c>
      <c r="O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9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4" t="n">
        <f aca="false">IF(O101="整代不可達","整代不可達",IF(AND(ISNUMBER(O101),ISNUMBER(P101)),IF(AND(O101&gt;0,P101&gt;0),M101/O101+N101/P101,"SLO 不可達"),"SLO 不可達"))</f>
        <v>0.122917826491237</v>
      </c>
      <c r="R101" s="74" t="n">
        <f aca="false">IF(AND(ISNUMBER(AL_FamGWyr),ISNUMBER(AL_RefGWyr)),E101*(C101*AL_FamGWyr+D101*AL_RefGWyr),"SLO 不可達")</f>
        <v>0.202946790039775</v>
      </c>
      <c r="S101" s="103" t="n">
        <f aca="false">IF(W101="整代不可達","整代不可達",IF(AND(ISNUMBER(W101),ISNUMBER(R101)),R101/(R101+W101),"SLO 不可達"))</f>
        <v>0.184322317309608</v>
      </c>
      <c r="T101" s="103" t="n">
        <f aca="false">IF(W101="整代不可達","整代不可達",IF(AND(ISNUMBER(W101),ISNUMBER(R101)),R101*AL_HoldTrain/(R101*AL_HoldTrain+SRC_DEM_004),"SLO 不可達"))</f>
        <v>0.184983490208217</v>
      </c>
      <c r="U101" s="107" t="n">
        <f aca="false">IF(ISNUMBER(R101),R101*AL_HoldTrain,"SLO 不可達")</f>
        <v>1.90653968242434</v>
      </c>
      <c r="V101" s="73" t="n">
        <f aca="false">(M101+N101)/365/1000000</f>
        <v>16.48</v>
      </c>
      <c r="W101" s="74" t="n">
        <f aca="false">IF(O101="整代不可達","整代不可達",IF((I101*$C$39+J101*$D$39+K101*$E$39+L101*$F$39)&gt;0,SRC_DEM_004/(I101*$C$39+J101*$D$39+K101*$E$39+L101*$F$39),"SLO 不可達"))</f>
        <v>0.89809617101894</v>
      </c>
      <c r="Y101" s="65" t="s">
        <v>2898</v>
      </c>
    </row>
    <row r="102" customFormat="false" ht="15" hidden="false" customHeight="false" outlineLevel="0" collapsed="false">
      <c r="A102" s="65" t="s">
        <v>2899</v>
      </c>
      <c r="B102" s="59" t="s">
        <v>2838</v>
      </c>
      <c r="C102" s="87" t="n">
        <f aca="false">AL_Nmajor</f>
        <v>1</v>
      </c>
      <c r="D102" s="87" t="n">
        <f aca="false">AL_Nrefresh</f>
        <v>2</v>
      </c>
      <c r="E102" s="87" t="n">
        <f aca="false">AL_k</f>
        <v>1</v>
      </c>
      <c r="F102" s="78" t="n">
        <f aca="false">AL_APIratio</f>
        <v>0.75</v>
      </c>
      <c r="G102" s="69" t="n">
        <f aca="false">AL_TokPerPrompt</f>
        <v>4000</v>
      </c>
      <c r="H102" s="86" t="n">
        <f aca="false">AL_FreeShare</f>
        <v>0.6</v>
      </c>
      <c r="I102" s="86" t="n">
        <f aca="false">AL_MixHopper</f>
        <v>0.6</v>
      </c>
      <c r="J102" s="86" t="n">
        <f aca="false">AL_MixGB200</f>
        <v>0.4</v>
      </c>
      <c r="K102" s="86" t="n">
        <f aca="false">AL_MixGB300</f>
        <v>0</v>
      </c>
      <c r="L102" s="86" t="n">
        <f aca="false">AL_MixVR200</f>
        <v>0</v>
      </c>
      <c r="M102" s="69" t="n">
        <f aca="false">SRC_DEM_010*1000000000*525600*F102/1000000+SRC_DEM_012*1000000000*G102*365/1000000*(1-H102)</f>
        <v>3825200000</v>
      </c>
      <c r="N102" s="69" t="n">
        <f aca="false">SRC_DEM_012*1000000000*G102*365/1000000*H102</f>
        <v>2190000000</v>
      </c>
      <c r="O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9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4" t="n">
        <f aca="false">IF(O102="整代不可達","整代不可達",IF(AND(ISNUMBER(O102),ISNUMBER(P102)),IF(AND(O102&gt;0,P102&gt;0),M102/O102+N102/P102,"SLO 不可達"),"SLO 不可達"))</f>
        <v>0.122917826491237</v>
      </c>
      <c r="R102" s="74" t="n">
        <f aca="false">IF(AND(ISNUMBER(AL_FamGWyr),ISNUMBER(AL_RefGWyr)),E102*(C102*AL_FamGWyr+D102*AL_RefGWyr),"SLO 不可達")</f>
        <v>0.202946790039775</v>
      </c>
      <c r="S102" s="103" t="n">
        <f aca="false">IF(W102="整代不可達","整代不可達",IF(AND(ISNUMBER(W102),ISNUMBER(R102)),R102/(R102+W102),"SLO 不可達"))</f>
        <v>0.184322317309608</v>
      </c>
      <c r="T102" s="103" t="n">
        <f aca="false">IF(W102="整代不可達","整代不可達",IF(AND(ISNUMBER(W102),ISNUMBER(R102)),R102*AL_HoldTrain/(R102*AL_HoldTrain+SRC_DEM_004),"SLO 不可達"))</f>
        <v>0.184983490208217</v>
      </c>
      <c r="U102" s="107" t="n">
        <f aca="false">IF(ISNUMBER(R102),R102*AL_HoldTrain,"SLO 不可達")</f>
        <v>1.90653968242434</v>
      </c>
      <c r="V102" s="73" t="n">
        <f aca="false">(M102+N102)/365/1000000</f>
        <v>16.48</v>
      </c>
      <c r="W102" s="74" t="n">
        <f aca="false">IF(O102="整代不可達","整代不可達",IF((I102*$C$39+J102*$D$39+K102*$E$39+L102*$F$39)&gt;0,SRC_DEM_004/(I102*$C$39+J102*$D$39+K102*$E$39+L102*$F$39),"SLO 不可達"))</f>
        <v>0.89809617101894</v>
      </c>
      <c r="Y102" s="65" t="s">
        <v>2900</v>
      </c>
    </row>
    <row r="103" customFormat="false" ht="15" hidden="false" customHeight="false" outlineLevel="0" collapsed="false">
      <c r="A103" s="65" t="s">
        <v>2901</v>
      </c>
      <c r="B103" s="59" t="s">
        <v>2838</v>
      </c>
      <c r="C103" s="87" t="n">
        <f aca="false">AL_Nmajor</f>
        <v>1</v>
      </c>
      <c r="D103" s="87" t="n">
        <f aca="false">AL_Nrefresh</f>
        <v>2</v>
      </c>
      <c r="E103" s="87" t="n">
        <f aca="false">AL_k</f>
        <v>1</v>
      </c>
      <c r="F103" s="78" t="n">
        <f aca="false">AL_APIratio</f>
        <v>0.75</v>
      </c>
      <c r="G103" s="69" t="n">
        <f aca="false">AL_TokPerPrompt</f>
        <v>4000</v>
      </c>
      <c r="H103" s="86" t="n">
        <f aca="false">AL_FreeShare</f>
        <v>0.6</v>
      </c>
      <c r="I103" s="86" t="n">
        <f aca="false">AL_MixHopper</f>
        <v>0.6</v>
      </c>
      <c r="J103" s="86" t="n">
        <f aca="false">AL_MixGB200</f>
        <v>0.4</v>
      </c>
      <c r="K103" s="86" t="n">
        <f aca="false">AL_MixGB300</f>
        <v>0</v>
      </c>
      <c r="L103" s="86" t="n">
        <f aca="false">AL_MixVR200</f>
        <v>0</v>
      </c>
      <c r="M103" s="69" t="n">
        <f aca="false">SRC_DEM_010*1000000000*525600*F103/1000000+SRC_DEM_012*1000000000*G103*365/1000000*(1-H103)</f>
        <v>3825200000</v>
      </c>
      <c r="N103" s="69" t="n">
        <f aca="false">SRC_DEM_012*1000000000*G103*365/1000000*H103</f>
        <v>2190000000</v>
      </c>
      <c r="O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9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4" t="n">
        <f aca="false">IF(O103="整代不可達","整代不可達",IF(AND(ISNUMBER(O103),ISNUMBER(P103)),IF(AND(O103&gt;0,P103&gt;0),M103/O103+N103/P103,"SLO 不可達"),"SLO 不可達"))</f>
        <v>0.122917826491237</v>
      </c>
      <c r="R103" s="74" t="n">
        <f aca="false">IF(AND(ISNUMBER(AL_FamGWyr),ISNUMBER(AL_RefGWyr)),E103*(C103*AL_FamGWyr+D103*AL_RefGWyr),"SLO 不可達")</f>
        <v>0.202946790039775</v>
      </c>
      <c r="S103" s="103" t="n">
        <f aca="false">IF(W103="整代不可達","整代不可達",IF(AND(ISNUMBER(W103),ISNUMBER(R103)),R103/(R103+W103),"SLO 不可達"))</f>
        <v>0.184322317309608</v>
      </c>
      <c r="T103" s="103" t="n">
        <f aca="false">IF(W103="整代不可達","整代不可達",IF(AND(ISNUMBER(W103),ISNUMBER(R103)),R103*AL_HoldTrain/(R103*AL_HoldTrain+SRC_DEM_004),"SLO 不可達"))</f>
        <v>0.184983490208217</v>
      </c>
      <c r="U103" s="107" t="n">
        <f aca="false">IF(ISNUMBER(R103),R103*AL_HoldTrain,"SLO 不可達")</f>
        <v>1.90653968242434</v>
      </c>
      <c r="V103" s="73" t="n">
        <f aca="false">(M103+N103)/365/1000000</f>
        <v>16.48</v>
      </c>
      <c r="W103" s="74" t="n">
        <f aca="false">IF(O103="整代不可達","整代不可達",IF((I103*$C$39+J103*$D$39+K103*$E$39+L103*$F$39)&gt;0,SRC_DEM_004/(I103*$C$39+J103*$D$39+K103*$E$39+L103*$F$39),"SLO 不可達"))</f>
        <v>0.89809617101894</v>
      </c>
      <c r="Y103" s="65" t="s">
        <v>2902</v>
      </c>
    </row>
    <row r="104" customFormat="false" ht="15" hidden="false" customHeight="false" outlineLevel="0" collapsed="false">
      <c r="A104" s="65" t="s">
        <v>2903</v>
      </c>
      <c r="B104" s="65" t="s">
        <v>2904</v>
      </c>
      <c r="C104" s="87" t="n">
        <f aca="false">AL_Nmajor</f>
        <v>1</v>
      </c>
      <c r="D104" s="87" t="n">
        <f aca="false">AL_Nrefresh</f>
        <v>2</v>
      </c>
      <c r="E104" s="87" t="n">
        <f aca="false">AL_k</f>
        <v>1</v>
      </c>
      <c r="F104" s="78" t="n">
        <f aca="false">AL_APIratio</f>
        <v>0.75</v>
      </c>
      <c r="G104" s="69" t="n">
        <f aca="false">AL_TokPerPrompt</f>
        <v>4000</v>
      </c>
      <c r="H104" s="86" t="n">
        <f aca="false">AL_FreeShare</f>
        <v>0.6</v>
      </c>
      <c r="I104" s="86" t="n">
        <f aca="false">AL_MixHopper</f>
        <v>0.6</v>
      </c>
      <c r="J104" s="86" t="n">
        <f aca="false">AL_MixGB200</f>
        <v>0.4</v>
      </c>
      <c r="K104" s="86" t="n">
        <f aca="false">AL_MixGB300</f>
        <v>0</v>
      </c>
      <c r="L104" s="86" t="n">
        <f aca="false">AL_MixVR200</f>
        <v>0</v>
      </c>
      <c r="M104" s="69" t="n">
        <f aca="false">SRC_DEM_010*1000000000*525600*F104/1000000+SRC_DEM_012*1000000000*G104*365/1000000*(1-H104)</f>
        <v>3825200000</v>
      </c>
      <c r="N104" s="69" t="n">
        <f aca="false">SRC_DEM_012*1000000000*G104*365/1000000*H104</f>
        <v>2190000000</v>
      </c>
      <c r="O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9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4" t="n">
        <f aca="false">IF(O104="整代不可達","整代不可達",IF(AND(ISNUMBER(O104),ISNUMBER(P104)),IF(AND(O104&gt;0,P104&gt;0),M104/O104+N104/P104,"SLO 不可達"),"SLO 不可達"))</f>
        <v>0.122917826491237</v>
      </c>
      <c r="R104" s="74" t="n">
        <f aca="false">IF(AND(ISNUMBER(AL_FamGWyr),ISNUMBER(AL_RefGWyr)),E104*(C104*AL_FamGWyr+D104*AL_RefGWyr),"SLO 不可達")</f>
        <v>0.202946790039775</v>
      </c>
      <c r="S104" s="103" t="n">
        <f aca="false">IF(W104="整代不可達","整代不可達",IF(AND(ISNUMBER(W104),ISNUMBER(R104)),R104/(R104+W104),"SLO 不可達"))</f>
        <v>0.184322317309608</v>
      </c>
      <c r="T104" s="103" t="n">
        <f aca="false">IF(W104="整代不可達","整代不可達",IF(AND(ISNUMBER(W104),ISNUMBER(R104)),R104*AL_HoldTrain/(R104*AL_HoldTrain+SRC_DEM_004),"SLO 不可達"))</f>
        <v>0.184983490208217</v>
      </c>
      <c r="U104" s="107" t="n">
        <f aca="false">IF(ISNUMBER(R104),R104*AL_HoldTrain,"SLO 不可達")</f>
        <v>1.90653968242434</v>
      </c>
      <c r="V104" s="73" t="n">
        <f aca="false">(M104+N104)/365/1000000</f>
        <v>16.48</v>
      </c>
      <c r="W104" s="74" t="n">
        <f aca="false">IF(O104="整代不可達","整代不可達",IF((I104*$C$39+J104*$D$39+K104*$E$39+L104*$F$39)&gt;0,SRC_DEM_004/(I104*$C$39+J104*$D$39+K104*$E$39+L104*$F$39),"SLO 不可達"))</f>
        <v>0.89809617101894</v>
      </c>
      <c r="Y104" s="65" t="s">
        <v>2905</v>
      </c>
    </row>
    <row r="105" customFormat="false" ht="15" hidden="false" customHeight="false" outlineLevel="0" collapsed="false">
      <c r="A105" s="65" t="s">
        <v>2906</v>
      </c>
      <c r="B105" s="65" t="s">
        <v>2904</v>
      </c>
      <c r="C105" s="87" t="n">
        <f aca="false">AL_Nmajor</f>
        <v>1</v>
      </c>
      <c r="D105" s="87" t="n">
        <f aca="false">AL_Nrefresh</f>
        <v>2</v>
      </c>
      <c r="E105" s="87" t="n">
        <f aca="false">AL_k</f>
        <v>1</v>
      </c>
      <c r="F105" s="78" t="n">
        <f aca="false">AL_APIratio</f>
        <v>0.75</v>
      </c>
      <c r="G105" s="69" t="n">
        <f aca="false">AL_TokPerPrompt</f>
        <v>4000</v>
      </c>
      <c r="H105" s="86" t="n">
        <f aca="false">AL_FreeShare</f>
        <v>0.6</v>
      </c>
      <c r="I105" s="86" t="n">
        <f aca="false">AL_MixHopper</f>
        <v>0.6</v>
      </c>
      <c r="J105" s="86" t="n">
        <f aca="false">AL_MixGB200</f>
        <v>0.4</v>
      </c>
      <c r="K105" s="86" t="n">
        <f aca="false">AL_MixGB300</f>
        <v>0</v>
      </c>
      <c r="L105" s="86" t="n">
        <f aca="false">AL_MixVR200</f>
        <v>0</v>
      </c>
      <c r="M105" s="69" t="n">
        <f aca="false">SRC_DEM_010*1000000000*525600*F105/1000000+SRC_DEM_012*1000000000*G105*365/1000000*(1-H105)</f>
        <v>3825200000</v>
      </c>
      <c r="N105" s="69" t="n">
        <f aca="false">SRC_DEM_012*1000000000*G105*365/1000000*H105</f>
        <v>2190000000</v>
      </c>
      <c r="O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9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4" t="n">
        <f aca="false">IF(O105="整代不可達","整代不可達",IF(AND(ISNUMBER(O105),ISNUMBER(P105)),IF(AND(O105&gt;0,P105&gt;0),M105/O105+N105/P105,"SLO 不可達"),"SLO 不可達"))</f>
        <v>0.122917826491237</v>
      </c>
      <c r="R105" s="74" t="n">
        <f aca="false">IF(AND(ISNUMBER(AL_FamGWyr),ISNUMBER(AL_RefGWyr)),E105*(C105*AL_FamGWyr+D105*AL_RefGWyr),"SLO 不可達")</f>
        <v>0.202946790039775</v>
      </c>
      <c r="S105" s="103" t="n">
        <f aca="false">IF(W105="整代不可達","整代不可達",IF(AND(ISNUMBER(W105),ISNUMBER(R105)),R105/(R105+W105),"SLO 不可達"))</f>
        <v>0.184322317309608</v>
      </c>
      <c r="T105" s="103" t="n">
        <f aca="false">IF(W105="整代不可達","整代不可達",IF(AND(ISNUMBER(W105),ISNUMBER(R105)),R105*AL_HoldTrain/(R105*AL_HoldTrain+SRC_DEM_004),"SLO 不可達"))</f>
        <v>0.184983490208217</v>
      </c>
      <c r="U105" s="107" t="n">
        <f aca="false">IF(ISNUMBER(R105),R105*AL_HoldTrain,"SLO 不可達")</f>
        <v>1.90653968242434</v>
      </c>
      <c r="V105" s="73" t="n">
        <f aca="false">(M105+N105)/365/1000000</f>
        <v>16.48</v>
      </c>
      <c r="W105" s="74" t="n">
        <f aca="false">IF(O105="整代不可達","整代不可達",IF((I105*$C$39+J105*$D$39+K105*$E$39+L105*$F$39)&gt;0,SRC_DEM_004/(I105*$C$39+J105*$D$39+K105*$E$39+L105*$F$39),"SLO 不可達"))</f>
        <v>0.89809617101894</v>
      </c>
      <c r="Y105" s="65" t="s">
        <v>2907</v>
      </c>
    </row>
    <row r="106" customFormat="false" ht="15" hidden="false" customHeight="false" outlineLevel="0" collapsed="false">
      <c r="A106" s="65" t="s">
        <v>2908</v>
      </c>
      <c r="B106" s="59" t="s">
        <v>2909</v>
      </c>
      <c r="C106" s="87" t="n">
        <f aca="false">AL_Nmajor</f>
        <v>1</v>
      </c>
      <c r="D106" s="87" t="n">
        <f aca="false">AL_Nrefresh</f>
        <v>2</v>
      </c>
      <c r="E106" s="87" t="n">
        <f aca="false">AL_k</f>
        <v>1</v>
      </c>
      <c r="F106" s="78" t="n">
        <f aca="false">AL_APIratio</f>
        <v>0.75</v>
      </c>
      <c r="G106" s="69" t="n">
        <f aca="false">AL_TokPerPrompt</f>
        <v>4000</v>
      </c>
      <c r="H106" s="86" t="n">
        <f aca="false">AL_FreeShare</f>
        <v>0.6</v>
      </c>
      <c r="I106" s="86" t="n">
        <f aca="false">AL_MixHopper</f>
        <v>0.6</v>
      </c>
      <c r="J106" s="86" t="n">
        <f aca="false">AL_MixGB200</f>
        <v>0.4</v>
      </c>
      <c r="K106" s="86" t="n">
        <f aca="false">AL_MixGB300</f>
        <v>0</v>
      </c>
      <c r="L106" s="86" t="n">
        <f aca="false">AL_MixVR200</f>
        <v>0</v>
      </c>
      <c r="M106" s="69" t="n">
        <f aca="false">SRC_DEM_010*1000000000*525600*F106/1000000+SRC_DEM_012*1000000000*G106*365/1000000*(1-H106)</f>
        <v>3825200000</v>
      </c>
      <c r="N106" s="69" t="n">
        <f aca="false">SRC_DEM_012*1000000000*G106*365/1000000*H106</f>
        <v>2190000000</v>
      </c>
      <c r="O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9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4" t="n">
        <f aca="false">IF(O106="整代不可達","整代不可達",IF(AND(ISNUMBER(O106),ISNUMBER(P106)),IF(AND(O106&gt;0,P106&gt;0),M106/O106+N106/P106,"SLO 不可達"),"SLO 不可達"))</f>
        <v>0.122917826491237</v>
      </c>
      <c r="R106" s="74" t="n">
        <f aca="false">IF(AND(ISNUMBER(AL_FamGWyr),ISNUMBER(AL_RefGWyr)),E106*(C106*AL_FamGWyr+D106*AL_RefGWyr),"SLO 不可達")</f>
        <v>0.202946790039775</v>
      </c>
      <c r="S106" s="103" t="n">
        <f aca="false">IF(W106="整代不可達","整代不可達",IF(AND(ISNUMBER(W106),ISNUMBER(R106)),R106/(R106+W106),"SLO 不可達"))</f>
        <v>0.184322317309608</v>
      </c>
      <c r="T106" s="103" t="n">
        <f aca="false">IF(W106="整代不可達","整代不可達",IF(AND(ISNUMBER(W106),ISNUMBER(R106)),R106*AL_HoldTrain/(R106*AL_HoldTrain+SRC_DEM_004),"SLO 不可達"))</f>
        <v>0.184983490208217</v>
      </c>
      <c r="U106" s="107" t="n">
        <f aca="false">IF(ISNUMBER(R106),R106*AL_HoldTrain,"SLO 不可達")</f>
        <v>1.90653968242434</v>
      </c>
      <c r="V106" s="73" t="n">
        <f aca="false">(M106+N106)/365/1000000</f>
        <v>16.48</v>
      </c>
      <c r="W106" s="74" t="n">
        <f aca="false">IF(O106="整代不可達","整代不可達",IF((I106*$C$39+J106*$D$39+K106*$E$39+L106*$F$39)&gt;0,SRC_DEM_004/(I106*$C$39+J106*$D$39+K106*$E$39+L106*$F$39),"SLO 不可達"))</f>
        <v>0.89809617101894</v>
      </c>
      <c r="Y106" s="65" t="s">
        <v>2910</v>
      </c>
    </row>
    <row r="107" customFormat="false" ht="15" hidden="false" customHeight="false" outlineLevel="0" collapsed="false">
      <c r="A107" s="65" t="s">
        <v>2911</v>
      </c>
      <c r="B107" s="59" t="s">
        <v>2909</v>
      </c>
      <c r="C107" s="87" t="n">
        <f aca="false">AL_Nmajor</f>
        <v>1</v>
      </c>
      <c r="D107" s="87" t="n">
        <f aca="false">AL_Nrefresh</f>
        <v>2</v>
      </c>
      <c r="E107" s="87" t="n">
        <f aca="false">AL_k</f>
        <v>1</v>
      </c>
      <c r="F107" s="78" t="n">
        <f aca="false">AL_APIratio</f>
        <v>0.75</v>
      </c>
      <c r="G107" s="69" t="n">
        <f aca="false">AL_TokPerPrompt</f>
        <v>4000</v>
      </c>
      <c r="H107" s="86" t="n">
        <f aca="false">AL_FreeShare</f>
        <v>0.6</v>
      </c>
      <c r="I107" s="86" t="n">
        <f aca="false">AL_MixHopper</f>
        <v>0.6</v>
      </c>
      <c r="J107" s="86" t="n">
        <f aca="false">AL_MixGB200</f>
        <v>0.4</v>
      </c>
      <c r="K107" s="86" t="n">
        <f aca="false">AL_MixGB300</f>
        <v>0</v>
      </c>
      <c r="L107" s="86" t="n">
        <f aca="false">AL_MixVR200</f>
        <v>0</v>
      </c>
      <c r="M107" s="69" t="n">
        <f aca="false">SRC_DEM_010*1000000000*525600*F107/1000000+SRC_DEM_012*1000000000*G107*365/1000000*(1-H107)</f>
        <v>3825200000</v>
      </c>
      <c r="N107" s="69" t="n">
        <f aca="false">SRC_DEM_012*1000000000*G107*365/1000000*H107</f>
        <v>2190000000</v>
      </c>
      <c r="O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9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4" t="n">
        <f aca="false">IF(O107="整代不可達","整代不可達",IF(AND(ISNUMBER(O107),ISNUMBER(P107)),IF(AND(O107&gt;0,P107&gt;0),M107/O107+N107/P107,"SLO 不可達"),"SLO 不可達"))</f>
        <v>0.122917826491237</v>
      </c>
      <c r="R107" s="74" t="n">
        <f aca="false">IF(AND(ISNUMBER(AL_FamGWyr),ISNUMBER(AL_RefGWyr)),E107*(C107*AL_FamGWyr+D107*AL_RefGWyr),"SLO 不可達")</f>
        <v>0.202946790039775</v>
      </c>
      <c r="S107" s="103" t="n">
        <f aca="false">IF(W107="整代不可達","整代不可達",IF(AND(ISNUMBER(W107),ISNUMBER(R107)),R107/(R107+W107),"SLO 不可達"))</f>
        <v>0.184322317309608</v>
      </c>
      <c r="T107" s="103" t="n">
        <f aca="false">IF(W107="整代不可達","整代不可達",IF(AND(ISNUMBER(W107),ISNUMBER(R107)),R107*AL_HoldTrain/(R107*AL_HoldTrain+SRC_DEM_004),"SLO 不可達"))</f>
        <v>0.184983490208217</v>
      </c>
      <c r="U107" s="107" t="n">
        <f aca="false">IF(ISNUMBER(R107),R107*AL_HoldTrain,"SLO 不可達")</f>
        <v>1.90653968242434</v>
      </c>
      <c r="V107" s="73" t="n">
        <f aca="false">(M107+N107)/365/1000000</f>
        <v>16.48</v>
      </c>
      <c r="W107" s="74" t="n">
        <f aca="false">IF(O107="整代不可達","整代不可達",IF((I107*$C$39+J107*$D$39+K107*$E$39+L107*$F$39)&gt;0,SRC_DEM_004/(I107*$C$39+J107*$D$39+K107*$E$39+L107*$F$39),"SLO 不可達"))</f>
        <v>0.89809617101894</v>
      </c>
      <c r="Y107" s="65" t="s">
        <v>2912</v>
      </c>
    </row>
    <row r="108" customFormat="false" ht="15" hidden="false" customHeight="false" outlineLevel="0" collapsed="false">
      <c r="A108" s="65" t="s">
        <v>2913</v>
      </c>
      <c r="B108" s="65" t="s">
        <v>2841</v>
      </c>
      <c r="C108" s="87" t="n">
        <f aca="false">AL_Nmajor</f>
        <v>1</v>
      </c>
      <c r="D108" s="87" t="n">
        <f aca="false">AL_Nrefresh</f>
        <v>2</v>
      </c>
      <c r="E108" s="87" t="n">
        <f aca="false">AL_k</f>
        <v>1</v>
      </c>
      <c r="F108" s="78" t="n">
        <f aca="false">AL_APIratio</f>
        <v>0.75</v>
      </c>
      <c r="G108" s="69" t="n">
        <f aca="false">AL_TokPerPrompt</f>
        <v>4000</v>
      </c>
      <c r="H108" s="86" t="n">
        <f aca="false">AL_FreeShare</f>
        <v>0.6</v>
      </c>
      <c r="I108" s="86" t="n">
        <f aca="false">AL_MixHopper</f>
        <v>0.6</v>
      </c>
      <c r="J108" s="86" t="n">
        <f aca="false">AL_MixGB200</f>
        <v>0.4</v>
      </c>
      <c r="K108" s="86" t="n">
        <f aca="false">AL_MixGB300</f>
        <v>0</v>
      </c>
      <c r="L108" s="86" t="n">
        <f aca="false">AL_MixVR200</f>
        <v>0</v>
      </c>
      <c r="M108" s="69" t="n">
        <f aca="false">SRC_DEM_010*1000000000*525600*F108/1000000+SRC_DEM_012*1000000000*G108*365/1000000*(1-H108)</f>
        <v>3825200000</v>
      </c>
      <c r="N108" s="69" t="n">
        <f aca="false">SRC_DEM_012*1000000000*G108*365/1000000*H108</f>
        <v>2190000000</v>
      </c>
      <c r="O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9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4" t="n">
        <f aca="false">IF(O108="整代不可達","整代不可達",IF(AND(ISNUMBER(O108),ISNUMBER(P108)),IF(AND(O108&gt;0,P108&gt;0),M108/O108+N108/P108,"SLO 不可達"),"SLO 不可達"))</f>
        <v>0.122917826491237</v>
      </c>
      <c r="R108" s="74" t="n">
        <f aca="false">IF(AND(ISNUMBER(AL_FamGWyr),ISNUMBER(AL_RefGWyr)),E108*(C108*AL_FamGWyr+D108*AL_RefGWyr),"SLO 不可達")</f>
        <v>0.202946790039775</v>
      </c>
      <c r="S108" s="103" t="n">
        <f aca="false">IF(W108="整代不可達","整代不可達",IF(AND(ISNUMBER(W108),ISNUMBER(R108)),R108/(R108+W108),"SLO 不可達"))</f>
        <v>0.184322317309608</v>
      </c>
      <c r="T108" s="103" t="n">
        <f aca="false">IF(W108="整代不可達","整代不可達",IF(AND(ISNUMBER(W108),ISNUMBER(R108)),R108*AL_HoldTrain/(R108*AL_HoldTrain+SRC_DEM_004),"SLO 不可達"))</f>
        <v>0.184983490208217</v>
      </c>
      <c r="U108" s="107" t="n">
        <f aca="false">IF(ISNUMBER(R108),R108*AL_HoldTrain,"SLO 不可達")</f>
        <v>1.90653968242434</v>
      </c>
      <c r="V108" s="73" t="n">
        <f aca="false">(M108+N108)/365/1000000</f>
        <v>16.48</v>
      </c>
      <c r="W108" s="74" t="n">
        <f aca="false">IF(O108="整代不可達","整代不可達",IF((I108*$C$39+J108*$D$39+K108*$E$39+L108*$F$39)&gt;0,SRC_DEM_004/(I108*$C$39+J108*$D$39+K108*$E$39+L108*$F$39),"SLO 不可達"))</f>
        <v>0.89809617101894</v>
      </c>
      <c r="Y108" s="65" t="s">
        <v>2914</v>
      </c>
    </row>
    <row r="109" customFormat="false" ht="15" hidden="false" customHeight="false" outlineLevel="0" collapsed="false">
      <c r="A109" s="65" t="s">
        <v>2915</v>
      </c>
      <c r="B109" s="65" t="s">
        <v>2841</v>
      </c>
      <c r="C109" s="87" t="n">
        <f aca="false">AL_Nmajor</f>
        <v>1</v>
      </c>
      <c r="D109" s="87" t="n">
        <f aca="false">AL_Nrefresh</f>
        <v>2</v>
      </c>
      <c r="E109" s="87" t="n">
        <f aca="false">AL_k</f>
        <v>1</v>
      </c>
      <c r="F109" s="78" t="n">
        <f aca="false">AL_APIratio</f>
        <v>0.75</v>
      </c>
      <c r="G109" s="69" t="n">
        <f aca="false">AL_TokPerPrompt</f>
        <v>4000</v>
      </c>
      <c r="H109" s="86" t="n">
        <f aca="false">AL_FreeShare</f>
        <v>0.6</v>
      </c>
      <c r="I109" s="86" t="n">
        <f aca="false">AL_MixHopper</f>
        <v>0.6</v>
      </c>
      <c r="J109" s="86" t="n">
        <f aca="false">AL_MixGB200</f>
        <v>0.4</v>
      </c>
      <c r="K109" s="86" t="n">
        <f aca="false">AL_MixGB300</f>
        <v>0</v>
      </c>
      <c r="L109" s="86" t="n">
        <f aca="false">AL_MixVR200</f>
        <v>0</v>
      </c>
      <c r="M109" s="69" t="n">
        <f aca="false">SRC_DEM_010*1000000000*525600*F109/1000000+SRC_DEM_012*1000000000*G109*365/1000000*(1-H109)</f>
        <v>3825200000</v>
      </c>
      <c r="N109" s="69" t="n">
        <f aca="false">SRC_DEM_012*1000000000*G109*365/1000000*H109</f>
        <v>2190000000</v>
      </c>
      <c r="O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9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4" t="n">
        <f aca="false">IF(O109="整代不可達","整代不可達",IF(AND(ISNUMBER(O109),ISNUMBER(P109)),IF(AND(O109&gt;0,P109&gt;0),M109/O109+N109/P109,"SLO 不可達"),"SLO 不可達"))</f>
        <v>0.122917826491237</v>
      </c>
      <c r="R109" s="74" t="n">
        <f aca="false">IF(AND(ISNUMBER(AL_FamGWyr),ISNUMBER(AL_RefGWyr)),E109*(C109*AL_FamGWyr+D109*AL_RefGWyr),"SLO 不可達")</f>
        <v>0.202946790039775</v>
      </c>
      <c r="S109" s="103" t="n">
        <f aca="false">IF(W109="整代不可達","整代不可達",IF(AND(ISNUMBER(W109),ISNUMBER(R109)),R109/(R109+W109),"SLO 不可達"))</f>
        <v>0.184322317309608</v>
      </c>
      <c r="T109" s="103" t="n">
        <f aca="false">IF(W109="整代不可達","整代不可達",IF(AND(ISNUMBER(W109),ISNUMBER(R109)),R109*AL_HoldTrain/(R109*AL_HoldTrain+SRC_DEM_004),"SLO 不可達"))</f>
        <v>0.184983490208217</v>
      </c>
      <c r="U109" s="107" t="n">
        <f aca="false">IF(ISNUMBER(R109),R109*AL_HoldTrain,"SLO 不可達")</f>
        <v>1.90653968242434</v>
      </c>
      <c r="V109" s="73" t="n">
        <f aca="false">(M109+N109)/365/1000000</f>
        <v>16.48</v>
      </c>
      <c r="W109" s="74" t="n">
        <f aca="false">IF(O109="整代不可達","整代不可達",IF((I109*$C$39+J109*$D$39+K109*$E$39+L109*$F$39)&gt;0,SRC_DEM_004/(I109*$C$39+J109*$D$39+K109*$E$39+L109*$F$39),"SLO 不可達"))</f>
        <v>0.89809617101894</v>
      </c>
      <c r="Y109" s="65" t="s">
        <v>2916</v>
      </c>
    </row>
    <row r="110" customFormat="false" ht="15" hidden="false" customHeight="false" outlineLevel="0" collapsed="false">
      <c r="A110" s="65" t="s">
        <v>2917</v>
      </c>
      <c r="B110" s="65" t="s">
        <v>2885</v>
      </c>
      <c r="C110" s="87" t="n">
        <f aca="false">AL_Nmajor</f>
        <v>1</v>
      </c>
      <c r="D110" s="87" t="n">
        <f aca="false">AL_Nrefresh</f>
        <v>2</v>
      </c>
      <c r="E110" s="87" t="n">
        <f aca="false">AL_k</f>
        <v>1</v>
      </c>
      <c r="F110" s="78" t="n">
        <f aca="false">AL_APIratio</f>
        <v>0.75</v>
      </c>
      <c r="G110" s="69" t="n">
        <f aca="false">AL_TokPerPrompt</f>
        <v>4000</v>
      </c>
      <c r="H110" s="86" t="n">
        <f aca="false">AL_FreeShare</f>
        <v>0.6</v>
      </c>
      <c r="I110" s="86" t="n">
        <f aca="false">AL_MixHopper</f>
        <v>0.6</v>
      </c>
      <c r="J110" s="86" t="n">
        <f aca="false">AL_MixGB200</f>
        <v>0.4</v>
      </c>
      <c r="K110" s="86" t="n">
        <f aca="false">AL_MixGB300</f>
        <v>0</v>
      </c>
      <c r="L110" s="86" t="n">
        <f aca="false">AL_MixVR200</f>
        <v>0</v>
      </c>
      <c r="M110" s="69" t="n">
        <f aca="false">SRC_DEM_010*1000000000*525600*F110/1000000+SRC_DEM_012*1000000000*G110*365/1000000*(1-H110)</f>
        <v>3825200000</v>
      </c>
      <c r="N110" s="69" t="n">
        <f aca="false">SRC_DEM_012*1000000000*G110*365/1000000*H110</f>
        <v>2190000000</v>
      </c>
      <c r="O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9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4" t="n">
        <f aca="false">IF(O110="整代不可達","整代不可達",IF(AND(ISNUMBER(O110),ISNUMBER(P110)),IF(AND(O110&gt;0,P110&gt;0),M110/O110+N110/P110,"SLO 不可達"),"SLO 不可達"))</f>
        <v>0.122917826491237</v>
      </c>
      <c r="R110" s="74" t="n">
        <f aca="false">IF(AND(ISNUMBER(AL_FamGWyr),ISNUMBER(AL_RefGWyr)),E110*(C110*AL_FamGWyr+D110*AL_RefGWyr),"SLO 不可達")</f>
        <v>0.202946790039775</v>
      </c>
      <c r="S110" s="103" t="n">
        <f aca="false">IF(W110="整代不可達","整代不可達",IF(AND(ISNUMBER(W110),ISNUMBER(R110)),R110/(R110+W110),"SLO 不可達"))</f>
        <v>0.184322317309608</v>
      </c>
      <c r="T110" s="103" t="n">
        <f aca="false">IF(W110="整代不可達","整代不可達",IF(AND(ISNUMBER(W110),ISNUMBER(R110)),R110*AL_HoldTrain/(R110*AL_HoldTrain+SRC_DEM_004),"SLO 不可達"))</f>
        <v>0.184983490208217</v>
      </c>
      <c r="U110" s="107" t="n">
        <f aca="false">IF(ISNUMBER(R110),R110*AL_HoldTrain,"SLO 不可達")</f>
        <v>1.90653968242434</v>
      </c>
      <c r="V110" s="73" t="n">
        <f aca="false">(M110+N110)/365/1000000</f>
        <v>16.48</v>
      </c>
      <c r="W110" s="74" t="n">
        <f aca="false">IF(O110="整代不可達","整代不可達",IF((I110*$C$39+J110*$D$39+K110*$E$39+L110*$F$39)&gt;0,SRC_DEM_004/(I110*$C$39+J110*$D$39+K110*$E$39+L110*$F$39),"SLO 不可達"))</f>
        <v>0.89809617101894</v>
      </c>
      <c r="Y110" s="65" t="s">
        <v>2918</v>
      </c>
    </row>
    <row r="111" customFormat="false" ht="15" hidden="false" customHeight="false" outlineLevel="0" collapsed="false">
      <c r="A111" s="65" t="s">
        <v>2919</v>
      </c>
      <c r="B111" s="65" t="s">
        <v>2885</v>
      </c>
      <c r="C111" s="87" t="n">
        <f aca="false">AL_Nmajor</f>
        <v>1</v>
      </c>
      <c r="D111" s="87" t="n">
        <f aca="false">AL_Nrefresh</f>
        <v>2</v>
      </c>
      <c r="E111" s="87" t="n">
        <f aca="false">AL_k</f>
        <v>1</v>
      </c>
      <c r="F111" s="78" t="n">
        <f aca="false">AL_APIratio</f>
        <v>0.75</v>
      </c>
      <c r="G111" s="69" t="n">
        <f aca="false">AL_TokPerPrompt</f>
        <v>4000</v>
      </c>
      <c r="H111" s="86" t="n">
        <f aca="false">AL_FreeShare</f>
        <v>0.6</v>
      </c>
      <c r="I111" s="86" t="n">
        <f aca="false">AL_MixHopper</f>
        <v>0.6</v>
      </c>
      <c r="J111" s="86" t="n">
        <f aca="false">AL_MixGB200</f>
        <v>0.4</v>
      </c>
      <c r="K111" s="86" t="n">
        <f aca="false">AL_MixGB300</f>
        <v>0</v>
      </c>
      <c r="L111" s="86" t="n">
        <f aca="false">AL_MixVR200</f>
        <v>0</v>
      </c>
      <c r="M111" s="69" t="n">
        <f aca="false">SRC_DEM_010*1000000000*525600*F111/1000000+SRC_DEM_012*1000000000*G111*365/1000000*(1-H111)</f>
        <v>3825200000</v>
      </c>
      <c r="N111" s="69" t="n">
        <f aca="false">SRC_DEM_012*1000000000*G111*365/1000000*H111</f>
        <v>2190000000</v>
      </c>
      <c r="O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9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4" t="n">
        <f aca="false">IF(O111="整代不可達","整代不可達",IF(AND(ISNUMBER(O111),ISNUMBER(P111)),IF(AND(O111&gt;0,P111&gt;0),M111/O111+N111/P111,"SLO 不可達"),"SLO 不可達"))</f>
        <v>0.122917826491237</v>
      </c>
      <c r="R111" s="74" t="n">
        <f aca="false">IF(AND(ISNUMBER(AL_FamGWyr),ISNUMBER(AL_RefGWyr)),E111*(C111*AL_FamGWyr+D111*AL_RefGWyr),"SLO 不可達")</f>
        <v>0.202946790039775</v>
      </c>
      <c r="S111" s="103" t="n">
        <f aca="false">IF(W111="整代不可達","整代不可達",IF(AND(ISNUMBER(W111),ISNUMBER(R111)),R111/(R111+W111),"SLO 不可達"))</f>
        <v>0.184322317309608</v>
      </c>
      <c r="T111" s="103" t="n">
        <f aca="false">IF(W111="整代不可達","整代不可達",IF(AND(ISNUMBER(W111),ISNUMBER(R111)),R111*AL_HoldTrain/(R111*AL_HoldTrain+SRC_DEM_004),"SLO 不可達"))</f>
        <v>0.184983490208217</v>
      </c>
      <c r="U111" s="107" t="n">
        <f aca="false">IF(ISNUMBER(R111),R111*AL_HoldTrain,"SLO 不可達")</f>
        <v>1.90653968242434</v>
      </c>
      <c r="V111" s="73" t="n">
        <f aca="false">(M111+N111)/365/1000000</f>
        <v>16.48</v>
      </c>
      <c r="W111" s="74" t="n">
        <f aca="false">IF(O111="整代不可達","整代不可達",IF((I111*$C$39+J111*$D$39+K111*$E$39+L111*$F$39)&gt;0,SRC_DEM_004/(I111*$C$39+J111*$D$39+K111*$E$39+L111*$F$39),"SLO 不可達"))</f>
        <v>0.89809617101894</v>
      </c>
      <c r="Y111" s="65" t="s">
        <v>2920</v>
      </c>
    </row>
    <row r="113" customFormat="false" ht="15" hidden="false" customHeight="false" outlineLevel="0" collapsed="false">
      <c r="A113" s="77" t="s">
        <v>2921</v>
      </c>
      <c r="B113" s="71"/>
      <c r="C113" s="71"/>
      <c r="D113" s="71"/>
      <c r="E113" s="71"/>
      <c r="F113" s="71"/>
      <c r="G113" s="71"/>
    </row>
    <row r="114" customFormat="false" ht="29.85" hidden="false" customHeight="false" outlineLevel="0" collapsed="false">
      <c r="A114" s="5" t="s">
        <v>2922</v>
      </c>
      <c r="B114" s="62" t="s">
        <v>1670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65" t="s">
        <v>2923</v>
      </c>
    </row>
    <row r="115" customFormat="false" ht="29.85" hidden="false" customHeight="false" outlineLevel="0" collapsed="false">
      <c r="A115" s="5" t="s">
        <v>2924</v>
      </c>
      <c r="B115" s="62" t="s">
        <v>1670</v>
      </c>
      <c r="C115" s="69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2925</v>
      </c>
      <c r="B116" s="62" t="s">
        <v>132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59" t="s">
        <v>2926</v>
      </c>
    </row>
    <row r="118" customFormat="false" ht="15" hidden="false" customHeight="false" outlineLevel="0" collapsed="false">
      <c r="A118" s="77" t="s">
        <v>2927</v>
      </c>
      <c r="B118" s="71"/>
      <c r="C118" s="71"/>
      <c r="D118" s="71"/>
      <c r="E118" s="71"/>
      <c r="F118" s="71"/>
      <c r="G118" s="71"/>
    </row>
    <row r="119" customFormat="false" ht="29.85" hidden="false" customHeight="false" outlineLevel="0" collapsed="false">
      <c r="A119" s="5" t="s">
        <v>2928</v>
      </c>
      <c r="B119" s="62" t="s">
        <v>1040</v>
      </c>
      <c r="C119" s="74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4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4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4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65" t="s">
        <v>2929</v>
      </c>
    </row>
    <row r="120" customFormat="false" ht="58.2" hidden="false" customHeight="false" outlineLevel="0" collapsed="false">
      <c r="A120" s="5" t="s">
        <v>2930</v>
      </c>
      <c r="B120" s="62" t="s">
        <v>1040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65" t="s">
        <v>2931</v>
      </c>
    </row>
    <row r="121" customFormat="false" ht="29.85" hidden="false" customHeight="false" outlineLevel="0" collapsed="false">
      <c r="A121" s="5" t="s">
        <v>2932</v>
      </c>
      <c r="B121" s="62" t="s">
        <v>1040</v>
      </c>
      <c r="C121" s="96" t="n">
        <f aca="false">Cap_In!$C$90</f>
        <v>1.96067555555556</v>
      </c>
      <c r="Y121" s="65" t="s">
        <v>2933</v>
      </c>
    </row>
    <row r="122" customFormat="false" ht="15" hidden="false" customHeight="false" outlineLevel="0" collapsed="false">
      <c r="A122" s="5" t="s">
        <v>2934</v>
      </c>
      <c r="B122" s="62" t="s">
        <v>132</v>
      </c>
      <c r="C122" s="74"/>
    </row>
    <row r="123" customFormat="false" ht="44" hidden="false" customHeight="false" outlineLevel="0" collapsed="false">
      <c r="A123" s="5" t="s">
        <v>2935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7" t="s">
        <v>2936</v>
      </c>
      <c r="B125" s="71"/>
      <c r="C125" s="71"/>
      <c r="D125" s="71"/>
      <c r="E125" s="71"/>
      <c r="F125" s="71"/>
      <c r="G125" s="71"/>
    </row>
    <row r="126" customFormat="false" ht="15" hidden="false" customHeight="false" outlineLevel="0" collapsed="false">
      <c r="A126" s="5" t="s">
        <v>2937</v>
      </c>
      <c r="B126" s="62" t="s">
        <v>127</v>
      </c>
      <c r="C126" s="86" t="n">
        <f aca="false">AL_RDMixHopper</f>
        <v>0.6</v>
      </c>
      <c r="D126" s="86" t="n">
        <f aca="false">AL_RDMixGB200</f>
        <v>0.38</v>
      </c>
      <c r="E126" s="86" t="n">
        <f aca="false">AL_RDMixGB300</f>
        <v>0.02</v>
      </c>
      <c r="F126" s="86" t="n">
        <f aca="false">AL_RDMixVR200</f>
        <v>0</v>
      </c>
    </row>
    <row r="127" customFormat="false" ht="15" hidden="false" customHeight="false" outlineLevel="0" collapsed="false">
      <c r="A127" s="5" t="s">
        <v>2938</v>
      </c>
      <c r="B127" s="62" t="s">
        <v>2788</v>
      </c>
      <c r="C127" s="99" t="n">
        <f aca="false">INDEX(IF_ProgGWyr_Luna,1,C$17)</f>
        <v>0.00927434400031541</v>
      </c>
      <c r="D127" s="99" t="n">
        <f aca="false">INDEX(IF_ProgGWyr_Luna,1,D$17)</f>
        <v>0.00276373155340779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2939</v>
      </c>
      <c r="B128" s="62" t="s">
        <v>2788</v>
      </c>
      <c r="C128" s="99" t="n">
        <f aca="false">INDEX(IF_ProgGWyr_Sol,1,C$17)</f>
        <v>0.0257573532274046</v>
      </c>
      <c r="D128" s="99" t="n">
        <f aca="false">INDEX(IF_ProgGWyr_Sol,1,D$17)</f>
        <v>0.00887587034201096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2940</v>
      </c>
      <c r="B129" s="62" t="s">
        <v>2788</v>
      </c>
      <c r="C129" s="99" t="n">
        <f aca="false">INDEX(IF_ProgGWyr_Astra,1,C$17)</f>
        <v>0.156848141308111</v>
      </c>
      <c r="D129" s="99" t="n">
        <f aca="false">INDEX(IF_ProgGWyr_Astra,1,D$17)</f>
        <v>0.0578253233036203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2941</v>
      </c>
      <c r="B130" s="62" t="s">
        <v>2788</v>
      </c>
      <c r="C130" s="179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9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0.00045752257456898</v>
      </c>
      <c r="E130" s="179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9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2942</v>
      </c>
      <c r="B131" s="62" t="s">
        <v>2788</v>
      </c>
      <c r="C131" s="179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9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0.0016038603626545</v>
      </c>
      <c r="E131" s="179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9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2943</v>
      </c>
      <c r="B132" s="62" t="s">
        <v>2788</v>
      </c>
      <c r="C132" s="179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9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0.0232778575118718</v>
      </c>
      <c r="E132" s="179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9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2944</v>
      </c>
      <c r="B133" s="61" t="s">
        <v>2180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2945</v>
      </c>
      <c r="B134" s="62" t="s">
        <v>127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2946</v>
      </c>
      <c r="B135" s="62" t="s">
        <v>127</v>
      </c>
      <c r="C135" s="103" t="n">
        <f aca="false">SUM(C126:F126)-C134</f>
        <v>0</v>
      </c>
      <c r="G135" s="59" t="s">
        <v>2947</v>
      </c>
      <c r="Y135" s="65" t="s">
        <v>2948</v>
      </c>
    </row>
    <row r="136" customFormat="false" ht="15" hidden="false" customHeight="false" outlineLevel="0" collapsed="false">
      <c r="A136" s="5" t="s">
        <v>2949</v>
      </c>
      <c r="B136" s="62" t="s">
        <v>127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913</v>
      </c>
      <c r="C137" s="60" t="n">
        <v>1</v>
      </c>
      <c r="D137" s="60" t="n">
        <v>2</v>
      </c>
      <c r="E137" s="60" t="n">
        <v>3</v>
      </c>
      <c r="F137" s="60" t="s">
        <v>2786</v>
      </c>
      <c r="Y137" s="65" t="s">
        <v>2950</v>
      </c>
    </row>
    <row r="138" customFormat="false" ht="29.85" hidden="false" customHeight="false" outlineLevel="0" collapsed="false">
      <c r="A138" s="5" t="s">
        <v>2951</v>
      </c>
      <c r="B138" s="62" t="s">
        <v>2788</v>
      </c>
      <c r="C138" s="99" t="n">
        <f aca="false">IF(AL_RDShareOK&gt;0,1/(IF(C136&gt;0,C136/C127,0)+IF(D136&gt;0,D136/D127,0)+IF(E136&gt;0,E136/E127,0)+IF(F136&gt;0,F136/F127,0)),"SLO 不可達")</f>
        <v>0.0048031261226561</v>
      </c>
      <c r="D138" s="99" t="n">
        <f aca="false">IF(AL_RDShareOK&gt;0,1/(IF(C136&gt;0,C136/C128,0)+IF(D136&gt;0,D136/D128,0)+IF(E136&gt;0,E136/E128,0)+IF(F136&gt;0,F136/F128,0)),"SLO 不可達")</f>
        <v>0.0146923629397871</v>
      </c>
      <c r="E138" s="99" t="n">
        <f aca="false">IF(AL_RDShareOK&gt;0,1/(IF(C136&gt;0,C136/C129,0)+IF(D136&gt;0,D136/D129,0)+IF(E136&gt;0,E136/E129,0)+IF(F136&gt;0,F136/F129,0)),"SLO 不可達")</f>
        <v>0.0934421135566879</v>
      </c>
      <c r="F138" s="99" t="n">
        <f aca="false">IF(COUNT(C138:E138)=3,SUM(C138:E138),"SLO 不可達")</f>
        <v>0.112937602619131</v>
      </c>
      <c r="Y138" s="65" t="s">
        <v>2952</v>
      </c>
    </row>
    <row r="139" customFormat="false" ht="15" hidden="false" customHeight="false" outlineLevel="0" collapsed="false">
      <c r="A139" s="5" t="s">
        <v>2953</v>
      </c>
      <c r="B139" s="62" t="s">
        <v>2788</v>
      </c>
      <c r="C139" s="99" t="n">
        <f aca="false">IF(AL_RDShareOK&gt;0,1/(IF(C136&gt;0,C136/C130,0)+IF(D136&gt;0,D136/D130,0)+IF(E136&gt;0,E136/E130,0)+IF(F136&gt;0,F136/F130,0)),"SLO 不可達")</f>
        <v>0.000784115530100258</v>
      </c>
      <c r="D139" s="99" t="n">
        <f aca="false">IF(AL_RDShareOK&gt;0,1/(IF(C136&gt;0,C136/C131,0)+IF(D136&gt;0,D136/D131,0)+IF(E136&gt;0,E136/E131,0)+IF(F136&gt;0,F136/F131,0)),"SLO 不可達")</f>
        <v>0.00279276038679845</v>
      </c>
      <c r="E139" s="99" t="n">
        <f aca="false">IF(AL_RDShareOK&gt;0,1/(IF(C136&gt;0,C136/C132,0)+IF(D136&gt;0,D136/D132,0)+IF(E136&gt;0,E136/E132,0)+IF(F136&gt;0,F136/F132,0)),"SLO 不可達")</f>
        <v>0.0414277177934233</v>
      </c>
      <c r="F139" s="99" t="n">
        <f aca="false">IF(COUNT(C139:E139)=3,SUM(C139:E139),"SLO 不可達")</f>
        <v>0.045004593710322</v>
      </c>
      <c r="Y139" s="65" t="s">
        <v>2954</v>
      </c>
    </row>
    <row r="140" customFormat="false" ht="29.85" hidden="false" customHeight="false" outlineLevel="0" collapsed="false">
      <c r="A140" s="5" t="s">
        <v>2955</v>
      </c>
      <c r="B140" s="62" t="s">
        <v>1923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2956</v>
      </c>
      <c r="B141" s="62" t="s">
        <v>2788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65" t="s">
        <v>2957</v>
      </c>
    </row>
    <row r="142" customFormat="false" ht="15" hidden="false" customHeight="false" outlineLevel="0" collapsed="false">
      <c r="A142" s="5" t="s">
        <v>2958</v>
      </c>
      <c r="B142" s="62" t="s">
        <v>2788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65" t="s">
        <v>2959</v>
      </c>
    </row>
    <row r="143" customFormat="false" ht="15" hidden="false" customHeight="false" outlineLevel="0" collapsed="false">
      <c r="A143" s="5" t="s">
        <v>2960</v>
      </c>
      <c r="B143" s="62" t="s">
        <v>2788</v>
      </c>
      <c r="C143" s="74" t="n">
        <f aca="false">IF(AND(ISNUMBER(C141),ISNUMBER(C142)),AL_k*(AL_Nmajor*C141+AL_Nrefresh*C142),"SLO 不可達")</f>
        <v>0.0906847035646163</v>
      </c>
      <c r="Y143" s="65" t="s">
        <v>2961</v>
      </c>
    </row>
    <row r="144" customFormat="false" ht="15" hidden="false" customHeight="false" outlineLevel="0" collapsed="false">
      <c r="A144" s="5" t="s">
        <v>2962</v>
      </c>
      <c r="B144" s="62" t="s">
        <v>132</v>
      </c>
      <c r="C144" s="107"/>
      <c r="G144" s="65" t="s">
        <v>2963</v>
      </c>
    </row>
    <row r="145" customFormat="false" ht="15" hidden="false" customHeight="false" outlineLevel="0" collapsed="false">
      <c r="A145" s="5" t="s">
        <v>2964</v>
      </c>
      <c r="B145" s="62" t="s">
        <v>132</v>
      </c>
      <c r="C145" s="107"/>
    </row>
    <row r="147" customFormat="false" ht="15" hidden="false" customHeight="false" outlineLevel="0" collapsed="false">
      <c r="A147" s="77" t="s">
        <v>2965</v>
      </c>
      <c r="B147" s="71"/>
      <c r="C147" s="71"/>
      <c r="D147" s="71"/>
      <c r="E147" s="71"/>
      <c r="F147" s="71"/>
      <c r="G147" s="71"/>
    </row>
    <row r="148" customFormat="false" ht="44" hidden="false" customHeight="false" outlineLevel="0" collapsed="false">
      <c r="A148" s="5" t="s">
        <v>2966</v>
      </c>
      <c r="B148" s="62" t="s">
        <v>1040</v>
      </c>
      <c r="C148" s="74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4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4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4" t="n">
        <f aca="false">IF(F26=1,(IF(F19=1,INDEX(B4_MixPaid,1,1)*CAP_Px25_Luna,0)+IF(F20=1,INDEX(B4_MixPaid,1,2)*CAP_Px25_Sol,0)+IF(F21=1,INDEX(B4_MixPaid,1,3)*CAP_Px25_Astra,0))*(1-B4_Disc)/F22,"SLO 不可達")</f>
        <v>1.68024</v>
      </c>
      <c r="G148" s="65" t="s">
        <v>2967</v>
      </c>
    </row>
    <row r="149" customFormat="false" ht="15" hidden="false" customHeight="false" outlineLevel="0" collapsed="false">
      <c r="A149" s="5" t="s">
        <v>2968</v>
      </c>
      <c r="B149" s="62" t="s">
        <v>1040</v>
      </c>
      <c r="C149" s="74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4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4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4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2969</v>
      </c>
      <c r="B150" s="62" t="s">
        <v>1040</v>
      </c>
      <c r="C150" s="74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4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4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4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2970</v>
      </c>
      <c r="B151" s="62" t="s">
        <v>1040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4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4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65" t="s">
        <v>2971</v>
      </c>
    </row>
    <row r="152" customFormat="false" ht="15" hidden="false" customHeight="false" outlineLevel="0" collapsed="false">
      <c r="A152" s="5" t="s">
        <v>2972</v>
      </c>
      <c r="B152" s="62" t="s">
        <v>132</v>
      </c>
      <c r="C152" s="74"/>
    </row>
    <row r="153" customFormat="false" ht="44" hidden="false" customHeight="false" outlineLevel="0" collapsed="false">
      <c r="A153" s="5" t="s">
        <v>2973</v>
      </c>
      <c r="B153" s="62" t="s">
        <v>1923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2974</v>
      </c>
    </row>
    <row r="154" customFormat="false" ht="15" hidden="false" customHeight="false" outlineLevel="0" collapsed="false">
      <c r="A154" s="5" t="s">
        <v>2975</v>
      </c>
      <c r="B154" s="62" t="s">
        <v>1923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2976</v>
      </c>
      <c r="B155" s="62" t="s">
        <v>1923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2977</v>
      </c>
      <c r="B156" s="62" t="s">
        <v>1923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2978</v>
      </c>
      <c r="B157" s="62" t="s">
        <v>1923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2979</v>
      </c>
      <c r="B158" s="62" t="s">
        <v>132</v>
      </c>
      <c r="C158" s="152" t="n">
        <f aca="false">IF(AND(ISNUMBER(AL_FleetRev25),ISNUMBER(C157)),IF(AL_FleetRev25&gt;0,C157/(AL_FleetRev25/IF_Util),AL_UnavailTxt),AL_UnavailTxt)</f>
        <v>0.417720312615059</v>
      </c>
      <c r="D158" s="74" t="n">
        <f aca="false">IF(AND(ISNUMBER(AL_FleetRev25),ISNUMBER(D157)),IF(AL_FleetRev25&gt;0,D157/(AL_FleetRev25/IF_Util),AL_UnavailTxt),AL_UnavailTxt)</f>
        <v>0.300094332345702</v>
      </c>
      <c r="E158" s="74" t="n">
        <f aca="false">IF(AND(ISNUMBER(AL_FleetRev25),ISNUMBER(E157)),IF(AL_FleetRev25&gt;0,E157/(AL_FleetRev25/IF_Util),AL_UnavailTxt),AL_UnavailTxt)</f>
        <v>0.702326269003828</v>
      </c>
      <c r="G158" s="65" t="s">
        <v>2980</v>
      </c>
    </row>
    <row r="160" customFormat="false" ht="15" hidden="false" customHeight="false" outlineLevel="0" collapsed="false">
      <c r="A160" s="77" t="s">
        <v>2981</v>
      </c>
      <c r="B160" s="71"/>
      <c r="C160" s="71"/>
      <c r="D160" s="71"/>
      <c r="E160" s="71"/>
      <c r="F160" s="71"/>
      <c r="G160" s="71"/>
    </row>
    <row r="161" customFormat="false" ht="15" hidden="false" customHeight="false" outlineLevel="0" collapsed="false">
      <c r="A161" s="6" t="s">
        <v>2982</v>
      </c>
      <c r="B161" s="62" t="s">
        <v>127</v>
      </c>
      <c r="C161" s="103" t="n">
        <f aca="false">IF(AL_ServeGW="整代不可達","整代不可達",IF(AND(ISNUMBER(AL_ServeGW),ISNUMBER(AL_RDGW)),AL_RDGW/(AL_RDGW+AL_ServeGW),"SLO 不可達"))</f>
        <v>0.62279480417433</v>
      </c>
      <c r="Y161" s="65" t="s">
        <v>2983</v>
      </c>
    </row>
    <row r="162" customFormat="false" ht="29.85" hidden="false" customHeight="false" outlineLevel="0" collapsed="false">
      <c r="A162" s="6" t="s">
        <v>2984</v>
      </c>
      <c r="B162" s="62" t="s">
        <v>127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0.623825913160095</v>
      </c>
      <c r="Y162" s="65" t="s">
        <v>2985</v>
      </c>
    </row>
    <row r="163" customFormat="false" ht="15" hidden="false" customHeight="false" outlineLevel="0" collapsed="false">
      <c r="A163" s="5" t="s">
        <v>2986</v>
      </c>
      <c r="B163" s="62" t="s">
        <v>117</v>
      </c>
      <c r="C163" s="74"/>
      <c r="G163" s="65" t="s">
        <v>2987</v>
      </c>
    </row>
    <row r="164" customFormat="false" ht="15" hidden="false" customHeight="false" outlineLevel="0" collapsed="false">
      <c r="A164" s="6" t="s">
        <v>2988</v>
      </c>
      <c r="B164" s="62" t="s">
        <v>127</v>
      </c>
      <c r="C164" s="103"/>
    </row>
    <row r="165" customFormat="false" ht="15" hidden="false" customHeight="false" outlineLevel="0" collapsed="false">
      <c r="A165" s="6" t="s">
        <v>2989</v>
      </c>
      <c r="B165" s="62" t="s">
        <v>127</v>
      </c>
      <c r="C165" s="103"/>
    </row>
    <row r="167" customFormat="false" ht="15" hidden="false" customHeight="false" outlineLevel="0" collapsed="false">
      <c r="A167" s="77" t="s">
        <v>2990</v>
      </c>
      <c r="B167" s="71"/>
      <c r="C167" s="71"/>
      <c r="D167" s="71"/>
      <c r="E167" s="71"/>
      <c r="F167" s="71"/>
      <c r="G167" s="71"/>
    </row>
    <row r="168" customFormat="false" ht="43.5" hidden="false" customHeight="true" outlineLevel="0" collapsed="false">
      <c r="A168" s="84" t="s">
        <v>1023</v>
      </c>
      <c r="C168" s="85" t="s">
        <v>2991</v>
      </c>
      <c r="D168" s="85" t="s">
        <v>2992</v>
      </c>
      <c r="E168" s="85" t="s">
        <v>2993</v>
      </c>
      <c r="F168" s="85" t="s">
        <v>2994</v>
      </c>
      <c r="G168" s="85" t="s">
        <v>2995</v>
      </c>
    </row>
    <row r="169" customFormat="false" ht="15" hidden="false" customHeight="false" outlineLevel="0" collapsed="false">
      <c r="A169" s="61" t="s">
        <v>2996</v>
      </c>
      <c r="C169" s="78" t="n">
        <f aca="false">INDEX(CAL_BatchEtaD,1,2)</f>
        <v>2.36</v>
      </c>
      <c r="D169" s="78" t="n">
        <f aca="false">INDEX(CAL_BatchEtaD,1,1)</f>
        <v>1</v>
      </c>
      <c r="E169" s="97" t="n">
        <f aca="false">Calib!$C$68</f>
        <v>1.5</v>
      </c>
      <c r="F169" s="152" t="n">
        <f aca="false">AL_RDGW</f>
        <v>0.202946790039775</v>
      </c>
      <c r="G169" s="152" t="n">
        <f aca="false">AL_Q1</f>
        <v>0.184322317309608</v>
      </c>
      <c r="Y169" s="65" t="s">
        <v>2997</v>
      </c>
    </row>
    <row r="170" customFormat="false" ht="15" hidden="false" customHeight="false" outlineLevel="0" collapsed="false">
      <c r="A170" s="5" t="s">
        <v>2998</v>
      </c>
      <c r="C170" s="78" t="n">
        <v>1.83</v>
      </c>
      <c r="D170" s="78" t="n">
        <v>1</v>
      </c>
      <c r="E170" s="78" t="n">
        <v>1.5</v>
      </c>
      <c r="F170" s="74" t="n">
        <v>0.211597</v>
      </c>
      <c r="G170" s="74" t="n">
        <v>0.19068</v>
      </c>
    </row>
    <row r="171" customFormat="false" ht="15" hidden="false" customHeight="false" outlineLevel="0" collapsed="false">
      <c r="A171" s="5" t="s">
        <v>2999</v>
      </c>
      <c r="C171" s="78" t="n">
        <v>3.04</v>
      </c>
      <c r="D171" s="78" t="n">
        <v>3.74</v>
      </c>
      <c r="E171" s="78" t="n">
        <v>1.5</v>
      </c>
      <c r="F171" s="74" t="n">
        <v>0.162622</v>
      </c>
      <c r="G171" s="74" t="n">
        <v>0.153313</v>
      </c>
    </row>
    <row r="172" customFormat="false" ht="15" hidden="false" customHeight="false" outlineLevel="0" collapsed="false">
      <c r="A172" s="6" t="s">
        <v>3000</v>
      </c>
      <c r="C172" s="78" t="n">
        <v>3.04</v>
      </c>
      <c r="D172" s="78" t="n">
        <v>1</v>
      </c>
      <c r="E172" s="78" t="n">
        <v>1.5</v>
      </c>
      <c r="F172" s="74" t="n">
        <v>0.197258</v>
      </c>
      <c r="G172" s="74" t="n">
        <v>0.180086</v>
      </c>
    </row>
    <row r="173" customFormat="false" ht="15" hidden="false" customHeight="false" outlineLevel="0" collapsed="false">
      <c r="A173" s="6" t="s">
        <v>3001</v>
      </c>
      <c r="C173" s="78" t="n">
        <v>2.36</v>
      </c>
      <c r="D173" s="78" t="n">
        <v>3.74</v>
      </c>
      <c r="E173" s="78" t="n">
        <v>1.5</v>
      </c>
      <c r="F173" s="74" t="n">
        <v>0.166368</v>
      </c>
      <c r="G173" s="74" t="n">
        <v>0.156293</v>
      </c>
    </row>
    <row r="174" customFormat="false" ht="15" hidden="false" customHeight="false" outlineLevel="0" collapsed="false">
      <c r="A174" s="6" t="s">
        <v>3002</v>
      </c>
      <c r="C174" s="78" t="n">
        <v>2.36</v>
      </c>
      <c r="D174" s="78" t="n">
        <v>1</v>
      </c>
      <c r="E174" s="78" t="n">
        <v>1</v>
      </c>
      <c r="F174" s="74" t="n">
        <v>0.199873</v>
      </c>
      <c r="G174" s="74" t="n">
        <v>0.182039</v>
      </c>
    </row>
    <row r="176" customFormat="false" ht="15" hidden="false" customHeight="false" outlineLevel="0" collapsed="false">
      <c r="A176" s="77" t="s">
        <v>3003</v>
      </c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</row>
    <row r="177" customFormat="false" ht="15" hidden="false" customHeight="false" outlineLevel="0" collapsed="false">
      <c r="A177" s="60" t="s">
        <v>3004</v>
      </c>
      <c r="C177" s="62" t="s">
        <v>3005</v>
      </c>
      <c r="D177" s="59" t="s">
        <v>3006</v>
      </c>
    </row>
    <row r="178" customFormat="false" ht="15" hidden="false" customHeight="false" outlineLevel="0" collapsed="false">
      <c r="A178" s="60" t="s">
        <v>3007</v>
      </c>
      <c r="C178" s="92" t="str">
        <f aca="false">IFERROR(LEFT(README!$B$5,FIND("（",README!$B$5)-1),README!$B$5)</f>
        <v>20261017_Tokenomics_v14.1</v>
      </c>
      <c r="D178" s="59" t="s">
        <v>3008</v>
      </c>
    </row>
    <row r="179" customFormat="false" ht="15" hidden="false" customHeight="false" outlineLevel="0" collapsed="false">
      <c r="A179" s="60" t="s">
        <v>3009</v>
      </c>
      <c r="C179" s="105" t="n">
        <f aca="false">SUM(R183:R359)</f>
        <v>0</v>
      </c>
      <c r="D179" s="59" t="s">
        <v>3010</v>
      </c>
    </row>
    <row r="180" customFormat="false" ht="15" hidden="false" customHeight="false" outlineLevel="0" collapsed="false">
      <c r="A180" s="60" t="s">
        <v>3011</v>
      </c>
      <c r="C180" s="180" t="str">
        <f aca="false">IF(AND(C177=C178,C179=0,C368=0),"一致","區間過期")</f>
        <v>一致</v>
      </c>
      <c r="D180" s="59" t="s">
        <v>3012</v>
      </c>
    </row>
    <row r="182" customFormat="false" ht="43.5" hidden="false" customHeight="true" outlineLevel="0" collapsed="false">
      <c r="A182" s="60" t="s">
        <v>3013</v>
      </c>
      <c r="B182" s="60" t="s">
        <v>3014</v>
      </c>
      <c r="C182" s="85" t="s">
        <v>3015</v>
      </c>
      <c r="D182" s="85" t="s">
        <v>3016</v>
      </c>
      <c r="E182" s="85" t="s">
        <v>3017</v>
      </c>
      <c r="F182" s="85" t="s">
        <v>3018</v>
      </c>
      <c r="G182" s="85" t="s">
        <v>3019</v>
      </c>
      <c r="H182" s="85" t="s">
        <v>3020</v>
      </c>
      <c r="I182" s="85" t="s">
        <v>3021</v>
      </c>
      <c r="J182" s="85" t="s">
        <v>3022</v>
      </c>
      <c r="K182" s="85" t="s">
        <v>3023</v>
      </c>
      <c r="L182" s="85" t="s">
        <v>3024</v>
      </c>
      <c r="M182" s="85" t="s">
        <v>3025</v>
      </c>
      <c r="N182" s="85" t="s">
        <v>3026</v>
      </c>
      <c r="O182" s="85" t="s">
        <v>3027</v>
      </c>
      <c r="P182" s="85" t="s">
        <v>3028</v>
      </c>
      <c r="Q182" s="85" t="s">
        <v>3029</v>
      </c>
      <c r="R182" s="84" t="s">
        <v>3030</v>
      </c>
    </row>
    <row r="183" customFormat="false" ht="15" hidden="false" customHeight="false" outlineLevel="0" collapsed="false">
      <c r="A183" s="10" t="s">
        <v>3031</v>
      </c>
      <c r="B183" s="61" t="s">
        <v>3032</v>
      </c>
      <c r="C183" s="61" t="n">
        <v>11.0322267091769</v>
      </c>
    </row>
    <row r="184" customFormat="false" ht="15" hidden="false" customHeight="false" outlineLevel="0" collapsed="false">
      <c r="A184" s="62" t="s">
        <v>3031</v>
      </c>
      <c r="B184" s="61" t="s">
        <v>3033</v>
      </c>
      <c r="C184" s="78" t="n">
        <f aca="false">IF_AllocImpliedNk</f>
        <v>11.36020687772</v>
      </c>
      <c r="R184" s="105" t="n">
        <f aca="false">SUMPRODUCT((C184&lt;C183-0.000000001*ABS(C183)-0.000000000001)+(C184&gt;C185+0.000000001*ABS(C185)+0.000000000001))</f>
        <v>0</v>
      </c>
    </row>
    <row r="185" customFormat="false" ht="15" hidden="false" customHeight="false" outlineLevel="0" collapsed="false">
      <c r="A185" s="62" t="s">
        <v>3031</v>
      </c>
      <c r="B185" s="61" t="s">
        <v>3034</v>
      </c>
      <c r="C185" s="61" t="n">
        <v>13.6421014726665</v>
      </c>
    </row>
    <row r="186" customFormat="false" ht="15" hidden="false" customHeight="false" outlineLevel="0" collapsed="false">
      <c r="A186" s="10" t="s">
        <v>3035</v>
      </c>
      <c r="B186" s="61" t="s">
        <v>3032</v>
      </c>
      <c r="C186" s="61" t="n">
        <v>0.153313016520972</v>
      </c>
    </row>
    <row r="187" customFormat="false" ht="15" hidden="false" customHeight="false" outlineLevel="0" collapsed="false">
      <c r="A187" s="62" t="s">
        <v>3035</v>
      </c>
      <c r="B187" s="61" t="s">
        <v>3033</v>
      </c>
      <c r="C187" s="103" t="n">
        <f aca="false">IF_AllocQ1</f>
        <v>0.184322317309608</v>
      </c>
      <c r="R187" s="105" t="n">
        <f aca="false">SUMPRODUCT((C187&lt;C186-0.000000001*ABS(C186)-0.000000000001)+(C187&gt;C188+0.000000001*ABS(C188)+0.000000000001))</f>
        <v>0</v>
      </c>
    </row>
    <row r="188" customFormat="false" ht="15" hidden="false" customHeight="false" outlineLevel="0" collapsed="false">
      <c r="A188" s="62" t="s">
        <v>3035</v>
      </c>
      <c r="B188" s="61" t="s">
        <v>3034</v>
      </c>
      <c r="C188" s="61" t="n">
        <v>0.190680493048307</v>
      </c>
    </row>
    <row r="189" customFormat="false" ht="15" hidden="false" customHeight="false" outlineLevel="0" collapsed="false">
      <c r="A189" s="10" t="s">
        <v>3036</v>
      </c>
      <c r="B189" s="61" t="s">
        <v>3032</v>
      </c>
      <c r="C189" s="61" t="n">
        <v>0.546417687421949</v>
      </c>
    </row>
    <row r="190" customFormat="false" ht="15" hidden="false" customHeight="false" outlineLevel="0" collapsed="false">
      <c r="A190" s="62" t="s">
        <v>3036</v>
      </c>
      <c r="B190" s="61" t="s">
        <v>3033</v>
      </c>
      <c r="C190" s="103" t="n">
        <f aca="false">IF_AllocQ1_R2</f>
        <v>0.563029812844433</v>
      </c>
      <c r="R190" s="105" t="n">
        <f aca="false">SUMPRODUCT((C190&lt;C189-0.000000001*ABS(C189)-0.000000000001)+(C190&gt;C191+0.000000001*ABS(C191)+0.000000000001))</f>
        <v>0</v>
      </c>
    </row>
    <row r="191" customFormat="false" ht="15" hidden="false" customHeight="false" outlineLevel="0" collapsed="false">
      <c r="A191" s="62" t="s">
        <v>3036</v>
      </c>
      <c r="B191" s="61" t="s">
        <v>3034</v>
      </c>
      <c r="C191" s="61" t="n">
        <v>0.566435978418736</v>
      </c>
    </row>
    <row r="192" customFormat="false" ht="15" hidden="false" customHeight="false" outlineLevel="0" collapsed="false">
      <c r="A192" s="10" t="s">
        <v>3037</v>
      </c>
      <c r="B192" s="61" t="s">
        <v>3032</v>
      </c>
      <c r="C192" s="61" t="n">
        <v>0.153883942337164</v>
      </c>
    </row>
    <row r="193" customFormat="false" ht="15" hidden="false" customHeight="false" outlineLevel="0" collapsed="false">
      <c r="A193" s="62" t="s">
        <v>3037</v>
      </c>
      <c r="B193" s="61" t="s">
        <v>3033</v>
      </c>
      <c r="C193" s="103" t="n">
        <f aca="false">IF_AllocQ2</f>
        <v>0.184983490208217</v>
      </c>
      <c r="R193" s="105" t="n">
        <f aca="false">SUMPRODUCT((C193&lt;C192-0.000000001*ABS(C192)-0.000000000001)+(C193&gt;C194+0.000000001*ABS(C194)+0.000000000001))</f>
        <v>0</v>
      </c>
    </row>
    <row r="194" customFormat="false" ht="15" hidden="false" customHeight="false" outlineLevel="0" collapsed="false">
      <c r="A194" s="62" t="s">
        <v>3037</v>
      </c>
      <c r="B194" s="61" t="s">
        <v>3034</v>
      </c>
      <c r="C194" s="61" t="n">
        <v>0.191359122452657</v>
      </c>
    </row>
    <row r="195" customFormat="false" ht="15" hidden="false" customHeight="false" outlineLevel="0" collapsed="false">
      <c r="A195" s="10" t="s">
        <v>3038</v>
      </c>
      <c r="B195" s="61" t="s">
        <v>3032</v>
      </c>
      <c r="C195" s="61" t="n">
        <v>0.162621884818735</v>
      </c>
    </row>
    <row r="196" customFormat="false" ht="15" hidden="false" customHeight="false" outlineLevel="0" collapsed="false">
      <c r="A196" s="62" t="s">
        <v>3038</v>
      </c>
      <c r="B196" s="61" t="s">
        <v>3033</v>
      </c>
      <c r="C196" s="74" t="n">
        <f aca="false">IF_AllocRDGW</f>
        <v>0.202946790039775</v>
      </c>
      <c r="R196" s="105" t="n">
        <f aca="false">SUMPRODUCT((C196&lt;C195-0.000000001*ABS(C195)-0.000000000001)+(C196&gt;C197+0.000000001*ABS(C197)+0.000000000001))</f>
        <v>0</v>
      </c>
    </row>
    <row r="197" customFormat="false" ht="15" hidden="false" customHeight="false" outlineLevel="0" collapsed="false">
      <c r="A197" s="62" t="s">
        <v>3038</v>
      </c>
      <c r="B197" s="61" t="s">
        <v>3034</v>
      </c>
      <c r="C197" s="61" t="n">
        <v>0.211596803516698</v>
      </c>
    </row>
    <row r="198" customFormat="false" ht="15" hidden="false" customHeight="false" outlineLevel="0" collapsed="false">
      <c r="A198" s="10" t="s">
        <v>3039</v>
      </c>
      <c r="B198" s="61" t="s">
        <v>3032</v>
      </c>
      <c r="C198" s="61" t="n">
        <v>1.86518521219293</v>
      </c>
      <c r="D198" s="61" t="n">
        <v>2.66497658216417</v>
      </c>
      <c r="E198" s="61" t="n">
        <v>4.57674498862265</v>
      </c>
      <c r="F198" s="61" t="n">
        <v>0.221871835074472</v>
      </c>
      <c r="G198" s="61" t="n">
        <v>0.296245571963164</v>
      </c>
      <c r="H198" s="61" t="n">
        <v>0.48048650288514</v>
      </c>
      <c r="I198" s="61" t="n">
        <v>0.24019799874652</v>
      </c>
      <c r="J198" s="61" t="n">
        <v>0.310229615842608</v>
      </c>
      <c r="K198" s="61" t="n">
        <v>0.528181046387546</v>
      </c>
      <c r="L198" s="61" t="n">
        <v>0.100573347953864</v>
      </c>
      <c r="M198" s="61" t="n">
        <v>0.129262679409264</v>
      </c>
      <c r="N198" s="61" t="n">
        <v>0.208827861414237</v>
      </c>
      <c r="O198" s="61" t="n">
        <v>0.0523766024928945</v>
      </c>
      <c r="P198" s="61" t="n">
        <v>0.0796052541194475</v>
      </c>
      <c r="Q198" s="61" t="n">
        <v>0.145322693070838</v>
      </c>
    </row>
    <row r="199" customFormat="false" ht="15" hidden="false" customHeight="false" outlineLevel="0" collapsed="false">
      <c r="A199" s="62" t="s">
        <v>3039</v>
      </c>
      <c r="B199" s="61" t="s">
        <v>3033</v>
      </c>
      <c r="C199" s="181" t="n">
        <f aca="false">INDEX(IF_AmortBU_Astra,1,1)</f>
        <v>2.77777469594551</v>
      </c>
      <c r="D199" s="181" t="n">
        <f aca="false">INDEX(IF_AmortBU_Astra,1,2)</f>
        <v>3.96888441256699</v>
      </c>
      <c r="E199" s="181" t="n">
        <f aca="false">INDEX(IF_AmortBU_Astra,1,3)</f>
        <v>6.81603431985413</v>
      </c>
      <c r="F199" s="181" t="n">
        <f aca="false">INDEX(IF_AmortBU_Astra,1,4)</f>
        <v>0.228452001604401</v>
      </c>
      <c r="G199" s="181" t="n">
        <f aca="false">INDEX(IF_AmortBU_Astra,1,5)</f>
        <v>0.305031478460118</v>
      </c>
      <c r="H199" s="181" t="n">
        <f aca="false">INDEX(IF_AmortBU_Astra,1,6)</f>
        <v>0.49473653693433</v>
      </c>
      <c r="I199" s="181" t="n">
        <f aca="false">INDEX(IF_AmortBU_Astra,1,7)</f>
        <v>0.24019799874652</v>
      </c>
      <c r="J199" s="181" t="n">
        <f aca="false">INDEX(IF_AmortBU_Astra,1,8)</f>
        <v>0.310229615842608</v>
      </c>
      <c r="K199" s="181" t="n">
        <f aca="false">INDEX(IF_AmortBU_Astra,1,9)</f>
        <v>0.528181046387546</v>
      </c>
      <c r="L199" s="181" t="n">
        <f aca="false">INDEX(IF_AmortBU_Astra,1,10)</f>
        <v>0.100573347953864</v>
      </c>
      <c r="M199" s="181" t="n">
        <f aca="false">INDEX(IF_AmortBU_Astra,1,11)</f>
        <v>0.129262679409264</v>
      </c>
      <c r="N199" s="181" t="n">
        <f aca="false">INDEX(IF_AmortBU_Astra,1,12)</f>
        <v>0.208827861414237</v>
      </c>
      <c r="O199" s="181" t="n">
        <f aca="false">INDEX(IF_AmortBU_Astra,1,13)</f>
        <v>0.0523766024928945</v>
      </c>
      <c r="P199" s="181" t="n">
        <f aca="false">INDEX(IF_AmortBU_Astra,1,14)</f>
        <v>0.0796052541194475</v>
      </c>
      <c r="Q199" s="181" t="n">
        <f aca="false">INDEX(IF_AmortBU_Astra,1,15)</f>
        <v>0.145322693070838</v>
      </c>
      <c r="R199" s="105" t="n">
        <f aca="false">SUMPRODUCT((C199:Q199&lt;C198:Q198-0.000000001*ABS(C198:Q198)-0.000000000001)+(C199:Q199&gt;C200:Q200+0.000000001*ABS(C200:Q200)+0.000000000001))</f>
        <v>0</v>
      </c>
    </row>
    <row r="200" customFormat="false" ht="15" hidden="false" customHeight="false" outlineLevel="0" collapsed="false">
      <c r="A200" s="62" t="s">
        <v>3039</v>
      </c>
      <c r="B200" s="61" t="s">
        <v>3034</v>
      </c>
      <c r="C200" s="61" t="n">
        <v>2.77777469594551</v>
      </c>
      <c r="D200" s="61" t="n">
        <v>3.96888441256699</v>
      </c>
      <c r="E200" s="61" t="n">
        <v>6.81603431985413</v>
      </c>
      <c r="F200" s="61" t="n">
        <v>0.239029338869364</v>
      </c>
      <c r="G200" s="61" t="n">
        <v>0.319154448718396</v>
      </c>
      <c r="H200" s="61" t="n">
        <v>0.517642859364003</v>
      </c>
      <c r="I200" s="61" t="n">
        <v>0.24019799874652</v>
      </c>
      <c r="J200" s="61" t="n">
        <v>0.310229615842608</v>
      </c>
      <c r="K200" s="61" t="n">
        <v>0.528181046387546</v>
      </c>
      <c r="L200" s="61" t="n">
        <v>0.100573347953864</v>
      </c>
      <c r="M200" s="61" t="n">
        <v>0.129262679409264</v>
      </c>
      <c r="N200" s="61" t="n">
        <v>0.208827861414237</v>
      </c>
      <c r="O200" s="61" t="n">
        <v>0.0523766024928945</v>
      </c>
      <c r="P200" s="61" t="n">
        <v>0.0796052541194475</v>
      </c>
      <c r="Q200" s="61" t="n">
        <v>0.145322693070838</v>
      </c>
    </row>
    <row r="201" customFormat="false" ht="15" hidden="false" customHeight="false" outlineLevel="0" collapsed="false">
      <c r="A201" s="10" t="s">
        <v>3040</v>
      </c>
      <c r="B201" s="61" t="s">
        <v>3032</v>
      </c>
      <c r="C201" s="61" t="n">
        <v>0.0254851731590881</v>
      </c>
      <c r="D201" s="61" t="n">
        <v>0.0364132147399544</v>
      </c>
      <c r="E201" s="61" t="n">
        <v>0.0625348827438441</v>
      </c>
      <c r="F201" s="61" t="n">
        <v>0.00291475369106247</v>
      </c>
      <c r="G201" s="61" t="n">
        <v>0.0038918093143761</v>
      </c>
      <c r="H201" s="61" t="n">
        <v>0.00631220184986563</v>
      </c>
      <c r="I201" s="61" t="n">
        <v>0.00342892011098242</v>
      </c>
      <c r="J201" s="61" t="n">
        <v>0.00442864875784267</v>
      </c>
      <c r="K201" s="61" t="n">
        <v>0.0075399904314325</v>
      </c>
      <c r="L201" s="61" t="n">
        <v>0.00155811775340172</v>
      </c>
      <c r="M201" s="61" t="n">
        <v>0.00200258298781343</v>
      </c>
      <c r="N201" s="61" t="n">
        <v>0.00323523483004361</v>
      </c>
      <c r="O201" s="61" t="n">
        <v>0.000773266108996229</v>
      </c>
      <c r="P201" s="61" t="n">
        <v>0.00117525845852548</v>
      </c>
      <c r="Q201" s="61" t="n">
        <v>0.00214548306058959</v>
      </c>
    </row>
    <row r="202" customFormat="false" ht="15" hidden="false" customHeight="false" outlineLevel="0" collapsed="false">
      <c r="A202" s="62" t="s">
        <v>3040</v>
      </c>
      <c r="B202" s="61" t="s">
        <v>3033</v>
      </c>
      <c r="C202" s="181" t="n">
        <f aca="false">INDEX(IF_AmortBU_Luna,1,1)</f>
        <v>0.0461948299236361</v>
      </c>
      <c r="D202" s="181" t="n">
        <f aca="false">INDEX(IF_AmortBU_Luna,1,2)</f>
        <v>0.0660031717808905</v>
      </c>
      <c r="E202" s="181" t="n">
        <f aca="false">INDEX(IF_AmortBU_Luna,1,3)</f>
        <v>0.113351722376516</v>
      </c>
      <c r="F202" s="181" t="n">
        <f aca="false">INDEX(IF_AmortBU_Luna,1,4)</f>
        <v>0.00307089725293388</v>
      </c>
      <c r="G202" s="181" t="n">
        <f aca="false">INDEX(IF_AmortBU_Luna,1,5)</f>
        <v>0.00410029381525669</v>
      </c>
      <c r="H202" s="181" t="n">
        <f aca="false">INDEX(IF_AmortBU_Luna,1,6)</f>
        <v>0.0066503469504659</v>
      </c>
      <c r="I202" s="181" t="n">
        <f aca="false">INDEX(IF_AmortBU_Luna,1,7)</f>
        <v>0.00342892011098242</v>
      </c>
      <c r="J202" s="181" t="n">
        <f aca="false">INDEX(IF_AmortBU_Luna,1,8)</f>
        <v>0.00442864875784267</v>
      </c>
      <c r="K202" s="181" t="n">
        <f aca="false">INDEX(IF_AmortBU_Luna,1,9)</f>
        <v>0.0075399904314325</v>
      </c>
      <c r="L202" s="181" t="n">
        <f aca="false">INDEX(IF_AmortBU_Luna,1,10)</f>
        <v>0.00155811775340172</v>
      </c>
      <c r="M202" s="181" t="n">
        <f aca="false">INDEX(IF_AmortBU_Luna,1,11)</f>
        <v>0.00200258298781343</v>
      </c>
      <c r="N202" s="181" t="n">
        <f aca="false">INDEX(IF_AmortBU_Luna,1,12)</f>
        <v>0.00323523483004361</v>
      </c>
      <c r="O202" s="181" t="n">
        <f aca="false">INDEX(IF_AmortBU_Luna,1,13)</f>
        <v>0.000773266108996229</v>
      </c>
      <c r="P202" s="181" t="n">
        <f aca="false">INDEX(IF_AmortBU_Luna,1,14)</f>
        <v>0.00117525845852548</v>
      </c>
      <c r="Q202" s="181" t="n">
        <f aca="false">INDEX(IF_AmortBU_Luna,1,15)</f>
        <v>0.00214548306058959</v>
      </c>
      <c r="R202" s="105" t="n">
        <f aca="false">SUMPRODUCT((C202:Q202&lt;C201:Q201-0.000000001*ABS(C201:Q201)-0.000000000001)+(C202:Q202&gt;C203:Q203+0.000000001*ABS(C203:Q203)+0.000000000001))</f>
        <v>0</v>
      </c>
    </row>
    <row r="203" customFormat="false" ht="15" hidden="false" customHeight="false" outlineLevel="0" collapsed="false">
      <c r="A203" s="62" t="s">
        <v>3040</v>
      </c>
      <c r="B203" s="61" t="s">
        <v>3034</v>
      </c>
      <c r="C203" s="61" t="n">
        <v>0.0461948299236361</v>
      </c>
      <c r="D203" s="61" t="n">
        <v>0.0660031717808905</v>
      </c>
      <c r="E203" s="61" t="n">
        <v>0.113351722376516</v>
      </c>
      <c r="F203" s="61" t="n">
        <v>0.00331262302099265</v>
      </c>
      <c r="G203" s="61" t="n">
        <v>0.00442304856415381</v>
      </c>
      <c r="H203" s="61" t="n">
        <v>0.00717382920729582</v>
      </c>
      <c r="I203" s="61" t="n">
        <v>0.00342892011098242</v>
      </c>
      <c r="J203" s="61" t="n">
        <v>0.00442864875784267</v>
      </c>
      <c r="K203" s="61" t="n">
        <v>0.0075399904314325</v>
      </c>
      <c r="L203" s="61" t="n">
        <v>0.00155811775340172</v>
      </c>
      <c r="M203" s="61" t="n">
        <v>0.00200258298781343</v>
      </c>
      <c r="N203" s="61" t="n">
        <v>0.00323523483004361</v>
      </c>
      <c r="O203" s="61" t="n">
        <v>0.000773266108996229</v>
      </c>
      <c r="P203" s="61" t="n">
        <v>0.00117525845852548</v>
      </c>
      <c r="Q203" s="61" t="n">
        <v>0.00214548306058959</v>
      </c>
    </row>
    <row r="204" customFormat="false" ht="15" hidden="false" customHeight="false" outlineLevel="0" collapsed="false">
      <c r="A204" s="10" t="s">
        <v>3041</v>
      </c>
      <c r="B204" s="61" t="s">
        <v>3032</v>
      </c>
      <c r="C204" s="61" t="n">
        <v>0.071918415048523</v>
      </c>
      <c r="D204" s="61" t="n">
        <v>0.102757029531313</v>
      </c>
      <c r="E204" s="61" t="n">
        <v>0.176471614460218</v>
      </c>
      <c r="F204" s="61" t="n">
        <v>0.00844369610248287</v>
      </c>
      <c r="G204" s="61" t="n">
        <v>0.011274110481502</v>
      </c>
      <c r="H204" s="61" t="n">
        <v>0.0182857008882859</v>
      </c>
      <c r="I204" s="61" t="n">
        <v>0.00936389932228216</v>
      </c>
      <c r="J204" s="61" t="n">
        <v>0.0120940178715063</v>
      </c>
      <c r="K204" s="61" t="n">
        <v>0.0205906550767309</v>
      </c>
      <c r="L204" s="61" t="n">
        <v>0.00403441053211496</v>
      </c>
      <c r="M204" s="61" t="n">
        <v>0.00518525758392133</v>
      </c>
      <c r="N204" s="61" t="n">
        <v>0.00837694419673806</v>
      </c>
      <c r="O204" s="61" t="n">
        <v>0.00207075943620614</v>
      </c>
      <c r="P204" s="61" t="n">
        <v>0.00314727040880126</v>
      </c>
      <c r="Q204" s="61" t="n">
        <v>0.00574547266619956</v>
      </c>
    </row>
    <row r="205" customFormat="false" ht="15" hidden="false" customHeight="false" outlineLevel="0" collapsed="false">
      <c r="A205" s="62" t="s">
        <v>3041</v>
      </c>
      <c r="B205" s="61" t="s">
        <v>3033</v>
      </c>
      <c r="C205" s="181" t="n">
        <f aca="false">INDEX(IF_AmortBU_Sol,1,1)</f>
        <v>0.114040439741435</v>
      </c>
      <c r="D205" s="181" t="n">
        <f aca="false">INDEX(IF_AmortBU_Sol,1,2)</f>
        <v>0.162940977305579</v>
      </c>
      <c r="E205" s="181" t="n">
        <f aca="false">INDEX(IF_AmortBU_Sol,1,3)</f>
        <v>0.279829588866025</v>
      </c>
      <c r="F205" s="181" t="n">
        <f aca="false">INDEX(IF_AmortBU_Sol,1,4)</f>
        <v>0.00876653267880038</v>
      </c>
      <c r="G205" s="181" t="n">
        <f aca="false">INDEX(IF_AmortBU_Sol,1,5)</f>
        <v>0.0117051652215942</v>
      </c>
      <c r="H205" s="181" t="n">
        <f aca="false">INDEX(IF_AmortBU_Sol,1,6)</f>
        <v>0.0189848370247231</v>
      </c>
      <c r="I205" s="181" t="n">
        <f aca="false">INDEX(IF_AmortBU_Sol,1,7)</f>
        <v>0.00936389932228216</v>
      </c>
      <c r="J205" s="181" t="n">
        <f aca="false">INDEX(IF_AmortBU_Sol,1,8)</f>
        <v>0.0120940178715063</v>
      </c>
      <c r="K205" s="181" t="n">
        <f aca="false">INDEX(IF_AmortBU_Sol,1,9)</f>
        <v>0.0205906550767309</v>
      </c>
      <c r="L205" s="181" t="n">
        <f aca="false">INDEX(IF_AmortBU_Sol,1,10)</f>
        <v>0.00403441053211496</v>
      </c>
      <c r="M205" s="181" t="n">
        <f aca="false">INDEX(IF_AmortBU_Sol,1,11)</f>
        <v>0.00518525758392133</v>
      </c>
      <c r="N205" s="181" t="n">
        <f aca="false">INDEX(IF_AmortBU_Sol,1,12)</f>
        <v>0.00837694419673806</v>
      </c>
      <c r="O205" s="181" t="n">
        <f aca="false">INDEX(IF_AmortBU_Sol,1,13)</f>
        <v>0.00207075943620614</v>
      </c>
      <c r="P205" s="181" t="n">
        <f aca="false">INDEX(IF_AmortBU_Sol,1,14)</f>
        <v>0.00314727040880126</v>
      </c>
      <c r="Q205" s="181" t="n">
        <f aca="false">INDEX(IF_AmortBU_Sol,1,15)</f>
        <v>0.00574547266619956</v>
      </c>
      <c r="R205" s="105" t="n">
        <f aca="false">SUMPRODUCT((C205:Q205&lt;C204:Q204-0.000000001*ABS(C204:Q204)-0.000000000001)+(C205:Q205&gt;C206:Q206+0.000000001*ABS(C206:Q206)+0.000000000001))</f>
        <v>0</v>
      </c>
    </row>
    <row r="206" customFormat="false" ht="15" hidden="false" customHeight="false" outlineLevel="0" collapsed="false">
      <c r="A206" s="62" t="s">
        <v>3041</v>
      </c>
      <c r="B206" s="61" t="s">
        <v>3034</v>
      </c>
      <c r="C206" s="61" t="n">
        <v>0.114040439741435</v>
      </c>
      <c r="D206" s="61" t="n">
        <v>0.162940977305579</v>
      </c>
      <c r="E206" s="61" t="n">
        <v>0.279829588866025</v>
      </c>
      <c r="F206" s="61" t="n">
        <v>0.00925485273023319</v>
      </c>
      <c r="G206" s="61" t="n">
        <v>0.0123571752114572</v>
      </c>
      <c r="H206" s="61" t="n">
        <v>0.0200423448139515</v>
      </c>
      <c r="I206" s="61" t="n">
        <v>0.00936389932228216</v>
      </c>
      <c r="J206" s="61" t="n">
        <v>0.0120940178715063</v>
      </c>
      <c r="K206" s="61" t="n">
        <v>0.0205906550767309</v>
      </c>
      <c r="L206" s="61" t="n">
        <v>0.00403441053211496</v>
      </c>
      <c r="M206" s="61" t="n">
        <v>0.00518525758392133</v>
      </c>
      <c r="N206" s="61" t="n">
        <v>0.00837694419673806</v>
      </c>
      <c r="O206" s="61" t="n">
        <v>0.00207075943620614</v>
      </c>
      <c r="P206" s="61" t="n">
        <v>0.00314727040880126</v>
      </c>
      <c r="Q206" s="61" t="n">
        <v>0.00574547266619956</v>
      </c>
    </row>
    <row r="207" customFormat="false" ht="15" hidden="false" customHeight="false" outlineLevel="0" collapsed="false">
      <c r="A207" s="10" t="s">
        <v>3042</v>
      </c>
      <c r="B207" s="61" t="s">
        <v>3032</v>
      </c>
      <c r="C207" s="61" t="n">
        <v>6.71333459608619</v>
      </c>
      <c r="D207" s="61" t="n">
        <v>9.59173457910629</v>
      </c>
      <c r="E207" s="61" t="n">
        <v>16.4720715710975</v>
      </c>
      <c r="F207" s="61" t="n">
        <v>1.51730453505283</v>
      </c>
      <c r="G207" s="61" t="n">
        <v>2.02570011072348</v>
      </c>
      <c r="H207" s="61" t="n">
        <v>3.28511342053682</v>
      </c>
      <c r="I207" s="61" t="n">
        <v>1.4045212266443</v>
      </c>
      <c r="J207" s="61" t="n">
        <v>1.81382399146405</v>
      </c>
      <c r="K207" s="61" t="n">
        <v>3.08765039755805</v>
      </c>
      <c r="L207" s="61" t="n">
        <v>0.959356186038775</v>
      </c>
      <c r="M207" s="61" t="n">
        <v>1.23283860001109</v>
      </c>
      <c r="N207" s="61" t="n">
        <v>1.99129747440816</v>
      </c>
      <c r="O207" s="61" t="n">
        <v>0.737286975101976</v>
      </c>
      <c r="P207" s="61" t="n">
        <v>1.12024727602933</v>
      </c>
      <c r="Q207" s="61" t="n">
        <v>2.04453726813664</v>
      </c>
    </row>
    <row r="208" customFormat="false" ht="15" hidden="false" customHeight="false" outlineLevel="0" collapsed="false">
      <c r="A208" s="62" t="s">
        <v>3042</v>
      </c>
      <c r="B208" s="61" t="s">
        <v>3033</v>
      </c>
      <c r="C208" s="181" t="n">
        <f aca="false">INDEX(IF_AmortDefault_Astra,1,1)</f>
        <v>6.71333459608619</v>
      </c>
      <c r="D208" s="181" t="n">
        <f aca="false">INDEX(IF_AmortDefault_Astra,1,2)</f>
        <v>9.59173457910629</v>
      </c>
      <c r="E208" s="181" t="n">
        <f aca="false">INDEX(IF_AmortDefault_Astra,1,3)</f>
        <v>16.4720715710975</v>
      </c>
      <c r="F208" s="181" t="n">
        <f aca="false">INDEX(IF_AmortDefault_Astra,1,4)</f>
        <v>1.52013235990977</v>
      </c>
      <c r="G208" s="181" t="n">
        <f aca="false">INDEX(IF_AmortDefault_Astra,1,5)</f>
        <v>2.02947544058869</v>
      </c>
      <c r="H208" s="181" t="n">
        <f aca="false">INDEX(IF_AmortDefault_Astra,1,6)</f>
        <v>3.29123593923616</v>
      </c>
      <c r="I208" s="181" t="n">
        <f aca="false">INDEX(IF_AmortDefault_Astra,1,7)</f>
        <v>1.4045212266443</v>
      </c>
      <c r="J208" s="181" t="n">
        <f aca="false">INDEX(IF_AmortDefault_Astra,1,8)</f>
        <v>1.81382399146405</v>
      </c>
      <c r="K208" s="181" t="n">
        <f aca="false">INDEX(IF_AmortDefault_Astra,1,9)</f>
        <v>3.08765039755805</v>
      </c>
      <c r="L208" s="181" t="n">
        <f aca="false">INDEX(IF_AmortDefault_Astra,1,10)</f>
        <v>0.959356186038775</v>
      </c>
      <c r="M208" s="181" t="n">
        <f aca="false">INDEX(IF_AmortDefault_Astra,1,11)</f>
        <v>1.23283860001109</v>
      </c>
      <c r="N208" s="181" t="n">
        <f aca="false">INDEX(IF_AmortDefault_Astra,1,12)</f>
        <v>1.99129747440816</v>
      </c>
      <c r="O208" s="181" t="n">
        <f aca="false">INDEX(IF_AmortDefault_Astra,1,13)</f>
        <v>0.737286975101976</v>
      </c>
      <c r="P208" s="181" t="n">
        <f aca="false">INDEX(IF_AmortDefault_Astra,1,14)</f>
        <v>1.12024727602933</v>
      </c>
      <c r="Q208" s="181" t="n">
        <f aca="false">INDEX(IF_AmortDefault_Astra,1,15)</f>
        <v>2.04453726813664</v>
      </c>
      <c r="R208" s="105" t="n">
        <f aca="false">SUMPRODUCT((C208:Q208&lt;C207:Q207-0.000000001*ABS(C207:Q207)-0.000000000001)+(C208:Q208&gt;C209:Q209+0.000000001*ABS(C209:Q209)+0.000000000001))</f>
        <v>0</v>
      </c>
    </row>
    <row r="209" customFormat="false" ht="15" hidden="false" customHeight="false" outlineLevel="0" collapsed="false">
      <c r="A209" s="62" t="s">
        <v>3042</v>
      </c>
      <c r="B209" s="61" t="s">
        <v>3034</v>
      </c>
      <c r="C209" s="61" t="n">
        <v>6.80306793887322</v>
      </c>
      <c r="D209" s="61" t="n">
        <v>9.71994186485828</v>
      </c>
      <c r="E209" s="61" t="n">
        <v>16.6922444261141</v>
      </c>
      <c r="F209" s="61" t="n">
        <v>1.52246647031403</v>
      </c>
      <c r="G209" s="61" t="n">
        <v>2.03259162959039</v>
      </c>
      <c r="H209" s="61" t="n">
        <v>3.29628951762923</v>
      </c>
      <c r="I209" s="61" t="n">
        <v>1.4045212266443</v>
      </c>
      <c r="J209" s="61" t="n">
        <v>1.81382399146405</v>
      </c>
      <c r="K209" s="61" t="n">
        <v>3.08765039755805</v>
      </c>
      <c r="L209" s="61" t="n">
        <v>0.959356186038775</v>
      </c>
      <c r="M209" s="61" t="n">
        <v>1.23283860001109</v>
      </c>
      <c r="N209" s="61" t="n">
        <v>1.99129747440816</v>
      </c>
      <c r="O209" s="61" t="n">
        <v>0.737286975101976</v>
      </c>
      <c r="P209" s="61" t="n">
        <v>1.12024727602933</v>
      </c>
      <c r="Q209" s="61" t="n">
        <v>2.04453726813664</v>
      </c>
    </row>
    <row r="210" customFormat="false" ht="15" hidden="false" customHeight="false" outlineLevel="0" collapsed="false">
      <c r="A210" s="10" t="s">
        <v>3043</v>
      </c>
      <c r="B210" s="61" t="s">
        <v>3032</v>
      </c>
      <c r="C210" s="61" t="n">
        <v>0.0929545030176289</v>
      </c>
      <c r="D210" s="61" t="n">
        <v>0.13280954615276</v>
      </c>
      <c r="E210" s="61" t="n">
        <v>0.228076405942113</v>
      </c>
      <c r="F210" s="61" t="n">
        <v>0.0200008025461058</v>
      </c>
      <c r="G210" s="61" t="n">
        <v>0.0267023705500191</v>
      </c>
      <c r="H210" s="61" t="n">
        <v>0.043303702946773</v>
      </c>
      <c r="I210" s="61" t="n">
        <v>0.020050088283311</v>
      </c>
      <c r="J210" s="61" t="n">
        <v>0.0258930448820136</v>
      </c>
      <c r="K210" s="61" t="n">
        <v>0.0440774136300878</v>
      </c>
      <c r="L210" s="61" t="n">
        <v>0.0148626841575213</v>
      </c>
      <c r="M210" s="61" t="n">
        <v>0.0190995701031786</v>
      </c>
      <c r="N210" s="61" t="n">
        <v>0.0308498823028407</v>
      </c>
      <c r="O210" s="61" t="n">
        <v>0.0108849945073861</v>
      </c>
      <c r="P210" s="61" t="n">
        <v>0.0165388591664826</v>
      </c>
      <c r="Q210" s="61" t="n">
        <v>0.0301846874898821</v>
      </c>
    </row>
    <row r="211" customFormat="false" ht="15" hidden="false" customHeight="false" outlineLevel="0" collapsed="false">
      <c r="A211" s="62" t="s">
        <v>3043</v>
      </c>
      <c r="B211" s="61" t="s">
        <v>3033</v>
      </c>
      <c r="C211" s="181" t="n">
        <f aca="false">INDEX(IF_AmortDefault_Luna,1,1)</f>
        <v>0.111643809823497</v>
      </c>
      <c r="D211" s="181" t="n">
        <f aca="false">INDEX(IF_AmortDefault_Luna,1,2)</f>
        <v>0.159512054091793</v>
      </c>
      <c r="E211" s="181" t="n">
        <f aca="false">INDEX(IF_AmortDefault_Luna,1,3)</f>
        <v>0.273933140015809</v>
      </c>
      <c r="F211" s="181" t="n">
        <f aca="false">INDEX(IF_AmortDefault_Luna,1,4)</f>
        <v>0.0204339215912253</v>
      </c>
      <c r="G211" s="181" t="n">
        <f aca="false">INDEX(IF_AmortDefault_Luna,1,5)</f>
        <v>0.027280612608476</v>
      </c>
      <c r="H211" s="181" t="n">
        <f aca="false">INDEX(IF_AmortDefault_Luna,1,6)</f>
        <v>0.0442414482411035</v>
      </c>
      <c r="I211" s="181" t="n">
        <f aca="false">INDEX(IF_AmortDefault_Luna,1,7)</f>
        <v>0.020050088283311</v>
      </c>
      <c r="J211" s="181" t="n">
        <f aca="false">INDEX(IF_AmortDefault_Luna,1,8)</f>
        <v>0.0258930448820136</v>
      </c>
      <c r="K211" s="181" t="n">
        <f aca="false">INDEX(IF_AmortDefault_Luna,1,9)</f>
        <v>0.0440774136300878</v>
      </c>
      <c r="L211" s="181" t="n">
        <f aca="false">INDEX(IF_AmortDefault_Luna,1,10)</f>
        <v>0.0148626841575213</v>
      </c>
      <c r="M211" s="181" t="n">
        <f aca="false">INDEX(IF_AmortDefault_Luna,1,11)</f>
        <v>0.0190995701031786</v>
      </c>
      <c r="N211" s="181" t="n">
        <f aca="false">INDEX(IF_AmortDefault_Luna,1,12)</f>
        <v>0.0308498823028407</v>
      </c>
      <c r="O211" s="181" t="n">
        <f aca="false">INDEX(IF_AmortDefault_Luna,1,13)</f>
        <v>0.0108849945073861</v>
      </c>
      <c r="P211" s="181" t="n">
        <f aca="false">INDEX(IF_AmortDefault_Luna,1,14)</f>
        <v>0.0165388591664826</v>
      </c>
      <c r="Q211" s="181" t="n">
        <f aca="false">INDEX(IF_AmortDefault_Luna,1,15)</f>
        <v>0.0301846874898821</v>
      </c>
      <c r="R211" s="105" t="n">
        <f aca="false">SUMPRODUCT((C211:Q211&lt;C210:Q210-0.000000001*ABS(C210:Q210)-0.000000000001)+(C211:Q211&gt;C212:Q212+0.000000001*ABS(C212:Q212)+0.000000000001))</f>
        <v>0</v>
      </c>
    </row>
    <row r="212" customFormat="false" ht="15" hidden="false" customHeight="false" outlineLevel="0" collapsed="false">
      <c r="A212" s="62" t="s">
        <v>3043</v>
      </c>
      <c r="B212" s="61" t="s">
        <v>3034</v>
      </c>
      <c r="C212" s="61" t="n">
        <v>0.111643809823497</v>
      </c>
      <c r="D212" s="61" t="n">
        <v>0.159512054091793</v>
      </c>
      <c r="E212" s="61" t="n">
        <v>0.273933140015809</v>
      </c>
      <c r="F212" s="61" t="n">
        <v>0.0210277866158494</v>
      </c>
      <c r="G212" s="61" t="n">
        <v>0.0280734609908173</v>
      </c>
      <c r="H212" s="61" t="n">
        <v>0.0455272243772119</v>
      </c>
      <c r="I212" s="61" t="n">
        <v>0.020050088283311</v>
      </c>
      <c r="J212" s="61" t="n">
        <v>0.0258930448820136</v>
      </c>
      <c r="K212" s="61" t="n">
        <v>0.0440774136300878</v>
      </c>
      <c r="L212" s="61" t="n">
        <v>0.0148626841575213</v>
      </c>
      <c r="M212" s="61" t="n">
        <v>0.0190995701031786</v>
      </c>
      <c r="N212" s="61" t="n">
        <v>0.0308498823028407</v>
      </c>
      <c r="O212" s="61" t="n">
        <v>0.0108849945073861</v>
      </c>
      <c r="P212" s="61" t="n">
        <v>0.0165388591664826</v>
      </c>
      <c r="Q212" s="61" t="n">
        <v>0.0301846874898821</v>
      </c>
    </row>
    <row r="213" customFormat="false" ht="15" hidden="false" customHeight="false" outlineLevel="0" collapsed="false">
      <c r="A213" s="10" t="s">
        <v>3044</v>
      </c>
      <c r="B213" s="61" t="s">
        <v>3032</v>
      </c>
      <c r="C213" s="61" t="n">
        <v>0.262314895289109</v>
      </c>
      <c r="D213" s="61" t="n">
        <v>0.374784664125937</v>
      </c>
      <c r="E213" s="61" t="n">
        <v>0.643624962754901</v>
      </c>
      <c r="F213" s="61" t="n">
        <v>0.0579399552774984</v>
      </c>
      <c r="G213" s="61" t="n">
        <v>0.0773536037818906</v>
      </c>
      <c r="H213" s="61" t="n">
        <v>0.125445696806532</v>
      </c>
      <c r="I213" s="61" t="n">
        <v>0.0547539755990414</v>
      </c>
      <c r="J213" s="61" t="n">
        <v>0.0707102695819418</v>
      </c>
      <c r="K213" s="61" t="n">
        <v>0.120369227121036</v>
      </c>
      <c r="L213" s="61" t="n">
        <v>0.0384837213809363</v>
      </c>
      <c r="M213" s="61" t="n">
        <v>0.0494542255326352</v>
      </c>
      <c r="N213" s="61" t="n">
        <v>0.0798791296776901</v>
      </c>
      <c r="O213" s="61" t="n">
        <v>0.0291493508211308</v>
      </c>
      <c r="P213" s="61" t="n">
        <v>0.0442900552405372</v>
      </c>
      <c r="Q213" s="61" t="n">
        <v>0.0808327504870792</v>
      </c>
    </row>
    <row r="214" customFormat="false" ht="15" hidden="false" customHeight="false" outlineLevel="0" collapsed="false">
      <c r="A214" s="62" t="s">
        <v>3044</v>
      </c>
      <c r="B214" s="61" t="s">
        <v>3033</v>
      </c>
      <c r="C214" s="181" t="n">
        <f aca="false">INDEX(IF_AmortDefault_Sol,1,1)</f>
        <v>0.275613292390679</v>
      </c>
      <c r="D214" s="181" t="n">
        <f aca="false">INDEX(IF_AmortDefault_Sol,1,2)</f>
        <v>0.393784863430792</v>
      </c>
      <c r="E214" s="181" t="n">
        <f aca="false">INDEX(IF_AmortDefault_Sol,1,3)</f>
        <v>0.676254373028246</v>
      </c>
      <c r="F214" s="181" t="n">
        <f aca="false">INDEX(IF_AmortDefault_Sol,1,4)</f>
        <v>0.0583329973721456</v>
      </c>
      <c r="G214" s="181" t="n">
        <f aca="false">INDEX(IF_AmortDefault_Sol,1,5)</f>
        <v>0.0778783405082709</v>
      </c>
      <c r="H214" s="181" t="n">
        <f aca="false">INDEX(IF_AmortDefault_Sol,1,6)</f>
        <v>0.126296671564817</v>
      </c>
      <c r="I214" s="181" t="n">
        <f aca="false">INDEX(IF_AmortDefault_Sol,1,7)</f>
        <v>0.0547539755990414</v>
      </c>
      <c r="J214" s="181" t="n">
        <f aca="false">INDEX(IF_AmortDefault_Sol,1,8)</f>
        <v>0.0707102695819418</v>
      </c>
      <c r="K214" s="181" t="n">
        <f aca="false">INDEX(IF_AmortDefault_Sol,1,9)</f>
        <v>0.120369227121036</v>
      </c>
      <c r="L214" s="181" t="n">
        <f aca="false">INDEX(IF_AmortDefault_Sol,1,10)</f>
        <v>0.0384837213809363</v>
      </c>
      <c r="M214" s="181" t="n">
        <f aca="false">INDEX(IF_AmortDefault_Sol,1,11)</f>
        <v>0.0494542255326352</v>
      </c>
      <c r="N214" s="181" t="n">
        <f aca="false">INDEX(IF_AmortDefault_Sol,1,12)</f>
        <v>0.0798791296776901</v>
      </c>
      <c r="O214" s="181" t="n">
        <f aca="false">INDEX(IF_AmortDefault_Sol,1,13)</f>
        <v>0.0291493508211308</v>
      </c>
      <c r="P214" s="181" t="n">
        <f aca="false">INDEX(IF_AmortDefault_Sol,1,14)</f>
        <v>0.0442900552405372</v>
      </c>
      <c r="Q214" s="181" t="n">
        <f aca="false">INDEX(IF_AmortDefault_Sol,1,15)</f>
        <v>0.0808327504870792</v>
      </c>
      <c r="R214" s="105" t="n">
        <f aca="false">SUMPRODUCT((C214:Q214&lt;C213:Q213-0.000000001*ABS(C213:Q213)-0.000000000001)+(C214:Q214&gt;C215:Q215+0.000000001*ABS(C215:Q215)+0.000000000001))</f>
        <v>0</v>
      </c>
    </row>
    <row r="215" customFormat="false" ht="15" hidden="false" customHeight="false" outlineLevel="0" collapsed="false">
      <c r="A215" s="62" t="s">
        <v>3044</v>
      </c>
      <c r="B215" s="61" t="s">
        <v>3034</v>
      </c>
      <c r="C215" s="61" t="n">
        <v>0.275613292390679</v>
      </c>
      <c r="D215" s="61" t="n">
        <v>0.393784863430792</v>
      </c>
      <c r="E215" s="61" t="n">
        <v>0.676254373028246</v>
      </c>
      <c r="F215" s="61" t="n">
        <v>0.0587477256359037</v>
      </c>
      <c r="G215" s="61" t="n">
        <v>0.0784320296790383</v>
      </c>
      <c r="H215" s="61" t="n">
        <v>0.127194599010279</v>
      </c>
      <c r="I215" s="61" t="n">
        <v>0.0547539755990414</v>
      </c>
      <c r="J215" s="61" t="n">
        <v>0.0707102695819418</v>
      </c>
      <c r="K215" s="61" t="n">
        <v>0.120369227121036</v>
      </c>
      <c r="L215" s="61" t="n">
        <v>0.0384837213809363</v>
      </c>
      <c r="M215" s="61" t="n">
        <v>0.0494542255326352</v>
      </c>
      <c r="N215" s="61" t="n">
        <v>0.0798791296776901</v>
      </c>
      <c r="O215" s="61" t="n">
        <v>0.0291493508211308</v>
      </c>
      <c r="P215" s="61" t="n">
        <v>0.0442900552405372</v>
      </c>
      <c r="Q215" s="61" t="n">
        <v>0.0808327504870792</v>
      </c>
    </row>
    <row r="216" customFormat="false" ht="15" hidden="false" customHeight="false" outlineLevel="0" collapsed="false">
      <c r="A216" s="10" t="s">
        <v>3045</v>
      </c>
      <c r="B216" s="61" t="s">
        <v>3032</v>
      </c>
      <c r="C216" s="61" t="n">
        <v>8.37597131767689</v>
      </c>
      <c r="D216" s="61" t="n">
        <v>11.9672141592289</v>
      </c>
      <c r="E216" s="61" t="n">
        <v>20.5514835851995</v>
      </c>
      <c r="F216" s="61" t="n">
        <v>1.88791272559406</v>
      </c>
      <c r="G216" s="61" t="n">
        <v>2.52046517353177</v>
      </c>
      <c r="H216" s="61" t="n">
        <v>4.08744374339218</v>
      </c>
      <c r="I216" s="61" t="n">
        <v>1.76284570954953</v>
      </c>
      <c r="J216" s="61" t="n">
        <v>2.27655571119161</v>
      </c>
      <c r="K216" s="61" t="n">
        <v>3.87531687630239</v>
      </c>
      <c r="L216" s="61" t="n">
        <v>1.18776185214537</v>
      </c>
      <c r="M216" s="61" t="n">
        <v>1.52633508268063</v>
      </c>
      <c r="N216" s="61" t="n">
        <v>2.46531272150879</v>
      </c>
      <c r="O216" s="61" t="n">
        <v>0.909184613506693</v>
      </c>
      <c r="P216" s="61" t="n">
        <v>1.38139206389233</v>
      </c>
      <c r="Q216" s="61" t="n">
        <v>2.52108361816848</v>
      </c>
    </row>
    <row r="217" customFormat="false" ht="15" hidden="false" customHeight="false" outlineLevel="0" collapsed="false">
      <c r="A217" s="62" t="s">
        <v>3045</v>
      </c>
      <c r="B217" s="61" t="s">
        <v>3033</v>
      </c>
      <c r="C217" s="126" t="n">
        <f aca="false">INDEX(IF_FullCostDefault_Astra,1,1)</f>
        <v>8.37597131767689</v>
      </c>
      <c r="D217" s="126" t="n">
        <f aca="false">INDEX(IF_FullCostDefault_Astra,1,2)</f>
        <v>11.9672141592289</v>
      </c>
      <c r="E217" s="126" t="n">
        <f aca="false">INDEX(IF_FullCostDefault_Astra,1,3)</f>
        <v>20.5514835851995</v>
      </c>
      <c r="F217" s="126" t="n">
        <f aca="false">INDEX(IF_FullCostDefault_Astra,1,4)</f>
        <v>1.890740550451</v>
      </c>
      <c r="G217" s="126" t="n">
        <f aca="false">INDEX(IF_FullCostDefault_Astra,1,5)</f>
        <v>2.52424050339698</v>
      </c>
      <c r="H217" s="126" t="n">
        <f aca="false">INDEX(IF_FullCostDefault_Astra,1,6)</f>
        <v>4.09356626209152</v>
      </c>
      <c r="I217" s="126" t="n">
        <f aca="false">INDEX(IF_FullCostDefault_Astra,1,7)</f>
        <v>1.76284570954953</v>
      </c>
      <c r="J217" s="126" t="n">
        <f aca="false">INDEX(IF_FullCostDefault_Astra,1,8)</f>
        <v>2.27655571119161</v>
      </c>
      <c r="K217" s="126" t="n">
        <f aca="false">INDEX(IF_FullCostDefault_Astra,1,9)</f>
        <v>3.87531687630239</v>
      </c>
      <c r="L217" s="126" t="n">
        <f aca="false">INDEX(IF_FullCostDefault_Astra,1,10)</f>
        <v>1.18776185214537</v>
      </c>
      <c r="M217" s="126" t="n">
        <f aca="false">INDEX(IF_FullCostDefault_Astra,1,11)</f>
        <v>1.52633508268063</v>
      </c>
      <c r="N217" s="126" t="n">
        <f aca="false">INDEX(IF_FullCostDefault_Astra,1,12)</f>
        <v>2.46531272150879</v>
      </c>
      <c r="O217" s="126" t="n">
        <f aca="false">INDEX(IF_FullCostDefault_Astra,1,13)</f>
        <v>0.909184613506693</v>
      </c>
      <c r="P217" s="126" t="n">
        <f aca="false">INDEX(IF_FullCostDefault_Astra,1,14)</f>
        <v>1.38139206389233</v>
      </c>
      <c r="Q217" s="126" t="n">
        <f aca="false">INDEX(IF_FullCostDefault_Astra,1,15)</f>
        <v>2.52108361816848</v>
      </c>
      <c r="R217" s="105" t="n">
        <f aca="false">SUMPRODUCT((C217:Q217&lt;C216:Q216-0.000000001*ABS(C216:Q216)-0.000000000001)+(C217:Q217&gt;C218:Q218+0.000000001*ABS(C218:Q218)+0.000000000001))</f>
        <v>0</v>
      </c>
    </row>
    <row r="218" customFormat="false" ht="15" hidden="false" customHeight="false" outlineLevel="0" collapsed="false">
      <c r="A218" s="62" t="s">
        <v>3045</v>
      </c>
      <c r="B218" s="61" t="s">
        <v>3034</v>
      </c>
      <c r="C218" s="61" t="n">
        <v>8.46570466046391</v>
      </c>
      <c r="D218" s="61" t="n">
        <v>12.0954214449808</v>
      </c>
      <c r="E218" s="61" t="n">
        <v>20.771656440216</v>
      </c>
      <c r="F218" s="61" t="n">
        <v>1.89307466085526</v>
      </c>
      <c r="G218" s="61" t="n">
        <v>2.52735669239868</v>
      </c>
      <c r="H218" s="61" t="n">
        <v>4.09861984048459</v>
      </c>
      <c r="I218" s="61" t="n">
        <v>1.76284570954953</v>
      </c>
      <c r="J218" s="61" t="n">
        <v>2.27655571119161</v>
      </c>
      <c r="K218" s="61" t="n">
        <v>3.87531687630239</v>
      </c>
      <c r="L218" s="61" t="n">
        <v>1.18776185214537</v>
      </c>
      <c r="M218" s="61" t="n">
        <v>1.52633508268063</v>
      </c>
      <c r="N218" s="61" t="n">
        <v>2.46531272150879</v>
      </c>
      <c r="O218" s="61" t="n">
        <v>0.909184613506693</v>
      </c>
      <c r="P218" s="61" t="n">
        <v>1.38139206389233</v>
      </c>
      <c r="Q218" s="61" t="n">
        <v>2.52108361816848</v>
      </c>
    </row>
    <row r="219" customFormat="false" ht="15" hidden="false" customHeight="false" outlineLevel="0" collapsed="false">
      <c r="A219" s="10" t="s">
        <v>3046</v>
      </c>
      <c r="B219" s="61" t="s">
        <v>3032</v>
      </c>
      <c r="C219" s="61" t="n">
        <v>0.193824301236157</v>
      </c>
      <c r="D219" s="61" t="n">
        <v>0.276927666256291</v>
      </c>
      <c r="E219" s="61" t="n">
        <v>0.475572454986124</v>
      </c>
      <c r="F219" s="61" t="n">
        <v>0.0422056634426682</v>
      </c>
      <c r="G219" s="61" t="n">
        <v>0.056346899640901</v>
      </c>
      <c r="H219" s="61" t="n">
        <v>0.0913780091500166</v>
      </c>
      <c r="I219" s="61" t="n">
        <v>0.0394990702371519</v>
      </c>
      <c r="J219" s="61" t="n">
        <v>0.0510093723279292</v>
      </c>
      <c r="K219" s="61" t="n">
        <v>0.0868315753658399</v>
      </c>
      <c r="L219" s="61" t="n">
        <v>0.0300930289619664</v>
      </c>
      <c r="M219" s="61" t="n">
        <v>0.038671399449487</v>
      </c>
      <c r="N219" s="61" t="n">
        <v>0.0624621109969744</v>
      </c>
      <c r="O219" s="61" t="n">
        <v>0.0229208408319282</v>
      </c>
      <c r="P219" s="61" t="n">
        <v>0.034826063901107</v>
      </c>
      <c r="Q219" s="61" t="n">
        <v>0.0635597955960129</v>
      </c>
    </row>
    <row r="220" customFormat="false" ht="15" hidden="false" customHeight="false" outlineLevel="0" collapsed="false">
      <c r="A220" s="62" t="s">
        <v>3046</v>
      </c>
      <c r="B220" s="61" t="s">
        <v>3033</v>
      </c>
      <c r="C220" s="126" t="n">
        <f aca="false">INDEX(IF_FullCostDefault_Luna,1,1)</f>
        <v>0.212513608042025</v>
      </c>
      <c r="D220" s="126" t="n">
        <f aca="false">INDEX(IF_FullCostDefault_Luna,1,2)</f>
        <v>0.303630174195324</v>
      </c>
      <c r="E220" s="126" t="n">
        <f aca="false">INDEX(IF_FullCostDefault_Luna,1,3)</f>
        <v>0.52142918905982</v>
      </c>
      <c r="F220" s="126" t="n">
        <f aca="false">INDEX(IF_FullCostDefault_Luna,1,4)</f>
        <v>0.0426387824877877</v>
      </c>
      <c r="G220" s="126" t="n">
        <f aca="false">INDEX(IF_FullCostDefault_Luna,1,5)</f>
        <v>0.0569251416993579</v>
      </c>
      <c r="H220" s="126" t="n">
        <f aca="false">INDEX(IF_FullCostDefault_Luna,1,6)</f>
        <v>0.0923157544443471</v>
      </c>
      <c r="I220" s="126" t="n">
        <f aca="false">INDEX(IF_FullCostDefault_Luna,1,7)</f>
        <v>0.0394990702371519</v>
      </c>
      <c r="J220" s="126" t="n">
        <f aca="false">INDEX(IF_FullCostDefault_Luna,1,8)</f>
        <v>0.0510093723279292</v>
      </c>
      <c r="K220" s="126" t="n">
        <f aca="false">INDEX(IF_FullCostDefault_Luna,1,9)</f>
        <v>0.0868315753658399</v>
      </c>
      <c r="L220" s="126" t="n">
        <f aca="false">INDEX(IF_FullCostDefault_Luna,1,10)</f>
        <v>0.0300930289619664</v>
      </c>
      <c r="M220" s="126" t="n">
        <f aca="false">INDEX(IF_FullCostDefault_Luna,1,11)</f>
        <v>0.038671399449487</v>
      </c>
      <c r="N220" s="126" t="n">
        <f aca="false">INDEX(IF_FullCostDefault_Luna,1,12)</f>
        <v>0.0624621109969744</v>
      </c>
      <c r="O220" s="126" t="n">
        <f aca="false">INDEX(IF_FullCostDefault_Luna,1,13)</f>
        <v>0.0229208408319282</v>
      </c>
      <c r="P220" s="126" t="n">
        <f aca="false">INDEX(IF_FullCostDefault_Luna,1,14)</f>
        <v>0.034826063901107</v>
      </c>
      <c r="Q220" s="126" t="n">
        <f aca="false">INDEX(IF_FullCostDefault_Luna,1,15)</f>
        <v>0.0635597955960129</v>
      </c>
      <c r="R220" s="105" t="n">
        <f aca="false">SUMPRODUCT((C220:Q220&lt;C219:Q219-0.000000001*ABS(C219:Q219)-0.000000000001)+(C220:Q220&gt;C221:Q221+0.000000001*ABS(C221:Q221)+0.000000000001))</f>
        <v>0</v>
      </c>
    </row>
    <row r="221" customFormat="false" ht="15" hidden="false" customHeight="false" outlineLevel="0" collapsed="false">
      <c r="A221" s="62" t="s">
        <v>3046</v>
      </c>
      <c r="B221" s="61" t="s">
        <v>3034</v>
      </c>
      <c r="C221" s="61" t="n">
        <v>0.212513608042025</v>
      </c>
      <c r="D221" s="61" t="n">
        <v>0.303630174195324</v>
      </c>
      <c r="E221" s="61" t="n">
        <v>0.52142918905982</v>
      </c>
      <c r="F221" s="61" t="n">
        <v>0.0432326475124118</v>
      </c>
      <c r="G221" s="61" t="n">
        <v>0.0577179900816993</v>
      </c>
      <c r="H221" s="61" t="n">
        <v>0.0936015305804555</v>
      </c>
      <c r="I221" s="61" t="n">
        <v>0.0394990702371519</v>
      </c>
      <c r="J221" s="61" t="n">
        <v>0.0510093723279292</v>
      </c>
      <c r="K221" s="61" t="n">
        <v>0.0868315753658399</v>
      </c>
      <c r="L221" s="61" t="n">
        <v>0.0300930289619664</v>
      </c>
      <c r="M221" s="61" t="n">
        <v>0.038671399449487</v>
      </c>
      <c r="N221" s="61" t="n">
        <v>0.0624621109969744</v>
      </c>
      <c r="O221" s="61" t="n">
        <v>0.0229208408319282</v>
      </c>
      <c r="P221" s="61" t="n">
        <v>0.034826063901107</v>
      </c>
      <c r="Q221" s="61" t="n">
        <v>0.0635597955960129</v>
      </c>
    </row>
    <row r="222" customFormat="false" ht="15" hidden="false" customHeight="false" outlineLevel="0" collapsed="false">
      <c r="A222" s="10" t="s">
        <v>3047</v>
      </c>
      <c r="B222" s="61" t="s">
        <v>3032</v>
      </c>
      <c r="C222" s="61" t="n">
        <v>0.598849120642827</v>
      </c>
      <c r="D222" s="61" t="n">
        <v>0.855618167133373</v>
      </c>
      <c r="E222" s="61" t="n">
        <v>1.46938191761589</v>
      </c>
      <c r="F222" s="61" t="n">
        <v>0.133525650341524</v>
      </c>
      <c r="G222" s="61" t="n">
        <v>0.178271255469764</v>
      </c>
      <c r="H222" s="61" t="n">
        <v>0.289116458203517</v>
      </c>
      <c r="I222" s="61" t="n">
        <v>0.120947669135898</v>
      </c>
      <c r="J222" s="61" t="n">
        <v>0.156198775124104</v>
      </c>
      <c r="K222" s="61" t="n">
        <v>0.265906779836878</v>
      </c>
      <c r="L222" s="61" t="n">
        <v>0.0882322144931937</v>
      </c>
      <c r="M222" s="61" t="n">
        <v>0.113389480552912</v>
      </c>
      <c r="N222" s="61" t="n">
        <v>0.183159055208242</v>
      </c>
      <c r="O222" s="61" t="n">
        <v>0.0679801329179448</v>
      </c>
      <c r="P222" s="61" t="n">
        <v>0.103299531016465</v>
      </c>
      <c r="Q222" s="61" t="n">
        <v>0.18854430994176</v>
      </c>
    </row>
    <row r="223" customFormat="false" ht="15" hidden="false" customHeight="false" outlineLevel="0" collapsed="false">
      <c r="A223" s="62" t="s">
        <v>3047</v>
      </c>
      <c r="B223" s="61" t="s">
        <v>3033</v>
      </c>
      <c r="C223" s="126" t="n">
        <f aca="false">INDEX(IF_FullCostDefault_Sol,1,1)</f>
        <v>0.612147517744397</v>
      </c>
      <c r="D223" s="126" t="n">
        <f aca="false">INDEX(IF_FullCostDefault_Sol,1,2)</f>
        <v>0.874618366438229</v>
      </c>
      <c r="E223" s="126" t="n">
        <f aca="false">INDEX(IF_FullCostDefault_Sol,1,3)</f>
        <v>1.50201132788924</v>
      </c>
      <c r="F223" s="126" t="n">
        <f aca="false">INDEX(IF_FullCostDefault_Sol,1,4)</f>
        <v>0.133918692436171</v>
      </c>
      <c r="G223" s="126" t="n">
        <f aca="false">INDEX(IF_FullCostDefault_Sol,1,5)</f>
        <v>0.178795992196144</v>
      </c>
      <c r="H223" s="126" t="n">
        <f aca="false">INDEX(IF_FullCostDefault_Sol,1,6)</f>
        <v>0.289967432961802</v>
      </c>
      <c r="I223" s="126" t="n">
        <f aca="false">INDEX(IF_FullCostDefault_Sol,1,7)</f>
        <v>0.120947669135898</v>
      </c>
      <c r="J223" s="126" t="n">
        <f aca="false">INDEX(IF_FullCostDefault_Sol,1,8)</f>
        <v>0.156198775124104</v>
      </c>
      <c r="K223" s="126" t="n">
        <f aca="false">INDEX(IF_FullCostDefault_Sol,1,9)</f>
        <v>0.265906779836878</v>
      </c>
      <c r="L223" s="126" t="n">
        <f aca="false">INDEX(IF_FullCostDefault_Sol,1,10)</f>
        <v>0.0882322144931937</v>
      </c>
      <c r="M223" s="126" t="n">
        <f aca="false">INDEX(IF_FullCostDefault_Sol,1,11)</f>
        <v>0.113389480552912</v>
      </c>
      <c r="N223" s="126" t="n">
        <f aca="false">INDEX(IF_FullCostDefault_Sol,1,12)</f>
        <v>0.183159055208242</v>
      </c>
      <c r="O223" s="126" t="n">
        <f aca="false">INDEX(IF_FullCostDefault_Sol,1,13)</f>
        <v>0.0679801329179448</v>
      </c>
      <c r="P223" s="126" t="n">
        <f aca="false">INDEX(IF_FullCostDefault_Sol,1,14)</f>
        <v>0.103299531016465</v>
      </c>
      <c r="Q223" s="126" t="n">
        <f aca="false">INDEX(IF_FullCostDefault_Sol,1,15)</f>
        <v>0.18854430994176</v>
      </c>
      <c r="R223" s="105" t="n">
        <f aca="false">SUMPRODUCT((C223:Q223&lt;C222:Q222-0.000000001*ABS(C222:Q222)-0.000000000001)+(C223:Q223&gt;C224:Q224+0.000000001*ABS(C224:Q224)+0.000000000001))</f>
        <v>0</v>
      </c>
    </row>
    <row r="224" customFormat="false" ht="15" hidden="false" customHeight="false" outlineLevel="0" collapsed="false">
      <c r="A224" s="62" t="s">
        <v>3047</v>
      </c>
      <c r="B224" s="61" t="s">
        <v>3034</v>
      </c>
      <c r="C224" s="61" t="n">
        <v>0.612147517744397</v>
      </c>
      <c r="D224" s="61" t="n">
        <v>0.874618366438229</v>
      </c>
      <c r="E224" s="61" t="n">
        <v>1.50201132788924</v>
      </c>
      <c r="F224" s="61" t="n">
        <v>0.134333420699929</v>
      </c>
      <c r="G224" s="61" t="n">
        <v>0.179349681366911</v>
      </c>
      <c r="H224" s="61" t="n">
        <v>0.290865360407264</v>
      </c>
      <c r="I224" s="61" t="n">
        <v>0.120947669135898</v>
      </c>
      <c r="J224" s="61" t="n">
        <v>0.156198775124104</v>
      </c>
      <c r="K224" s="61" t="n">
        <v>0.265906779836878</v>
      </c>
      <c r="L224" s="61" t="n">
        <v>0.0882322144931937</v>
      </c>
      <c r="M224" s="61" t="n">
        <v>0.113389480552912</v>
      </c>
      <c r="N224" s="61" t="n">
        <v>0.183159055208242</v>
      </c>
      <c r="O224" s="61" t="n">
        <v>0.0679801329179448</v>
      </c>
      <c r="P224" s="61" t="n">
        <v>0.103299531016465</v>
      </c>
      <c r="Q224" s="61" t="n">
        <v>0.18854430994176</v>
      </c>
    </row>
    <row r="225" customFormat="false" ht="15" hidden="false" customHeight="false" outlineLevel="0" collapsed="false">
      <c r="A225" s="10" t="s">
        <v>3048</v>
      </c>
      <c r="B225" s="61" t="s">
        <v>3032</v>
      </c>
      <c r="C225" s="61" t="n">
        <v>3.52782193378363</v>
      </c>
      <c r="D225" s="61" t="n">
        <v>5.04045616228673</v>
      </c>
      <c r="E225" s="61" t="n">
        <v>8.65615700272458</v>
      </c>
      <c r="F225" s="61" t="n">
        <v>0.592480025615707</v>
      </c>
      <c r="G225" s="61" t="n">
        <v>0.791010634771457</v>
      </c>
      <c r="H225" s="61" t="n">
        <v>1.28281682574051</v>
      </c>
      <c r="I225" s="61" t="n">
        <v>0.598522481651746</v>
      </c>
      <c r="J225" s="61" t="n">
        <v>0.772961335570172</v>
      </c>
      <c r="K225" s="61" t="n">
        <v>1.31584752513189</v>
      </c>
      <c r="L225" s="61" t="n">
        <v>0.328979014060463</v>
      </c>
      <c r="M225" s="61" t="n">
        <v>0.422759162078806</v>
      </c>
      <c r="N225" s="61" t="n">
        <v>0.682843108514873</v>
      </c>
      <c r="O225" s="61" t="n">
        <v>0.224274240897612</v>
      </c>
      <c r="P225" s="61" t="n">
        <v>0.340750041982449</v>
      </c>
      <c r="Q225" s="61" t="n">
        <v>0.621869043102671</v>
      </c>
    </row>
    <row r="226" customFormat="false" ht="15" hidden="false" customHeight="false" outlineLevel="0" collapsed="false">
      <c r="A226" s="62" t="s">
        <v>3048</v>
      </c>
      <c r="B226" s="61" t="s">
        <v>3033</v>
      </c>
      <c r="C226" s="126" t="n">
        <f aca="false">INDEX(IF_FullCost_Astra,1,1)</f>
        <v>4.44041141753621</v>
      </c>
      <c r="D226" s="126" t="n">
        <f aca="false">INDEX(IF_FullCost_Astra,1,2)</f>
        <v>6.34436399268955</v>
      </c>
      <c r="E226" s="126" t="n">
        <f aca="false">INDEX(IF_FullCost_Astra,1,3)</f>
        <v>10.8954463339561</v>
      </c>
      <c r="F226" s="126" t="n">
        <f aca="false">INDEX(IF_FullCost_Astra,1,4)</f>
        <v>0.599060192145636</v>
      </c>
      <c r="G226" s="126" t="n">
        <f aca="false">INDEX(IF_FullCost_Astra,1,5)</f>
        <v>0.79979654126841</v>
      </c>
      <c r="H226" s="126" t="n">
        <f aca="false">INDEX(IF_FullCost_Astra,1,6)</f>
        <v>1.2970668597897</v>
      </c>
      <c r="I226" s="126" t="n">
        <f aca="false">INDEX(IF_FullCost_Astra,1,7)</f>
        <v>0.598522481651746</v>
      </c>
      <c r="J226" s="126" t="n">
        <f aca="false">INDEX(IF_FullCost_Astra,1,8)</f>
        <v>0.772961335570172</v>
      </c>
      <c r="K226" s="126" t="n">
        <f aca="false">INDEX(IF_FullCost_Astra,1,9)</f>
        <v>1.31584752513189</v>
      </c>
      <c r="L226" s="126" t="n">
        <f aca="false">INDEX(IF_FullCost_Astra,1,10)</f>
        <v>0.328979014060463</v>
      </c>
      <c r="M226" s="126" t="n">
        <f aca="false">INDEX(IF_FullCost_Astra,1,11)</f>
        <v>0.422759162078806</v>
      </c>
      <c r="N226" s="126" t="n">
        <f aca="false">INDEX(IF_FullCost_Astra,1,12)</f>
        <v>0.682843108514873</v>
      </c>
      <c r="O226" s="126" t="n">
        <f aca="false">INDEX(IF_FullCost_Astra,1,13)</f>
        <v>0.224274240897612</v>
      </c>
      <c r="P226" s="126" t="n">
        <f aca="false">INDEX(IF_FullCost_Astra,1,14)</f>
        <v>0.340750041982449</v>
      </c>
      <c r="Q226" s="126" t="n">
        <f aca="false">INDEX(IF_FullCost_Astra,1,15)</f>
        <v>0.621869043102671</v>
      </c>
      <c r="R226" s="105" t="n">
        <f aca="false">SUMPRODUCT((C226:Q226&lt;C225:Q225-0.000000001*ABS(C225:Q225)-0.000000000001)+(C226:Q226&gt;C227:Q227+0.000000001*ABS(C227:Q227)+0.000000000001))</f>
        <v>0</v>
      </c>
    </row>
    <row r="227" customFormat="false" ht="15" hidden="false" customHeight="false" outlineLevel="0" collapsed="false">
      <c r="A227" s="62" t="s">
        <v>3048</v>
      </c>
      <c r="B227" s="61" t="s">
        <v>3034</v>
      </c>
      <c r="C227" s="61" t="n">
        <v>4.44041141753621</v>
      </c>
      <c r="D227" s="61" t="n">
        <v>6.34436399268955</v>
      </c>
      <c r="E227" s="61" t="n">
        <v>10.8954463339561</v>
      </c>
      <c r="F227" s="61" t="n">
        <v>0.609637529410599</v>
      </c>
      <c r="G227" s="61" t="n">
        <v>0.813919511526688</v>
      </c>
      <c r="H227" s="61" t="n">
        <v>1.31997318221937</v>
      </c>
      <c r="I227" s="61" t="n">
        <v>0.598522481651746</v>
      </c>
      <c r="J227" s="61" t="n">
        <v>0.772961335570172</v>
      </c>
      <c r="K227" s="61" t="n">
        <v>1.31584752513189</v>
      </c>
      <c r="L227" s="61" t="n">
        <v>0.328979014060463</v>
      </c>
      <c r="M227" s="61" t="n">
        <v>0.422759162078806</v>
      </c>
      <c r="N227" s="61" t="n">
        <v>0.682843108514873</v>
      </c>
      <c r="O227" s="61" t="n">
        <v>0.224274240897612</v>
      </c>
      <c r="P227" s="61" t="n">
        <v>0.340750041982449</v>
      </c>
      <c r="Q227" s="61" t="n">
        <v>0.621869043102671</v>
      </c>
    </row>
    <row r="228" customFormat="false" ht="15" hidden="false" customHeight="false" outlineLevel="0" collapsed="false">
      <c r="A228" s="10" t="s">
        <v>3049</v>
      </c>
      <c r="B228" s="61" t="s">
        <v>3032</v>
      </c>
      <c r="C228" s="61" t="n">
        <v>4.88217390567309</v>
      </c>
      <c r="D228" s="61" t="n">
        <v>6.97555422413001</v>
      </c>
      <c r="E228" s="61" t="n">
        <v>11.979432117526</v>
      </c>
      <c r="F228" s="61" t="n">
        <v>0.756196675628754</v>
      </c>
      <c r="G228" s="61" t="n">
        <v>1.00960680136795</v>
      </c>
      <c r="H228" s="61" t="n">
        <v>1.63736223526685</v>
      </c>
      <c r="I228" s="61" t="n">
        <v>0.780177660507834</v>
      </c>
      <c r="J228" s="61" t="n">
        <v>1.00757951160175</v>
      </c>
      <c r="K228" s="61" t="n">
        <v>1.71529640876383</v>
      </c>
      <c r="L228" s="61" t="n">
        <v>0.420721519561101</v>
      </c>
      <c r="M228" s="61" t="n">
        <v>0.540671932390196</v>
      </c>
      <c r="N228" s="61" t="n">
        <v>0.873334840313147</v>
      </c>
      <c r="O228" s="61" t="n">
        <v>0.283299527686788</v>
      </c>
      <c r="P228" s="61" t="n">
        <v>0.43046038459131</v>
      </c>
      <c r="Q228" s="61" t="n">
        <v>0.785638994325553</v>
      </c>
    </row>
    <row r="229" customFormat="false" ht="15" hidden="false" customHeight="false" outlineLevel="0" collapsed="false">
      <c r="A229" s="62" t="s">
        <v>3049</v>
      </c>
      <c r="B229" s="61" t="s">
        <v>3033</v>
      </c>
      <c r="C229" s="126" t="n">
        <f aca="false">INDEX(IF_FullCost_Astra_Prod,1,1)</f>
        <v>6.39656108567329</v>
      </c>
      <c r="D229" s="126" t="n">
        <f aca="false">INDEX(IF_FullCost_Astra_Prod,1,2)</f>
        <v>9.13931058711618</v>
      </c>
      <c r="E229" s="126" t="n">
        <f aca="false">INDEX(IF_FullCost_Astra_Prod,1,3)</f>
        <v>15.6953976375139</v>
      </c>
      <c r="F229" s="126" t="n">
        <f aca="false">INDEX(IF_FullCost_Astra_Prod,1,4)</f>
        <v>0.768239561562932</v>
      </c>
      <c r="G229" s="126" t="n">
        <f aca="false">INDEX(IF_FullCost_Astra_Prod,1,5)</f>
        <v>1.02568658738703</v>
      </c>
      <c r="H229" s="126" t="n">
        <f aca="false">INDEX(IF_FullCost_Astra_Prod,1,6)</f>
        <v>1.66344235555438</v>
      </c>
      <c r="I229" s="126" t="n">
        <f aca="false">INDEX(IF_FullCost_Astra_Prod,1,7)</f>
        <v>0.780177660507834</v>
      </c>
      <c r="J229" s="126" t="n">
        <f aca="false">INDEX(IF_FullCost_Astra_Prod,1,8)</f>
        <v>1.00757951160175</v>
      </c>
      <c r="K229" s="126" t="n">
        <f aca="false">INDEX(IF_FullCost_Astra_Prod,1,9)</f>
        <v>1.71529640876383</v>
      </c>
      <c r="L229" s="126" t="n">
        <f aca="false">INDEX(IF_FullCost_Astra_Prod,1,10)</f>
        <v>0.420721519561101</v>
      </c>
      <c r="M229" s="126" t="n">
        <f aca="false">INDEX(IF_FullCost_Astra_Prod,1,11)</f>
        <v>0.540671932390196</v>
      </c>
      <c r="N229" s="126" t="n">
        <f aca="false">INDEX(IF_FullCost_Astra_Prod,1,12)</f>
        <v>0.873334840313147</v>
      </c>
      <c r="O229" s="126" t="n">
        <f aca="false">INDEX(IF_FullCost_Astra_Prod,1,13)</f>
        <v>0.283299527686788</v>
      </c>
      <c r="P229" s="126" t="n">
        <f aca="false">INDEX(IF_FullCost_Astra_Prod,1,14)</f>
        <v>0.43046038459131</v>
      </c>
      <c r="Q229" s="126" t="n">
        <f aca="false">INDEX(IF_FullCost_Astra_Prod,1,15)</f>
        <v>0.785638994325553</v>
      </c>
      <c r="R229" s="105" t="n">
        <f aca="false">SUMPRODUCT((C229:Q229&lt;C228:Q228-0.000000001*ABS(C228:Q228)-0.000000000001)+(C229:Q229&gt;C230:Q230+0.000000001*ABS(C230:Q230)+0.000000000001))</f>
        <v>0</v>
      </c>
    </row>
    <row r="230" customFormat="false" ht="15" hidden="false" customHeight="false" outlineLevel="0" collapsed="false">
      <c r="A230" s="62" t="s">
        <v>3049</v>
      </c>
      <c r="B230" s="61" t="s">
        <v>3034</v>
      </c>
      <c r="C230" s="61" t="n">
        <v>6.39656108567329</v>
      </c>
      <c r="D230" s="61" t="n">
        <v>9.13931058711618</v>
      </c>
      <c r="E230" s="61" t="n">
        <v>15.6953976375139</v>
      </c>
      <c r="F230" s="61" t="n">
        <v>0.784307917864377</v>
      </c>
      <c r="G230" s="61" t="n">
        <v>1.04714122312947</v>
      </c>
      <c r="H230" s="61" t="n">
        <v>1.69824005001525</v>
      </c>
      <c r="I230" s="61" t="n">
        <v>0.780177660507834</v>
      </c>
      <c r="J230" s="61" t="n">
        <v>1.00757951160175</v>
      </c>
      <c r="K230" s="61" t="n">
        <v>1.71529640876383</v>
      </c>
      <c r="L230" s="61" t="n">
        <v>0.420721519561101</v>
      </c>
      <c r="M230" s="61" t="n">
        <v>0.540671932390196</v>
      </c>
      <c r="N230" s="61" t="n">
        <v>0.873334840313147</v>
      </c>
      <c r="O230" s="61" t="n">
        <v>0.283299527686788</v>
      </c>
      <c r="P230" s="61" t="n">
        <v>0.43046038459131</v>
      </c>
      <c r="Q230" s="61" t="n">
        <v>0.785638994325553</v>
      </c>
    </row>
    <row r="231" customFormat="false" ht="15" hidden="false" customHeight="false" outlineLevel="0" collapsed="false">
      <c r="A231" s="10" t="s">
        <v>3050</v>
      </c>
      <c r="B231" s="61" t="s">
        <v>3032</v>
      </c>
      <c r="C231" s="61" t="n">
        <v>0.126354971377616</v>
      </c>
      <c r="D231" s="61" t="n">
        <v>0.180531334843485</v>
      </c>
      <c r="E231" s="61" t="n">
        <v>0.310030931787855</v>
      </c>
      <c r="F231" s="61" t="n">
        <v>0.0251196145876249</v>
      </c>
      <c r="G231" s="61" t="n">
        <v>0.033536338405258</v>
      </c>
      <c r="H231" s="61" t="n">
        <v>0.0543865080531092</v>
      </c>
      <c r="I231" s="61" t="n">
        <v>0.0228779020648233</v>
      </c>
      <c r="J231" s="61" t="n">
        <v>0.0295449762037583</v>
      </c>
      <c r="K231" s="61" t="n">
        <v>0.0502941521671846</v>
      </c>
      <c r="L231" s="61" t="n">
        <v>0.0167884625578468</v>
      </c>
      <c r="M231" s="61" t="n">
        <v>0.0215744123341219</v>
      </c>
      <c r="N231" s="61" t="n">
        <v>0.0348474635241773</v>
      </c>
      <c r="O231" s="61" t="n">
        <v>0.0128091124335383</v>
      </c>
      <c r="P231" s="61" t="n">
        <v>0.0194624631931499</v>
      </c>
      <c r="Q231" s="61" t="n">
        <v>0.0355205911667204</v>
      </c>
    </row>
    <row r="232" customFormat="false" ht="15" hidden="false" customHeight="false" outlineLevel="0" collapsed="false">
      <c r="A232" s="62" t="s">
        <v>3050</v>
      </c>
      <c r="B232" s="61" t="s">
        <v>3033</v>
      </c>
      <c r="C232" s="126" t="n">
        <f aca="false">INDEX(IF_FullCost_Luna,1,1)</f>
        <v>0.147064628142164</v>
      </c>
      <c r="D232" s="126" t="n">
        <f aca="false">INDEX(IF_FullCost_Luna,1,2)</f>
        <v>0.210121291884421</v>
      </c>
      <c r="E232" s="126" t="n">
        <f aca="false">INDEX(IF_FullCost_Luna,1,3)</f>
        <v>0.360847771420528</v>
      </c>
      <c r="F232" s="126" t="n">
        <f aca="false">INDEX(IF_FullCost_Luna,1,4)</f>
        <v>0.0252757581494963</v>
      </c>
      <c r="G232" s="126" t="n">
        <f aca="false">INDEX(IF_FullCost_Luna,1,5)</f>
        <v>0.0337448229061386</v>
      </c>
      <c r="H232" s="126" t="n">
        <f aca="false">INDEX(IF_FullCost_Luna,1,6)</f>
        <v>0.0547246531537095</v>
      </c>
      <c r="I232" s="126" t="n">
        <f aca="false">INDEX(IF_FullCost_Luna,1,7)</f>
        <v>0.0228779020648233</v>
      </c>
      <c r="J232" s="126" t="n">
        <f aca="false">INDEX(IF_FullCost_Luna,1,8)</f>
        <v>0.0295449762037583</v>
      </c>
      <c r="K232" s="126" t="n">
        <f aca="false">INDEX(IF_FullCost_Luna,1,9)</f>
        <v>0.0502941521671846</v>
      </c>
      <c r="L232" s="126" t="n">
        <f aca="false">INDEX(IF_FullCost_Luna,1,10)</f>
        <v>0.0167884625578468</v>
      </c>
      <c r="M232" s="126" t="n">
        <f aca="false">INDEX(IF_FullCost_Luna,1,11)</f>
        <v>0.0215744123341219</v>
      </c>
      <c r="N232" s="126" t="n">
        <f aca="false">INDEX(IF_FullCost_Luna,1,12)</f>
        <v>0.0348474635241773</v>
      </c>
      <c r="O232" s="126" t="n">
        <f aca="false">INDEX(IF_FullCost_Luna,1,13)</f>
        <v>0.0128091124335383</v>
      </c>
      <c r="P232" s="126" t="n">
        <f aca="false">INDEX(IF_FullCost_Luna,1,14)</f>
        <v>0.0194624631931499</v>
      </c>
      <c r="Q232" s="126" t="n">
        <f aca="false">INDEX(IF_FullCost_Luna,1,15)</f>
        <v>0.0355205911667204</v>
      </c>
      <c r="R232" s="105" t="n">
        <f aca="false">SUMPRODUCT((C232:Q232&lt;C231:Q231-0.000000001*ABS(C231:Q231)-0.000000000001)+(C232:Q232&gt;C233:Q233+0.000000001*ABS(C233:Q233)+0.000000000001))</f>
        <v>0</v>
      </c>
    </row>
    <row r="233" customFormat="false" ht="15" hidden="false" customHeight="false" outlineLevel="0" collapsed="false">
      <c r="A233" s="62" t="s">
        <v>3050</v>
      </c>
      <c r="B233" s="61" t="s">
        <v>3034</v>
      </c>
      <c r="C233" s="61" t="n">
        <v>0.147064628142164</v>
      </c>
      <c r="D233" s="61" t="n">
        <v>0.210121291884421</v>
      </c>
      <c r="E233" s="61" t="n">
        <v>0.360847771420528</v>
      </c>
      <c r="F233" s="61" t="n">
        <v>0.0255174839175551</v>
      </c>
      <c r="G233" s="61" t="n">
        <v>0.0340675776550357</v>
      </c>
      <c r="H233" s="61" t="n">
        <v>0.0552481354105394</v>
      </c>
      <c r="I233" s="61" t="n">
        <v>0.0228779020648233</v>
      </c>
      <c r="J233" s="61" t="n">
        <v>0.0295449762037583</v>
      </c>
      <c r="K233" s="61" t="n">
        <v>0.0502941521671846</v>
      </c>
      <c r="L233" s="61" t="n">
        <v>0.0167884625578468</v>
      </c>
      <c r="M233" s="61" t="n">
        <v>0.0215744123341219</v>
      </c>
      <c r="N233" s="61" t="n">
        <v>0.0348474635241773</v>
      </c>
      <c r="O233" s="61" t="n">
        <v>0.0128091124335383</v>
      </c>
      <c r="P233" s="61" t="n">
        <v>0.0194624631931499</v>
      </c>
      <c r="Q233" s="61" t="n">
        <v>0.0355205911667204</v>
      </c>
    </row>
    <row r="234" customFormat="false" ht="15" hidden="false" customHeight="false" outlineLevel="0" collapsed="false">
      <c r="A234" s="10" t="s">
        <v>3051</v>
      </c>
      <c r="B234" s="61" t="s">
        <v>3032</v>
      </c>
      <c r="C234" s="61" t="n">
        <v>0.167133936381318</v>
      </c>
      <c r="D234" s="61" t="n">
        <v>0.238796318969103</v>
      </c>
      <c r="E234" s="61" t="n">
        <v>0.410093339800667</v>
      </c>
      <c r="F234" s="61" t="n">
        <v>0.031342196685948</v>
      </c>
      <c r="G234" s="61" t="n">
        <v>0.0418447944658784</v>
      </c>
      <c r="H234" s="61" t="n">
        <v>0.0678621558762562</v>
      </c>
      <c r="I234" s="61" t="n">
        <v>0.0288026153594239</v>
      </c>
      <c r="J234" s="61" t="n">
        <v>0.0371970862919076</v>
      </c>
      <c r="K234" s="61" t="n">
        <v>0.0633222426750938</v>
      </c>
      <c r="L234" s="61" t="n">
        <v>0.0209826194864454</v>
      </c>
      <c r="M234" s="61" t="n">
        <v>0.0269649852193189</v>
      </c>
      <c r="N234" s="61" t="n">
        <v>0.0435561009480476</v>
      </c>
      <c r="O234" s="61" t="n">
        <v>0.0159209733995654</v>
      </c>
      <c r="P234" s="61" t="n">
        <v>0.024192065175611</v>
      </c>
      <c r="Q234" s="61" t="n">
        <v>0.0441546757487897</v>
      </c>
    </row>
    <row r="235" customFormat="false" ht="15" hidden="false" customHeight="false" outlineLevel="0" collapsed="false">
      <c r="A235" s="62" t="s">
        <v>3051</v>
      </c>
      <c r="B235" s="61" t="s">
        <v>3033</v>
      </c>
      <c r="C235" s="126" t="n">
        <f aca="false">INDEX(IF_FullCost_Luna_Prod,1,1)</f>
        <v>0.201294741428264</v>
      </c>
      <c r="D235" s="126" t="n">
        <f aca="false">INDEX(IF_FullCost_Luna_Prod,1,2)</f>
        <v>0.287605276322433</v>
      </c>
      <c r="E235" s="126" t="n">
        <f aca="false">INDEX(IF_FullCost_Luna_Prod,1,3)</f>
        <v>0.493916271852604</v>
      </c>
      <c r="F235" s="126" t="n">
        <f aca="false">INDEX(IF_FullCost_Luna_Prod,1,4)</f>
        <v>0.0316179029806012</v>
      </c>
      <c r="G235" s="126" t="n">
        <f aca="false">INDEX(IF_FullCost_Luna_Prod,1,5)</f>
        <v>0.0422129203657971</v>
      </c>
      <c r="H235" s="126" t="n">
        <f aca="false">INDEX(IF_FullCost_Luna_Prod,1,6)</f>
        <v>0.0684592264927087</v>
      </c>
      <c r="I235" s="126" t="n">
        <f aca="false">INDEX(IF_FullCost_Luna_Prod,1,7)</f>
        <v>0.0288026153594239</v>
      </c>
      <c r="J235" s="126" t="n">
        <f aca="false">INDEX(IF_FullCost_Luna_Prod,1,8)</f>
        <v>0.0371970862919076</v>
      </c>
      <c r="K235" s="126" t="n">
        <f aca="false">INDEX(IF_FullCost_Luna_Prod,1,9)</f>
        <v>0.0633222426750938</v>
      </c>
      <c r="L235" s="126" t="n">
        <f aca="false">INDEX(IF_FullCost_Luna_Prod,1,10)</f>
        <v>0.0209826194864454</v>
      </c>
      <c r="M235" s="126" t="n">
        <f aca="false">INDEX(IF_FullCost_Luna_Prod,1,11)</f>
        <v>0.0269649852193189</v>
      </c>
      <c r="N235" s="126" t="n">
        <f aca="false">INDEX(IF_FullCost_Luna_Prod,1,12)</f>
        <v>0.0435561009480476</v>
      </c>
      <c r="O235" s="126" t="n">
        <f aca="false">INDEX(IF_FullCost_Luna_Prod,1,13)</f>
        <v>0.0159209733995654</v>
      </c>
      <c r="P235" s="126" t="n">
        <f aca="false">INDEX(IF_FullCost_Luna_Prod,1,14)</f>
        <v>0.024192065175611</v>
      </c>
      <c r="Q235" s="126" t="n">
        <f aca="false">INDEX(IF_FullCost_Luna_Prod,1,15)</f>
        <v>0.0441546757487897</v>
      </c>
      <c r="R235" s="105" t="n">
        <f aca="false">SUMPRODUCT((C235:Q235&lt;C234:Q234-0.000000001*ABS(C234:Q234)-0.000000000001)+(C235:Q235&gt;C236:Q236+0.000000001*ABS(C236:Q236)+0.000000000001))</f>
        <v>0</v>
      </c>
    </row>
    <row r="236" customFormat="false" ht="15" hidden="false" customHeight="false" outlineLevel="0" collapsed="false">
      <c r="A236" s="62" t="s">
        <v>3051</v>
      </c>
      <c r="B236" s="61" t="s">
        <v>3034</v>
      </c>
      <c r="C236" s="61" t="n">
        <v>0.201294741428264</v>
      </c>
      <c r="D236" s="61" t="n">
        <v>0.287605276322433</v>
      </c>
      <c r="E236" s="61" t="n">
        <v>0.493916271852604</v>
      </c>
      <c r="F236" s="61" t="n">
        <v>0.0319840219830832</v>
      </c>
      <c r="G236" s="61" t="n">
        <v>0.04270176624955</v>
      </c>
      <c r="H236" s="61" t="n">
        <v>0.0692520952184003</v>
      </c>
      <c r="I236" s="61" t="n">
        <v>0.0288026153594239</v>
      </c>
      <c r="J236" s="61" t="n">
        <v>0.0371970862919076</v>
      </c>
      <c r="K236" s="61" t="n">
        <v>0.0633222426750938</v>
      </c>
      <c r="L236" s="61" t="n">
        <v>0.0209826194864454</v>
      </c>
      <c r="M236" s="61" t="n">
        <v>0.0269649852193189</v>
      </c>
      <c r="N236" s="61" t="n">
        <v>0.0435561009480476</v>
      </c>
      <c r="O236" s="61" t="n">
        <v>0.0159209733995654</v>
      </c>
      <c r="P236" s="61" t="n">
        <v>0.024192065175611</v>
      </c>
      <c r="Q236" s="61" t="n">
        <v>0.0441546757487897</v>
      </c>
    </row>
    <row r="237" customFormat="false" ht="15" hidden="false" customHeight="false" outlineLevel="0" collapsed="false">
      <c r="A237" s="10" t="s">
        <v>3052</v>
      </c>
      <c r="B237" s="61" t="s">
        <v>3032</v>
      </c>
      <c r="C237" s="61" t="n">
        <v>0.408452640402241</v>
      </c>
      <c r="D237" s="61" t="n">
        <v>0.583590532538749</v>
      </c>
      <c r="E237" s="61" t="n">
        <v>1.00222856932121</v>
      </c>
      <c r="F237" s="61" t="n">
        <v>0.0840293911665087</v>
      </c>
      <c r="G237" s="61" t="n">
        <v>0.112191762169375</v>
      </c>
      <c r="H237" s="61" t="n">
        <v>0.181956462285271</v>
      </c>
      <c r="I237" s="61" t="n">
        <v>0.0755575928591388</v>
      </c>
      <c r="J237" s="61" t="n">
        <v>0.0975825234136689</v>
      </c>
      <c r="K237" s="61" t="n">
        <v>0.166128207792573</v>
      </c>
      <c r="L237" s="61" t="n">
        <v>0.0537829036443724</v>
      </c>
      <c r="M237" s="61" t="n">
        <v>0.0691205126041982</v>
      </c>
      <c r="N237" s="61" t="n">
        <v>0.11165686972729</v>
      </c>
      <c r="O237" s="61" t="n">
        <v>0.0409015415330202</v>
      </c>
      <c r="P237" s="61" t="n">
        <v>0.0621567461847294</v>
      </c>
      <c r="Q237" s="61" t="n">
        <v>0.11345703212088</v>
      </c>
    </row>
    <row r="238" customFormat="false" ht="15" hidden="false" customHeight="false" outlineLevel="0" collapsed="false">
      <c r="A238" s="62" t="s">
        <v>3052</v>
      </c>
      <c r="B238" s="61" t="s">
        <v>3033</v>
      </c>
      <c r="C238" s="126" t="n">
        <f aca="false">INDEX(IF_FullCost_Sol,1,1)</f>
        <v>0.450574665095153</v>
      </c>
      <c r="D238" s="126" t="n">
        <f aca="false">INDEX(IF_FullCost_Sol,1,2)</f>
        <v>0.643774480313015</v>
      </c>
      <c r="E238" s="126" t="n">
        <f aca="false">INDEX(IF_FullCost_Sol,1,3)</f>
        <v>1.10558654372701</v>
      </c>
      <c r="F238" s="126" t="n">
        <f aca="false">INDEX(IF_FullCost_Sol,1,4)</f>
        <v>0.0843522277428262</v>
      </c>
      <c r="G238" s="126" t="n">
        <f aca="false">INDEX(IF_FullCost_Sol,1,5)</f>
        <v>0.112622816909467</v>
      </c>
      <c r="H238" s="126" t="n">
        <f aca="false">INDEX(IF_FullCost_Sol,1,6)</f>
        <v>0.182655598421708</v>
      </c>
      <c r="I238" s="126" t="n">
        <f aca="false">INDEX(IF_FullCost_Sol,1,7)</f>
        <v>0.0755575928591388</v>
      </c>
      <c r="J238" s="126" t="n">
        <f aca="false">INDEX(IF_FullCost_Sol,1,8)</f>
        <v>0.0975825234136689</v>
      </c>
      <c r="K238" s="126" t="n">
        <f aca="false">INDEX(IF_FullCost_Sol,1,9)</f>
        <v>0.166128207792573</v>
      </c>
      <c r="L238" s="126" t="n">
        <f aca="false">INDEX(IF_FullCost_Sol,1,10)</f>
        <v>0.0537829036443724</v>
      </c>
      <c r="M238" s="126" t="n">
        <f aca="false">INDEX(IF_FullCost_Sol,1,11)</f>
        <v>0.0691205126041982</v>
      </c>
      <c r="N238" s="126" t="n">
        <f aca="false">INDEX(IF_FullCost_Sol,1,12)</f>
        <v>0.11165686972729</v>
      </c>
      <c r="O238" s="126" t="n">
        <f aca="false">INDEX(IF_FullCost_Sol,1,13)</f>
        <v>0.0409015415330202</v>
      </c>
      <c r="P238" s="126" t="n">
        <f aca="false">INDEX(IF_FullCost_Sol,1,14)</f>
        <v>0.0621567461847294</v>
      </c>
      <c r="Q238" s="126" t="n">
        <f aca="false">INDEX(IF_FullCost_Sol,1,15)</f>
        <v>0.11345703212088</v>
      </c>
      <c r="R238" s="105" t="n">
        <f aca="false">SUMPRODUCT((C238:Q238&lt;C237:Q237-0.000000001*ABS(C237:Q237)-0.000000000001)+(C238:Q238&gt;C239:Q239+0.000000001*ABS(C239:Q239)+0.000000000001))</f>
        <v>0</v>
      </c>
    </row>
    <row r="239" customFormat="false" ht="15" hidden="false" customHeight="false" outlineLevel="0" collapsed="false">
      <c r="A239" s="62" t="s">
        <v>3052</v>
      </c>
      <c r="B239" s="61" t="s">
        <v>3034</v>
      </c>
      <c r="C239" s="61" t="n">
        <v>0.450574665095153</v>
      </c>
      <c r="D239" s="61" t="n">
        <v>0.643774480313015</v>
      </c>
      <c r="E239" s="61" t="n">
        <v>1.10558654372701</v>
      </c>
      <c r="F239" s="61" t="n">
        <v>0.084840547794259</v>
      </c>
      <c r="G239" s="61" t="n">
        <v>0.11327482689933</v>
      </c>
      <c r="H239" s="61" t="n">
        <v>0.183713106210936</v>
      </c>
      <c r="I239" s="61" t="n">
        <v>0.0755575928591388</v>
      </c>
      <c r="J239" s="61" t="n">
        <v>0.0975825234136689</v>
      </c>
      <c r="K239" s="61" t="n">
        <v>0.166128207792573</v>
      </c>
      <c r="L239" s="61" t="n">
        <v>0.0537829036443724</v>
      </c>
      <c r="M239" s="61" t="n">
        <v>0.0691205126041982</v>
      </c>
      <c r="N239" s="61" t="n">
        <v>0.11165686972729</v>
      </c>
      <c r="O239" s="61" t="n">
        <v>0.0409015415330202</v>
      </c>
      <c r="P239" s="61" t="n">
        <v>0.0621567461847294</v>
      </c>
      <c r="Q239" s="61" t="n">
        <v>0.11345703212088</v>
      </c>
    </row>
    <row r="240" customFormat="false" ht="15" hidden="false" customHeight="false" outlineLevel="0" collapsed="false">
      <c r="A240" s="10" t="s">
        <v>3053</v>
      </c>
      <c r="B240" s="61" t="s">
        <v>3032</v>
      </c>
      <c r="C240" s="61" t="n">
        <v>0.522742779702756</v>
      </c>
      <c r="D240" s="61" t="n">
        <v>0.746888280567779</v>
      </c>
      <c r="E240" s="61" t="n">
        <v>1.28267086474217</v>
      </c>
      <c r="F240" s="61" t="n">
        <v>0.103143538039598</v>
      </c>
      <c r="G240" s="61" t="n">
        <v>0.137713169026201</v>
      </c>
      <c r="H240" s="61" t="n">
        <v>0.223350132570644</v>
      </c>
      <c r="I240" s="61" t="n">
        <v>0.0933186786593271</v>
      </c>
      <c r="J240" s="61" t="n">
        <v>0.120521993573679</v>
      </c>
      <c r="K240" s="61" t="n">
        <v>0.205183774166472</v>
      </c>
      <c r="L240" s="61" t="n">
        <v>0.0659173053800908</v>
      </c>
      <c r="M240" s="61" t="n">
        <v>0.0847163470205577</v>
      </c>
      <c r="N240" s="61" t="n">
        <v>0.136852423177233</v>
      </c>
      <c r="O240" s="61" t="n">
        <v>0.0499064918263528</v>
      </c>
      <c r="P240" s="61" t="n">
        <v>0.0758430359079122</v>
      </c>
      <c r="Q240" s="61" t="n">
        <v>0.138441921657647</v>
      </c>
    </row>
    <row r="241" customFormat="false" ht="15" hidden="false" customHeight="false" outlineLevel="0" collapsed="false">
      <c r="A241" s="62" t="s">
        <v>3053</v>
      </c>
      <c r="B241" s="61" t="s">
        <v>3033</v>
      </c>
      <c r="C241" s="126" t="n">
        <f aca="false">INDEX(IF_FullCost_Sol_Prod,1,1)</f>
        <v>0.592104750515731</v>
      </c>
      <c r="D241" s="126" t="n">
        <f aca="false">INDEX(IF_FullCost_Sol_Prod,1,2)</f>
        <v>0.845992662642524</v>
      </c>
      <c r="E241" s="126" t="n">
        <f aca="false">INDEX(IF_FullCost_Sol_Prod,1,3)</f>
        <v>1.45286954005015</v>
      </c>
      <c r="F241" s="126" t="n">
        <f aca="false">INDEX(IF_FullCost_Sol_Prod,1,4)</f>
        <v>0.1037019329333</v>
      </c>
      <c r="G241" s="126" t="n">
        <f aca="false">INDEX(IF_FullCost_Sol_Prod,1,5)</f>
        <v>0.138458743671178</v>
      </c>
      <c r="H241" s="126" t="n">
        <f aca="false">INDEX(IF_FullCost_Sol_Prod,1,6)</f>
        <v>0.224559394708913</v>
      </c>
      <c r="I241" s="126" t="n">
        <f aca="false">INDEX(IF_FullCost_Sol_Prod,1,7)</f>
        <v>0.0933186786593271</v>
      </c>
      <c r="J241" s="126" t="n">
        <f aca="false">INDEX(IF_FullCost_Sol_Prod,1,8)</f>
        <v>0.120521993573679</v>
      </c>
      <c r="K241" s="126" t="n">
        <f aca="false">INDEX(IF_FullCost_Sol_Prod,1,9)</f>
        <v>0.205183774166472</v>
      </c>
      <c r="L241" s="126" t="n">
        <f aca="false">INDEX(IF_FullCost_Sol_Prod,1,10)</f>
        <v>0.0659173053800908</v>
      </c>
      <c r="M241" s="126" t="n">
        <f aca="false">INDEX(IF_FullCost_Sol_Prod,1,11)</f>
        <v>0.0847163470205577</v>
      </c>
      <c r="N241" s="126" t="n">
        <f aca="false">INDEX(IF_FullCost_Sol_Prod,1,12)</f>
        <v>0.136852423177233</v>
      </c>
      <c r="O241" s="126" t="n">
        <f aca="false">INDEX(IF_FullCost_Sol_Prod,1,13)</f>
        <v>0.0499064918263528</v>
      </c>
      <c r="P241" s="126" t="n">
        <f aca="false">INDEX(IF_FullCost_Sol_Prod,1,14)</f>
        <v>0.0758430359079122</v>
      </c>
      <c r="Q241" s="126" t="n">
        <f aca="false">INDEX(IF_FullCost_Sol_Prod,1,15)</f>
        <v>0.138441921657647</v>
      </c>
      <c r="R241" s="105" t="n">
        <f aca="false">SUMPRODUCT((C241:Q241&lt;C240:Q240-0.000000001*ABS(C240:Q240)-0.000000000001)+(C241:Q241&gt;C242:Q242+0.000000001*ABS(C242:Q242)+0.000000000001))</f>
        <v>0</v>
      </c>
    </row>
    <row r="242" customFormat="false" ht="15" hidden="false" customHeight="false" outlineLevel="0" collapsed="false">
      <c r="A242" s="62" t="s">
        <v>3053</v>
      </c>
      <c r="B242" s="61" t="s">
        <v>3034</v>
      </c>
      <c r="C242" s="61" t="n">
        <v>0.592104750515731</v>
      </c>
      <c r="D242" s="61" t="n">
        <v>0.845992662642524</v>
      </c>
      <c r="E242" s="61" t="n">
        <v>1.45286954005015</v>
      </c>
      <c r="F242" s="61" t="n">
        <v>0.104441179044811</v>
      </c>
      <c r="G242" s="61" t="n">
        <v>0.139445792735124</v>
      </c>
      <c r="H242" s="61" t="n">
        <v>0.2261603089429</v>
      </c>
      <c r="I242" s="61" t="n">
        <v>0.0933186786593271</v>
      </c>
      <c r="J242" s="61" t="n">
        <v>0.120521993573679</v>
      </c>
      <c r="K242" s="61" t="n">
        <v>0.205183774166472</v>
      </c>
      <c r="L242" s="61" t="n">
        <v>0.0659173053800908</v>
      </c>
      <c r="M242" s="61" t="n">
        <v>0.0847163470205577</v>
      </c>
      <c r="N242" s="61" t="n">
        <v>0.136852423177233</v>
      </c>
      <c r="O242" s="61" t="n">
        <v>0.0499064918263528</v>
      </c>
      <c r="P242" s="61" t="n">
        <v>0.0758430359079122</v>
      </c>
      <c r="Q242" s="61" t="n">
        <v>0.138441921657647</v>
      </c>
    </row>
    <row r="243" customFormat="false" ht="15" hidden="false" customHeight="false" outlineLevel="0" collapsed="false">
      <c r="A243" s="10" t="s">
        <v>3054</v>
      </c>
      <c r="B243" s="61" t="s">
        <v>3032</v>
      </c>
      <c r="C243" s="61" t="n">
        <v>-0.0535307237856089</v>
      </c>
      <c r="D243" s="61" t="n">
        <v>-0.505237735133125</v>
      </c>
      <c r="E243" s="61" t="n">
        <v>-1.58496830699591</v>
      </c>
      <c r="F243" s="61" t="n">
        <v>0.76441272196215</v>
      </c>
      <c r="G243" s="61" t="n">
        <v>0.685478287726934</v>
      </c>
      <c r="H243" s="61" t="n">
        <v>0.489939455691906</v>
      </c>
      <c r="I243" s="61" t="n">
        <v>0.780619311588139</v>
      </c>
      <c r="J243" s="61" t="n">
        <v>0.716689693020955</v>
      </c>
      <c r="K243" s="61" t="n">
        <v>0.517728817938032</v>
      </c>
      <c r="L243" s="61" t="n">
        <v>0.8521867164089</v>
      </c>
      <c r="M243" s="61" t="n">
        <v>0.810052326546935</v>
      </c>
      <c r="N243" s="61" t="n">
        <v>0.69319946773259</v>
      </c>
      <c r="O243" s="61" t="n">
        <v>0.88685479090763</v>
      </c>
      <c r="P243" s="61" t="n">
        <v>0.828090036296585</v>
      </c>
      <c r="Q243" s="61" t="n">
        <v>0.686258952385007</v>
      </c>
    </row>
    <row r="244" customFormat="false" ht="15" hidden="false" customHeight="false" outlineLevel="0" collapsed="false">
      <c r="A244" s="62" t="s">
        <v>3054</v>
      </c>
      <c r="B244" s="61" t="s">
        <v>3033</v>
      </c>
      <c r="C244" s="103" t="n">
        <f aca="false">INDEX(IF_GMDefault_Astra,1,1)</f>
        <v>-0.0423636872108961</v>
      </c>
      <c r="D244" s="103" t="n">
        <f aca="false">INDEX(IF_GMDefault_Astra,1,2)</f>
        <v>-0.489282735523503</v>
      </c>
      <c r="E244" s="103" t="n">
        <f aca="false">INDEX(IF_GMDefault_Astra,1,3)</f>
        <v>-1.55756847714042</v>
      </c>
      <c r="F244" s="103" t="n">
        <f aca="false">INDEX(IF_GMDefault_Astra,1,4)</f>
        <v>0.764703194772414</v>
      </c>
      <c r="G244" s="103" t="n">
        <f aca="false">INDEX(IF_GMDefault_Astra,1,5)</f>
        <v>0.685866087796282</v>
      </c>
      <c r="H244" s="103" t="n">
        <f aca="false">INDEX(IF_GMDefault_Astra,1,6)</f>
        <v>0.490568357870247</v>
      </c>
      <c r="I244" s="103" t="n">
        <f aca="false">INDEX(IF_GMDefault_Astra,1,7)</f>
        <v>0.780619311588139</v>
      </c>
      <c r="J244" s="103" t="n">
        <f aca="false">INDEX(IF_GMDefault_Astra,1,8)</f>
        <v>0.716689693020955</v>
      </c>
      <c r="K244" s="103" t="n">
        <f aca="false">INDEX(IF_GMDefault_Astra,1,9)</f>
        <v>0.517728817938032</v>
      </c>
      <c r="L244" s="103" t="n">
        <f aca="false">INDEX(IF_GMDefault_Astra,1,10)</f>
        <v>0.8521867164089</v>
      </c>
      <c r="M244" s="103" t="n">
        <f aca="false">INDEX(IF_GMDefault_Astra,1,11)</f>
        <v>0.810052326546935</v>
      </c>
      <c r="N244" s="103" t="n">
        <f aca="false">INDEX(IF_GMDefault_Astra,1,12)</f>
        <v>0.69319946773259</v>
      </c>
      <c r="O244" s="103" t="n">
        <f aca="false">INDEX(IF_GMDefault_Astra,1,13)</f>
        <v>0.88685479090763</v>
      </c>
      <c r="P244" s="103" t="n">
        <f aca="false">INDEX(IF_GMDefault_Astra,1,14)</f>
        <v>0.828090036296585</v>
      </c>
      <c r="Q244" s="103" t="n">
        <f aca="false">INDEX(IF_GMDefault_Astra,1,15)</f>
        <v>0.686258952385007</v>
      </c>
      <c r="R244" s="105" t="n">
        <f aca="false">SUMPRODUCT((C244:Q244&lt;C243:Q243-0.000000001*ABS(C243:Q243)-0.000000000001)+(C244:Q244&gt;C245:Q245+0.000000001*ABS(C245:Q245)+0.000000000001))</f>
        <v>0</v>
      </c>
    </row>
    <row r="245" customFormat="false" ht="15" hidden="false" customHeight="false" outlineLevel="0" collapsed="false">
      <c r="A245" s="62" t="s">
        <v>3054</v>
      </c>
      <c r="B245" s="61" t="s">
        <v>3034</v>
      </c>
      <c r="C245" s="61" t="n">
        <v>-0.0423636872108961</v>
      </c>
      <c r="D245" s="61" t="n">
        <v>-0.489282735523503</v>
      </c>
      <c r="E245" s="61" t="n">
        <v>-1.55756847714042</v>
      </c>
      <c r="F245" s="61" t="n">
        <v>0.765055108817111</v>
      </c>
      <c r="G245" s="61" t="n">
        <v>0.686335915904508</v>
      </c>
      <c r="H245" s="61" t="n">
        <v>0.491330286358827</v>
      </c>
      <c r="I245" s="61" t="n">
        <v>0.780619311588139</v>
      </c>
      <c r="J245" s="61" t="n">
        <v>0.716689693020955</v>
      </c>
      <c r="K245" s="61" t="n">
        <v>0.517728817938032</v>
      </c>
      <c r="L245" s="61" t="n">
        <v>0.8521867164089</v>
      </c>
      <c r="M245" s="61" t="n">
        <v>0.810052326546935</v>
      </c>
      <c r="N245" s="61" t="n">
        <v>0.69319946773259</v>
      </c>
      <c r="O245" s="61" t="n">
        <v>0.88685479090763</v>
      </c>
      <c r="P245" s="61" t="n">
        <v>0.828090036296585</v>
      </c>
      <c r="Q245" s="61" t="n">
        <v>0.686258952385007</v>
      </c>
    </row>
    <row r="246" customFormat="false" ht="15" hidden="false" customHeight="false" outlineLevel="0" collapsed="false">
      <c r="A246" s="10" t="s">
        <v>3055</v>
      </c>
      <c r="B246" s="61" t="s">
        <v>3032</v>
      </c>
      <c r="C246" s="61" t="n">
        <v>-1.64466602928405</v>
      </c>
      <c r="D246" s="61" t="n">
        <v>-2.77858347311658</v>
      </c>
      <c r="E246" s="61" t="n">
        <v>-5.48902475323338</v>
      </c>
      <c r="F246" s="61" t="n">
        <v>0.46198309235107</v>
      </c>
      <c r="G246" s="61" t="n">
        <v>0.281717490686818</v>
      </c>
      <c r="H246" s="61" t="n">
        <v>-0.164842056449253</v>
      </c>
      <c r="I246" s="61" t="n">
        <v>0.508446305123939</v>
      </c>
      <c r="J246" s="61" t="n">
        <v>0.365204160742031</v>
      </c>
      <c r="K246" s="61" t="n">
        <v>-0.0805920606921446</v>
      </c>
      <c r="L246" s="61" t="n">
        <v>0.625501575418007</v>
      </c>
      <c r="M246" s="61" t="n">
        <v>0.51874641171822</v>
      </c>
      <c r="N246" s="61" t="n">
        <v>0.222678375314202</v>
      </c>
      <c r="O246" s="61" t="n">
        <v>0.714757235222132</v>
      </c>
      <c r="P246" s="61" t="n">
        <v>0.566600421584675</v>
      </c>
      <c r="Q246" s="61" t="n">
        <v>0.209018030469972</v>
      </c>
    </row>
    <row r="247" customFormat="false" ht="15" hidden="false" customHeight="false" outlineLevel="0" collapsed="false">
      <c r="A247" s="62" t="s">
        <v>3055</v>
      </c>
      <c r="B247" s="61" t="s">
        <v>3033</v>
      </c>
      <c r="C247" s="103" t="n">
        <f aca="false">INDEX(IF_GMDefault_Luna,1,1)</f>
        <v>-1.64466602928405</v>
      </c>
      <c r="D247" s="103" t="n">
        <f aca="false">INDEX(IF_GMDefault_Luna,1,2)</f>
        <v>-2.77858347311658</v>
      </c>
      <c r="E247" s="103" t="n">
        <f aca="false">INDEX(IF_GMDefault_Luna,1,3)</f>
        <v>-5.48902475323338</v>
      </c>
      <c r="F247" s="103" t="n">
        <f aca="false">INDEX(IF_GMDefault_Luna,1,4)</f>
        <v>0.469373558642023</v>
      </c>
      <c r="G247" s="103" t="n">
        <f aca="false">INDEX(IF_GMDefault_Luna,1,5)</f>
        <v>0.291584243232548</v>
      </c>
      <c r="H247" s="103" t="n">
        <f aca="false">INDEX(IF_GMDefault_Luna,1,6)</f>
        <v>-0.148840970684629</v>
      </c>
      <c r="I247" s="103" t="n">
        <f aca="false">INDEX(IF_GMDefault_Luna,1,7)</f>
        <v>0.508446305123939</v>
      </c>
      <c r="J247" s="103" t="n">
        <f aca="false">INDEX(IF_GMDefault_Luna,1,8)</f>
        <v>0.365204160742031</v>
      </c>
      <c r="K247" s="103" t="n">
        <f aca="false">INDEX(IF_GMDefault_Luna,1,9)</f>
        <v>-0.0805920606921446</v>
      </c>
      <c r="L247" s="103" t="n">
        <f aca="false">INDEX(IF_GMDefault_Luna,1,10)</f>
        <v>0.625501575418007</v>
      </c>
      <c r="M247" s="103" t="n">
        <f aca="false">INDEX(IF_GMDefault_Luna,1,11)</f>
        <v>0.51874641171822</v>
      </c>
      <c r="N247" s="103" t="n">
        <f aca="false">INDEX(IF_GMDefault_Luna,1,12)</f>
        <v>0.222678375314202</v>
      </c>
      <c r="O247" s="103" t="n">
        <f aca="false">INDEX(IF_GMDefault_Luna,1,13)</f>
        <v>0.714757235222132</v>
      </c>
      <c r="P247" s="103" t="n">
        <f aca="false">INDEX(IF_GMDefault_Luna,1,14)</f>
        <v>0.566600421584675</v>
      </c>
      <c r="Q247" s="103" t="n">
        <f aca="false">INDEX(IF_GMDefault_Luna,1,15)</f>
        <v>0.209018030469972</v>
      </c>
      <c r="R247" s="105" t="n">
        <f aca="false">SUMPRODUCT((C247:Q247&lt;C246:Q246-0.000000001*ABS(C246:Q246)-0.000000000001)+(C247:Q247&gt;C248:Q248+0.000000001*ABS(C248:Q248)+0.000000000001))</f>
        <v>0</v>
      </c>
    </row>
    <row r="248" customFormat="false" ht="15" hidden="false" customHeight="false" outlineLevel="0" collapsed="false">
      <c r="A248" s="62" t="s">
        <v>3055</v>
      </c>
      <c r="B248" s="61" t="s">
        <v>3034</v>
      </c>
      <c r="C248" s="61" t="n">
        <v>-1.41208339480836</v>
      </c>
      <c r="D248" s="61" t="n">
        <v>-2.44627903250362</v>
      </c>
      <c r="E248" s="61" t="n">
        <v>-4.91835190109944</v>
      </c>
      <c r="F248" s="61" t="n">
        <v>0.474763591006618</v>
      </c>
      <c r="G248" s="61" t="n">
        <v>0.298780286548522</v>
      </c>
      <c r="H248" s="61" t="n">
        <v>-0.137171020948768</v>
      </c>
      <c r="I248" s="61" t="n">
        <v>0.508446305123939</v>
      </c>
      <c r="J248" s="61" t="n">
        <v>0.365204160742031</v>
      </c>
      <c r="K248" s="61" t="n">
        <v>-0.0805920606921446</v>
      </c>
      <c r="L248" s="61" t="n">
        <v>0.625501575418007</v>
      </c>
      <c r="M248" s="61" t="n">
        <v>0.51874641171822</v>
      </c>
      <c r="N248" s="61" t="n">
        <v>0.222678375314202</v>
      </c>
      <c r="O248" s="61" t="n">
        <v>0.714757235222132</v>
      </c>
      <c r="P248" s="61" t="n">
        <v>0.566600421584675</v>
      </c>
      <c r="Q248" s="61" t="n">
        <v>0.209018030469972</v>
      </c>
    </row>
    <row r="249" customFormat="false" ht="15" hidden="false" customHeight="false" outlineLevel="0" collapsed="false">
      <c r="A249" s="10" t="s">
        <v>3056</v>
      </c>
      <c r="B249" s="61" t="s">
        <v>3032</v>
      </c>
      <c r="C249" s="61" t="n">
        <v>0.619100687244222</v>
      </c>
      <c r="D249" s="61" t="n">
        <v>0.455782266458514</v>
      </c>
      <c r="E249" s="61" t="n">
        <v>0.0653967124583024</v>
      </c>
      <c r="F249" s="61" t="n">
        <v>0.916413109354303</v>
      </c>
      <c r="G249" s="61" t="n">
        <v>0.888402438308753</v>
      </c>
      <c r="H249" s="61" t="n">
        <v>0.819013534038622</v>
      </c>
      <c r="I249" s="61" t="n">
        <v>0.924742185963559</v>
      </c>
      <c r="J249" s="61" t="n">
        <v>0.902807731186605</v>
      </c>
      <c r="K249" s="61" t="n">
        <v>0.834543624271854</v>
      </c>
      <c r="L249" s="61" t="n">
        <v>0.945098870959711</v>
      </c>
      <c r="M249" s="61" t="n">
        <v>0.929445151757729</v>
      </c>
      <c r="N249" s="61" t="n">
        <v>0.886032114430712</v>
      </c>
      <c r="O249" s="61" t="n">
        <v>0.957700415081478</v>
      </c>
      <c r="P249" s="61" t="n">
        <v>0.935723466596503</v>
      </c>
      <c r="Q249" s="61" t="n">
        <v>0.882681223072744</v>
      </c>
    </row>
    <row r="250" customFormat="false" ht="15" hidden="false" customHeight="false" outlineLevel="0" collapsed="false">
      <c r="A250" s="62" t="s">
        <v>3056</v>
      </c>
      <c r="B250" s="61" t="s">
        <v>3033</v>
      </c>
      <c r="C250" s="103" t="n">
        <f aca="false">INDEX(IF_GMDefault_Sol,1,1)</f>
        <v>0.619100687244222</v>
      </c>
      <c r="D250" s="103" t="n">
        <f aca="false">INDEX(IF_GMDefault_Sol,1,2)</f>
        <v>0.455782266458514</v>
      </c>
      <c r="E250" s="103" t="n">
        <f aca="false">INDEX(IF_GMDefault_Sol,1,3)</f>
        <v>0.0653967124583024</v>
      </c>
      <c r="F250" s="103" t="n">
        <f aca="false">INDEX(IF_GMDefault_Sol,1,4)</f>
        <v>0.916671167593643</v>
      </c>
      <c r="G250" s="103" t="n">
        <f aca="false">INDEX(IF_GMDefault_Sol,1,5)</f>
        <v>0.88874696282043</v>
      </c>
      <c r="H250" s="103" t="n">
        <f aca="false">INDEX(IF_GMDefault_Sol,1,6)</f>
        <v>0.819572255485605</v>
      </c>
      <c r="I250" s="103" t="n">
        <f aca="false">INDEX(IF_GMDefault_Sol,1,7)</f>
        <v>0.924742185963559</v>
      </c>
      <c r="J250" s="103" t="n">
        <f aca="false">INDEX(IF_GMDefault_Sol,1,8)</f>
        <v>0.902807731186605</v>
      </c>
      <c r="K250" s="103" t="n">
        <f aca="false">INDEX(IF_GMDefault_Sol,1,9)</f>
        <v>0.834543624271854</v>
      </c>
      <c r="L250" s="103" t="n">
        <f aca="false">INDEX(IF_GMDefault_Sol,1,10)</f>
        <v>0.945098870959711</v>
      </c>
      <c r="M250" s="103" t="n">
        <f aca="false">INDEX(IF_GMDefault_Sol,1,11)</f>
        <v>0.929445151757729</v>
      </c>
      <c r="N250" s="103" t="n">
        <f aca="false">INDEX(IF_GMDefault_Sol,1,12)</f>
        <v>0.886032114430712</v>
      </c>
      <c r="O250" s="103" t="n">
        <f aca="false">INDEX(IF_GMDefault_Sol,1,13)</f>
        <v>0.957700415081478</v>
      </c>
      <c r="P250" s="103" t="n">
        <f aca="false">INDEX(IF_GMDefault_Sol,1,14)</f>
        <v>0.935723466596503</v>
      </c>
      <c r="Q250" s="103" t="n">
        <f aca="false">INDEX(IF_GMDefault_Sol,1,15)</f>
        <v>0.882681223072744</v>
      </c>
      <c r="R250" s="105" t="n">
        <f aca="false">SUMPRODUCT((C250:Q250&lt;C249:Q249-0.000000001*ABS(C249:Q249)-0.000000000001)+(C250:Q250&gt;C251:Q251+0.000000001*ABS(C251:Q251)+0.000000000001))</f>
        <v>0</v>
      </c>
    </row>
    <row r="251" customFormat="false" ht="15" hidden="false" customHeight="false" outlineLevel="0" collapsed="false">
      <c r="A251" s="62" t="s">
        <v>3056</v>
      </c>
      <c r="B251" s="61" t="s">
        <v>3034</v>
      </c>
      <c r="C251" s="61" t="n">
        <v>0.627375408892046</v>
      </c>
      <c r="D251" s="61" t="n">
        <v>0.467604846225086</v>
      </c>
      <c r="E251" s="61" t="n">
        <v>0.085699857678166</v>
      </c>
      <c r="F251" s="61" t="n">
        <v>0.916915731950103</v>
      </c>
      <c r="G251" s="61" t="n">
        <v>0.889073472121967</v>
      </c>
      <c r="H251" s="61" t="n">
        <v>0.820101761350135</v>
      </c>
      <c r="I251" s="61" t="n">
        <v>0.924742185963559</v>
      </c>
      <c r="J251" s="61" t="n">
        <v>0.902807731186605</v>
      </c>
      <c r="K251" s="61" t="n">
        <v>0.834543624271854</v>
      </c>
      <c r="L251" s="61" t="n">
        <v>0.945098870959711</v>
      </c>
      <c r="M251" s="61" t="n">
        <v>0.929445151757729</v>
      </c>
      <c r="N251" s="61" t="n">
        <v>0.886032114430712</v>
      </c>
      <c r="O251" s="61" t="n">
        <v>0.957700415081478</v>
      </c>
      <c r="P251" s="61" t="n">
        <v>0.935723466596503</v>
      </c>
      <c r="Q251" s="61" t="n">
        <v>0.882681223072744</v>
      </c>
    </row>
    <row r="252" customFormat="false" ht="15" hidden="false" customHeight="false" outlineLevel="0" collapsed="false">
      <c r="A252" s="10" t="s">
        <v>3057</v>
      </c>
      <c r="B252" s="61" t="s">
        <v>3032</v>
      </c>
      <c r="C252" s="61" t="n">
        <v>0.431607737945408</v>
      </c>
      <c r="D252" s="61" t="n">
        <v>0.431607737945408</v>
      </c>
      <c r="E252" s="61" t="n">
        <v>0.431607737945408</v>
      </c>
      <c r="F252" s="61" t="n">
        <v>0.402634260102595</v>
      </c>
      <c r="G252" s="61" t="n">
        <v>0.402634260102595</v>
      </c>
      <c r="H252" s="61" t="n">
        <v>0.402634260102595</v>
      </c>
      <c r="I252" s="61" t="n">
        <v>0.460983664042966</v>
      </c>
      <c r="J252" s="61" t="n">
        <v>0.460983664042966</v>
      </c>
      <c r="K252" s="61" t="n">
        <v>0.460983664042966</v>
      </c>
      <c r="L252" s="61" t="n">
        <v>0.521148040333377</v>
      </c>
      <c r="M252" s="61" t="n">
        <v>0.521148040333377</v>
      </c>
      <c r="N252" s="61" t="n">
        <v>0.521148040333377</v>
      </c>
      <c r="O252" s="61" t="n">
        <v>0.481150986813593</v>
      </c>
      <c r="P252" s="61" t="n">
        <v>0.481150986813593</v>
      </c>
      <c r="Q252" s="61" t="n">
        <v>0.481150986813593</v>
      </c>
    </row>
    <row r="253" customFormat="false" ht="15" hidden="false" customHeight="false" outlineLevel="0" collapsed="false">
      <c r="A253" s="62" t="s">
        <v>3057</v>
      </c>
      <c r="B253" s="61" t="s">
        <v>3033</v>
      </c>
      <c r="C253" s="103" t="n">
        <f aca="false">INDEX(IF_PostShareGPUh_Astra,1,1)</f>
        <v>0.594349541651907</v>
      </c>
      <c r="D253" s="103" t="n">
        <f aca="false">INDEX(IF_PostShareGPUh_Astra,1,2)</f>
        <v>0.594349541651907</v>
      </c>
      <c r="E253" s="103" t="n">
        <f aca="false">INDEX(IF_PostShareGPUh_Astra,1,3)</f>
        <v>0.594349541651907</v>
      </c>
      <c r="F253" s="103" t="n">
        <f aca="false">INDEX(IF_PostShareGPUh_Astra,1,4)</f>
        <v>0.416669816052578</v>
      </c>
      <c r="G253" s="103" t="n">
        <f aca="false">INDEX(IF_PostShareGPUh_Astra,1,5)</f>
        <v>0.416669816052578</v>
      </c>
      <c r="H253" s="103" t="n">
        <f aca="false">INDEX(IF_PostShareGPUh_Astra,1,6)</f>
        <v>0.416669816052578</v>
      </c>
      <c r="I253" s="103" t="n">
        <f aca="false">INDEX(IF_PostShareGPUh_Astra,1,7)</f>
        <v>0.460983664042966</v>
      </c>
      <c r="J253" s="103" t="n">
        <f aca="false">INDEX(IF_PostShareGPUh_Astra,1,8)</f>
        <v>0.460983664042966</v>
      </c>
      <c r="K253" s="103" t="n">
        <f aca="false">INDEX(IF_PostShareGPUh_Astra,1,9)</f>
        <v>0.460983664042966</v>
      </c>
      <c r="L253" s="103" t="n">
        <f aca="false">INDEX(IF_PostShareGPUh_Astra,1,10)</f>
        <v>0.521148040333377</v>
      </c>
      <c r="M253" s="103" t="n">
        <f aca="false">INDEX(IF_PostShareGPUh_Astra,1,11)</f>
        <v>0.521148040333377</v>
      </c>
      <c r="N253" s="103" t="n">
        <f aca="false">INDEX(IF_PostShareGPUh_Astra,1,12)</f>
        <v>0.521148040333377</v>
      </c>
      <c r="O253" s="103" t="n">
        <f aca="false">INDEX(IF_PostShareGPUh_Astra,1,13)</f>
        <v>0.481150986813593</v>
      </c>
      <c r="P253" s="103" t="n">
        <f aca="false">INDEX(IF_PostShareGPUh_Astra,1,14)</f>
        <v>0.481150986813593</v>
      </c>
      <c r="Q253" s="103" t="n">
        <f aca="false">INDEX(IF_PostShareGPUh_Astra,1,15)</f>
        <v>0.481150986813593</v>
      </c>
      <c r="R253" s="105" t="n">
        <f aca="false">SUMPRODUCT((C253:Q253&lt;C252:Q252-0.000000001*ABS(C252:Q252)-0.000000000001)+(C253:Q253&gt;C254:Q254+0.000000001*ABS(C254:Q254)+0.000000000001))</f>
        <v>0</v>
      </c>
    </row>
    <row r="254" customFormat="false" ht="15" hidden="false" customHeight="false" outlineLevel="0" collapsed="false">
      <c r="A254" s="62" t="s">
        <v>3057</v>
      </c>
      <c r="B254" s="61" t="s">
        <v>3034</v>
      </c>
      <c r="C254" s="61" t="n">
        <v>0.594349541651907</v>
      </c>
      <c r="D254" s="61" t="n">
        <v>0.594349541651907</v>
      </c>
      <c r="E254" s="61" t="n">
        <v>0.594349541651907</v>
      </c>
      <c r="F254" s="61" t="n">
        <v>0.437899463202178</v>
      </c>
      <c r="G254" s="61" t="n">
        <v>0.437899463202178</v>
      </c>
      <c r="H254" s="61" t="n">
        <v>0.437899463202178</v>
      </c>
      <c r="I254" s="61" t="n">
        <v>0.460983664042966</v>
      </c>
      <c r="J254" s="61" t="n">
        <v>0.460983664042966</v>
      </c>
      <c r="K254" s="61" t="n">
        <v>0.460983664042966</v>
      </c>
      <c r="L254" s="61" t="n">
        <v>0.521148040333377</v>
      </c>
      <c r="M254" s="61" t="n">
        <v>0.521148040333377</v>
      </c>
      <c r="N254" s="61" t="n">
        <v>0.521148040333377</v>
      </c>
      <c r="O254" s="61" t="n">
        <v>0.481150986813593</v>
      </c>
      <c r="P254" s="61" t="n">
        <v>0.481150986813593</v>
      </c>
      <c r="Q254" s="61" t="n">
        <v>0.481150986813593</v>
      </c>
    </row>
    <row r="255" customFormat="false" ht="15" hidden="false" customHeight="false" outlineLevel="0" collapsed="false">
      <c r="A255" s="10" t="s">
        <v>3058</v>
      </c>
      <c r="B255" s="61" t="s">
        <v>3032</v>
      </c>
      <c r="C255" s="61" t="n">
        <v>0.221396897790861</v>
      </c>
      <c r="D255" s="61" t="n">
        <v>0.221396897790861</v>
      </c>
      <c r="E255" s="61" t="n">
        <v>0.221396897790861</v>
      </c>
      <c r="F255" s="61" t="n">
        <v>0.204805770896559</v>
      </c>
      <c r="G255" s="61" t="n">
        <v>0.204805770896559</v>
      </c>
      <c r="H255" s="61" t="n">
        <v>0.204805770896559</v>
      </c>
      <c r="I255" s="61" t="n">
        <v>0.238707389111481</v>
      </c>
      <c r="J255" s="61" t="n">
        <v>0.238707389111481</v>
      </c>
      <c r="K255" s="61" t="n">
        <v>0.238707389111481</v>
      </c>
      <c r="L255" s="61" t="n">
        <v>0.286511860627156</v>
      </c>
      <c r="M255" s="61" t="n">
        <v>0.286511860627156</v>
      </c>
      <c r="N255" s="61" t="n">
        <v>0.286511860627156</v>
      </c>
      <c r="O255" s="61" t="n">
        <v>0.26008816948871</v>
      </c>
      <c r="P255" s="61" t="n">
        <v>0.26008816948871</v>
      </c>
      <c r="Q255" s="61" t="n">
        <v>0.26008816948871</v>
      </c>
    </row>
    <row r="256" customFormat="false" ht="15" hidden="false" customHeight="false" outlineLevel="0" collapsed="false">
      <c r="A256" s="62" t="s">
        <v>3058</v>
      </c>
      <c r="B256" s="61" t="s">
        <v>3033</v>
      </c>
      <c r="C256" s="103" t="n">
        <f aca="false">INDEX(IF_PostShareGPUh_Luna,1,1)</f>
        <v>0.332444236058156</v>
      </c>
      <c r="D256" s="103" t="n">
        <f aca="false">INDEX(IF_PostShareGPUh_Luna,1,2)</f>
        <v>0.332444236058156</v>
      </c>
      <c r="E256" s="103" t="n">
        <f aca="false">INDEX(IF_PostShareGPUh_Luna,1,3)</f>
        <v>0.332444236058156</v>
      </c>
      <c r="F256" s="103" t="n">
        <f aca="false">INDEX(IF_PostShareGPUh_Luna,1,4)</f>
        <v>0.214693934547681</v>
      </c>
      <c r="G256" s="103" t="n">
        <f aca="false">INDEX(IF_PostShareGPUh_Luna,1,5)</f>
        <v>0.214693934547681</v>
      </c>
      <c r="H256" s="103" t="n">
        <f aca="false">INDEX(IF_PostShareGPUh_Luna,1,6)</f>
        <v>0.214693934547681</v>
      </c>
      <c r="I256" s="103" t="n">
        <f aca="false">INDEX(IF_PostShareGPUh_Luna,1,7)</f>
        <v>0.238707389111481</v>
      </c>
      <c r="J256" s="103" t="n">
        <f aca="false">INDEX(IF_PostShareGPUh_Luna,1,8)</f>
        <v>0.238707389111481</v>
      </c>
      <c r="K256" s="103" t="n">
        <f aca="false">INDEX(IF_PostShareGPUh_Luna,1,9)</f>
        <v>0.238707389111481</v>
      </c>
      <c r="L256" s="103" t="n">
        <f aca="false">INDEX(IF_PostShareGPUh_Luna,1,10)</f>
        <v>0.286511860627156</v>
      </c>
      <c r="M256" s="103" t="n">
        <f aca="false">INDEX(IF_PostShareGPUh_Luna,1,11)</f>
        <v>0.286511860627156</v>
      </c>
      <c r="N256" s="103" t="n">
        <f aca="false">INDEX(IF_PostShareGPUh_Luna,1,12)</f>
        <v>0.286511860627156</v>
      </c>
      <c r="O256" s="103" t="n">
        <f aca="false">INDEX(IF_PostShareGPUh_Luna,1,13)</f>
        <v>0.26008816948871</v>
      </c>
      <c r="P256" s="103" t="n">
        <f aca="false">INDEX(IF_PostShareGPUh_Luna,1,14)</f>
        <v>0.26008816948871</v>
      </c>
      <c r="Q256" s="103" t="n">
        <f aca="false">INDEX(IF_PostShareGPUh_Luna,1,15)</f>
        <v>0.26008816948871</v>
      </c>
      <c r="R256" s="105" t="n">
        <f aca="false">SUMPRODUCT((C256:Q256&lt;C255:Q255-0.000000001*ABS(C255:Q255)-0.000000000001)+(C256:Q256&gt;C257:Q257+0.000000001*ABS(C257:Q257)+0.000000000001))</f>
        <v>0</v>
      </c>
    </row>
    <row r="257" customFormat="false" ht="15" hidden="false" customHeight="false" outlineLevel="0" collapsed="false">
      <c r="A257" s="62" t="s">
        <v>3058</v>
      </c>
      <c r="B257" s="61" t="s">
        <v>3034</v>
      </c>
      <c r="C257" s="61" t="n">
        <v>0.332444236058156</v>
      </c>
      <c r="D257" s="61" t="n">
        <v>0.332444236058156</v>
      </c>
      <c r="E257" s="61" t="n">
        <v>0.332444236058156</v>
      </c>
      <c r="F257" s="61" t="n">
        <v>0.227137197591792</v>
      </c>
      <c r="G257" s="61" t="n">
        <v>0.227137197591792</v>
      </c>
      <c r="H257" s="61" t="n">
        <v>0.227137197591792</v>
      </c>
      <c r="I257" s="61" t="n">
        <v>0.238707389111481</v>
      </c>
      <c r="J257" s="61" t="n">
        <v>0.238707389111481</v>
      </c>
      <c r="K257" s="61" t="n">
        <v>0.238707389111481</v>
      </c>
      <c r="L257" s="61" t="n">
        <v>0.286511860627156</v>
      </c>
      <c r="M257" s="61" t="n">
        <v>0.286511860627156</v>
      </c>
      <c r="N257" s="61" t="n">
        <v>0.286511860627156</v>
      </c>
      <c r="O257" s="61" t="n">
        <v>0.26008816948871</v>
      </c>
      <c r="P257" s="61" t="n">
        <v>0.26008816948871</v>
      </c>
      <c r="Q257" s="61" t="n">
        <v>0.26008816948871</v>
      </c>
    </row>
    <row r="258" customFormat="false" ht="15" hidden="false" customHeight="false" outlineLevel="0" collapsed="false">
      <c r="A258" s="10" t="s">
        <v>3059</v>
      </c>
      <c r="B258" s="61" t="s">
        <v>3032</v>
      </c>
      <c r="C258" s="61" t="n">
        <v>0.22030402516596</v>
      </c>
      <c r="D258" s="61" t="n">
        <v>0.22030402516596</v>
      </c>
      <c r="E258" s="61" t="n">
        <v>0.22030402516596</v>
      </c>
      <c r="F258" s="61" t="n">
        <v>0.20064723634329</v>
      </c>
      <c r="G258" s="61" t="n">
        <v>0.20064723634329</v>
      </c>
      <c r="H258" s="61" t="n">
        <v>0.20064723634329</v>
      </c>
      <c r="I258" s="61" t="n">
        <v>0.235738956226448</v>
      </c>
      <c r="J258" s="61" t="n">
        <v>0.235738956226448</v>
      </c>
      <c r="K258" s="61" t="n">
        <v>0.235738956226448</v>
      </c>
      <c r="L258" s="61" t="n">
        <v>0.282310936548276</v>
      </c>
      <c r="M258" s="61" t="n">
        <v>0.282310936548276</v>
      </c>
      <c r="N258" s="61" t="n">
        <v>0.282310936548276</v>
      </c>
      <c r="O258" s="61" t="n">
        <v>0.254949018157508</v>
      </c>
      <c r="P258" s="61" t="n">
        <v>0.254949018157508</v>
      </c>
      <c r="Q258" s="61" t="n">
        <v>0.254949018157508</v>
      </c>
    </row>
    <row r="259" customFormat="false" ht="15" hidden="false" customHeight="false" outlineLevel="0" collapsed="false">
      <c r="A259" s="62" t="s">
        <v>3059</v>
      </c>
      <c r="B259" s="61" t="s">
        <v>3033</v>
      </c>
      <c r="C259" s="103" t="n">
        <f aca="false">INDEX(IF_PostShareGPUh_Sol,1,1)</f>
        <v>0.338532361439256</v>
      </c>
      <c r="D259" s="103" t="n">
        <f aca="false">INDEX(IF_PostShareGPUh_Sol,1,2)</f>
        <v>0.338532361439256</v>
      </c>
      <c r="E259" s="103" t="n">
        <f aca="false">INDEX(IF_PostShareGPUh_Sol,1,3)</f>
        <v>0.338532361439256</v>
      </c>
      <c r="F259" s="103" t="n">
        <f aca="false">INDEX(IF_PostShareGPUh_Sol,1,4)</f>
        <v>0.210900160119004</v>
      </c>
      <c r="G259" s="103" t="n">
        <f aca="false">INDEX(IF_PostShareGPUh_Sol,1,5)</f>
        <v>0.210900160119004</v>
      </c>
      <c r="H259" s="103" t="n">
        <f aca="false">INDEX(IF_PostShareGPUh_Sol,1,6)</f>
        <v>0.210900160119004</v>
      </c>
      <c r="I259" s="103" t="n">
        <f aca="false">INDEX(IF_PostShareGPUh_Sol,1,7)</f>
        <v>0.235738956226448</v>
      </c>
      <c r="J259" s="103" t="n">
        <f aca="false">INDEX(IF_PostShareGPUh_Sol,1,8)</f>
        <v>0.235738956226448</v>
      </c>
      <c r="K259" s="103" t="n">
        <f aca="false">INDEX(IF_PostShareGPUh_Sol,1,9)</f>
        <v>0.235738956226448</v>
      </c>
      <c r="L259" s="103" t="n">
        <f aca="false">INDEX(IF_PostShareGPUh_Sol,1,10)</f>
        <v>0.282310936548276</v>
      </c>
      <c r="M259" s="103" t="n">
        <f aca="false">INDEX(IF_PostShareGPUh_Sol,1,11)</f>
        <v>0.282310936548276</v>
      </c>
      <c r="N259" s="103" t="n">
        <f aca="false">INDEX(IF_PostShareGPUh_Sol,1,12)</f>
        <v>0.282310936548276</v>
      </c>
      <c r="O259" s="103" t="n">
        <f aca="false">INDEX(IF_PostShareGPUh_Sol,1,13)</f>
        <v>0.254949018157508</v>
      </c>
      <c r="P259" s="103" t="n">
        <f aca="false">INDEX(IF_PostShareGPUh_Sol,1,14)</f>
        <v>0.254949018157508</v>
      </c>
      <c r="Q259" s="103" t="n">
        <f aca="false">INDEX(IF_PostShareGPUh_Sol,1,15)</f>
        <v>0.254949018157508</v>
      </c>
      <c r="R259" s="105" t="n">
        <f aca="false">SUMPRODUCT((C259:Q259&lt;C258:Q258-0.000000001*ABS(C258:Q258)-0.000000000001)+(C259:Q259&gt;C260:Q260+0.000000001*ABS(C260:Q260)+0.000000000001))</f>
        <v>0</v>
      </c>
    </row>
    <row r="260" customFormat="false" ht="15" hidden="false" customHeight="false" outlineLevel="0" collapsed="false">
      <c r="A260" s="62" t="s">
        <v>3059</v>
      </c>
      <c r="B260" s="61" t="s">
        <v>3034</v>
      </c>
      <c r="C260" s="61" t="n">
        <v>0.338532361439256</v>
      </c>
      <c r="D260" s="61" t="n">
        <v>0.338532361439256</v>
      </c>
      <c r="E260" s="61" t="n">
        <v>0.338532361439256</v>
      </c>
      <c r="F260" s="61" t="n">
        <v>0.223790887842391</v>
      </c>
      <c r="G260" s="61" t="n">
        <v>0.223790887842391</v>
      </c>
      <c r="H260" s="61" t="n">
        <v>0.223790887842391</v>
      </c>
      <c r="I260" s="61" t="n">
        <v>0.235738956226448</v>
      </c>
      <c r="J260" s="61" t="n">
        <v>0.235738956226448</v>
      </c>
      <c r="K260" s="61" t="n">
        <v>0.235738956226448</v>
      </c>
      <c r="L260" s="61" t="n">
        <v>0.282310936548276</v>
      </c>
      <c r="M260" s="61" t="n">
        <v>0.282310936548276</v>
      </c>
      <c r="N260" s="61" t="n">
        <v>0.282310936548276</v>
      </c>
      <c r="O260" s="61" t="n">
        <v>0.254949018157508</v>
      </c>
      <c r="P260" s="61" t="n">
        <v>0.254949018157508</v>
      </c>
      <c r="Q260" s="61" t="n">
        <v>0.254949018157508</v>
      </c>
    </row>
    <row r="261" customFormat="false" ht="15" hidden="false" customHeight="false" outlineLevel="0" collapsed="false">
      <c r="A261" s="10" t="s">
        <v>3060</v>
      </c>
      <c r="B261" s="61" t="s">
        <v>3032</v>
      </c>
      <c r="C261" s="61" t="n">
        <v>715.225232132885</v>
      </c>
      <c r="D261" s="61" t="n">
        <v>1021.91379287534</v>
      </c>
      <c r="E261" s="61" t="n">
        <v>1755.00184941529</v>
      </c>
      <c r="F261" s="61" t="n">
        <v>371.318044569582</v>
      </c>
      <c r="G261" s="61" t="n">
        <v>495.787698591115</v>
      </c>
      <c r="H261" s="61" t="n">
        <v>804.127791314759</v>
      </c>
      <c r="I261" s="61" t="n">
        <v>552.821212490455</v>
      </c>
      <c r="J261" s="61" t="n">
        <v>714.000588162868</v>
      </c>
      <c r="K261" s="61" t="n">
        <v>1215.62081283856</v>
      </c>
      <c r="L261" s="61" t="n">
        <v>380.652805094568</v>
      </c>
      <c r="M261" s="61" t="n">
        <v>489.236984869465</v>
      </c>
      <c r="N261" s="61" t="n">
        <v>790.377499073548</v>
      </c>
      <c r="O261" s="61" t="n">
        <v>275.298530538818</v>
      </c>
      <c r="P261" s="61" t="n">
        <v>418.416018588187</v>
      </c>
      <c r="Q261" s="61" t="n">
        <v>763.835795988727</v>
      </c>
    </row>
    <row r="262" customFormat="false" ht="15" hidden="false" customHeight="false" outlineLevel="0" collapsed="false">
      <c r="A262" s="62" t="s">
        <v>3060</v>
      </c>
      <c r="B262" s="61" t="s">
        <v>3033</v>
      </c>
      <c r="C262" s="69" t="n">
        <f aca="false">INDEX(IF_ProgCost_Astra,1,1)</f>
        <v>1065.16743684915</v>
      </c>
      <c r="D262" s="69" t="n">
        <f aca="false">INDEX(IF_ProgCost_Astra,1,2)</f>
        <v>1521.91120577745</v>
      </c>
      <c r="E262" s="69" t="n">
        <f aca="false">INDEX(IF_ProgCost_Astra,1,3)</f>
        <v>2613.68130991761</v>
      </c>
      <c r="F262" s="69" t="n">
        <f aca="false">INDEX(IF_ProgCost_Astra,1,4)</f>
        <v>382.330413796237</v>
      </c>
      <c r="G262" s="69" t="n">
        <f aca="false">INDEX(IF_ProgCost_Astra,1,5)</f>
        <v>510.491528029966</v>
      </c>
      <c r="H262" s="69" t="n">
        <f aca="false">INDEX(IF_ProgCost_Astra,1,6)</f>
        <v>827.976220640721</v>
      </c>
      <c r="I262" s="69" t="n">
        <f aca="false">INDEX(IF_ProgCost_Astra,1,7)</f>
        <v>552.821212490455</v>
      </c>
      <c r="J262" s="69" t="n">
        <f aca="false">INDEX(IF_ProgCost_Astra,1,8)</f>
        <v>714.000588162868</v>
      </c>
      <c r="K262" s="69" t="n">
        <f aca="false">INDEX(IF_ProgCost_Astra,1,9)</f>
        <v>1215.62081283856</v>
      </c>
      <c r="L262" s="69" t="n">
        <f aca="false">INDEX(IF_ProgCost_Astra,1,10)</f>
        <v>380.652805094568</v>
      </c>
      <c r="M262" s="69" t="n">
        <f aca="false">INDEX(IF_ProgCost_Astra,1,11)</f>
        <v>489.236984869465</v>
      </c>
      <c r="N262" s="69" t="n">
        <f aca="false">INDEX(IF_ProgCost_Astra,1,12)</f>
        <v>790.377499073548</v>
      </c>
      <c r="O262" s="69" t="n">
        <f aca="false">INDEX(IF_ProgCost_Astra,1,13)</f>
        <v>275.298530538818</v>
      </c>
      <c r="P262" s="69" t="n">
        <f aca="false">INDEX(IF_ProgCost_Astra,1,14)</f>
        <v>418.416018588187</v>
      </c>
      <c r="Q262" s="69" t="n">
        <f aca="false">INDEX(IF_ProgCost_Astra,1,15)</f>
        <v>763.835795988727</v>
      </c>
      <c r="R262" s="105" t="n">
        <f aca="false">SUMPRODUCT((C262:Q262&lt;C261:Q261-0.000000001*ABS(C261:Q261)-0.000000000001)+(C262:Q262&gt;C263:Q263+0.000000001*ABS(C263:Q263)+0.000000000001))</f>
        <v>0</v>
      </c>
    </row>
    <row r="263" customFormat="false" ht="15" hidden="false" customHeight="false" outlineLevel="0" collapsed="false">
      <c r="A263" s="62" t="s">
        <v>3060</v>
      </c>
      <c r="B263" s="61" t="s">
        <v>3034</v>
      </c>
      <c r="C263" s="61" t="n">
        <v>1065.16743684915</v>
      </c>
      <c r="D263" s="61" t="n">
        <v>1521.91120577745</v>
      </c>
      <c r="E263" s="61" t="n">
        <v>2613.68130991761</v>
      </c>
      <c r="F263" s="61" t="n">
        <v>400.032328005676</v>
      </c>
      <c r="G263" s="61" t="n">
        <v>534.127307208779</v>
      </c>
      <c r="H263" s="61" t="n">
        <v>866.311554415788</v>
      </c>
      <c r="I263" s="61" t="n">
        <v>552.821212490455</v>
      </c>
      <c r="J263" s="61" t="n">
        <v>714.000588162868</v>
      </c>
      <c r="K263" s="61" t="n">
        <v>1215.62081283856</v>
      </c>
      <c r="L263" s="61" t="n">
        <v>380.652805094568</v>
      </c>
      <c r="M263" s="61" t="n">
        <v>489.236984869465</v>
      </c>
      <c r="N263" s="61" t="n">
        <v>790.377499073548</v>
      </c>
      <c r="O263" s="61" t="n">
        <v>275.298530538818</v>
      </c>
      <c r="P263" s="61" t="n">
        <v>418.416018588187</v>
      </c>
      <c r="Q263" s="61" t="n">
        <v>763.835795988727</v>
      </c>
    </row>
    <row r="264" customFormat="false" ht="15" hidden="false" customHeight="false" outlineLevel="0" collapsed="false">
      <c r="A264" s="10" t="s">
        <v>3061</v>
      </c>
      <c r="B264" s="61" t="s">
        <v>3032</v>
      </c>
      <c r="C264" s="61" t="n">
        <v>34.7468885618186</v>
      </c>
      <c r="D264" s="61" t="n">
        <v>49.6463534639777</v>
      </c>
      <c r="E264" s="61" t="n">
        <v>85.2610491740718</v>
      </c>
      <c r="F264" s="61" t="n">
        <v>17.3441575199526</v>
      </c>
      <c r="G264" s="61" t="n">
        <v>23.158098741974</v>
      </c>
      <c r="H264" s="61" t="n">
        <v>37.5605745066915</v>
      </c>
      <c r="I264" s="61" t="n">
        <v>28.059514355151</v>
      </c>
      <c r="J264" s="61" t="n">
        <v>36.2404866175213</v>
      </c>
      <c r="K264" s="61" t="n">
        <v>61.7011953911825</v>
      </c>
      <c r="L264" s="61" t="n">
        <v>20.9678485935643</v>
      </c>
      <c r="M264" s="61" t="n">
        <v>26.9490908455707</v>
      </c>
      <c r="N264" s="61" t="n">
        <v>43.5370907833372</v>
      </c>
      <c r="O264" s="61" t="n">
        <v>14.4511701546132</v>
      </c>
      <c r="P264" s="61" t="n">
        <v>21.9637971484962</v>
      </c>
      <c r="Q264" s="61" t="n">
        <v>40.0958226562748</v>
      </c>
    </row>
    <row r="265" customFormat="false" ht="15" hidden="false" customHeight="false" outlineLevel="0" collapsed="false">
      <c r="A265" s="62" t="s">
        <v>3061</v>
      </c>
      <c r="B265" s="61" t="s">
        <v>3033</v>
      </c>
      <c r="C265" s="69" t="n">
        <f aca="false">INDEX(IF_ProgCost_Luna,1,1)</f>
        <v>62.9827624661971</v>
      </c>
      <c r="D265" s="69" t="n">
        <f aca="false">INDEX(IF_ProgCost_Luna,1,2)</f>
        <v>89.9897693565145</v>
      </c>
      <c r="E265" s="69" t="n">
        <f aca="false">INDEX(IF_ProgCost_Luna,1,3)</f>
        <v>154.545532852403</v>
      </c>
      <c r="F265" s="69" t="n">
        <f aca="false">INDEX(IF_ProgCost_Luna,1,4)</f>
        <v>18.2732852679089</v>
      </c>
      <c r="G265" s="69" t="n">
        <f aca="false">INDEX(IF_ProgCost_Luna,1,5)</f>
        <v>24.3986797333728</v>
      </c>
      <c r="H265" s="69" t="n">
        <f aca="false">INDEX(IF_ProgCost_Luna,1,6)</f>
        <v>39.5726971458684</v>
      </c>
      <c r="I265" s="69" t="n">
        <f aca="false">INDEX(IF_ProgCost_Luna,1,7)</f>
        <v>28.059514355151</v>
      </c>
      <c r="J265" s="69" t="n">
        <f aca="false">INDEX(IF_ProgCost_Luna,1,8)</f>
        <v>36.2404866175213</v>
      </c>
      <c r="K265" s="69" t="n">
        <f aca="false">INDEX(IF_ProgCost_Luna,1,9)</f>
        <v>61.7011953911825</v>
      </c>
      <c r="L265" s="69" t="n">
        <f aca="false">INDEX(IF_ProgCost_Luna,1,10)</f>
        <v>20.9678485935643</v>
      </c>
      <c r="M265" s="69" t="n">
        <f aca="false">INDEX(IF_ProgCost_Luna,1,11)</f>
        <v>26.9490908455707</v>
      </c>
      <c r="N265" s="69" t="n">
        <f aca="false">INDEX(IF_ProgCost_Luna,1,12)</f>
        <v>43.5370907833372</v>
      </c>
      <c r="O265" s="69" t="n">
        <f aca="false">INDEX(IF_ProgCost_Luna,1,13)</f>
        <v>14.4511701546132</v>
      </c>
      <c r="P265" s="69" t="n">
        <f aca="false">INDEX(IF_ProgCost_Luna,1,14)</f>
        <v>21.9637971484962</v>
      </c>
      <c r="Q265" s="69" t="n">
        <f aca="false">INDEX(IF_ProgCost_Luna,1,15)</f>
        <v>40.0958226562748</v>
      </c>
      <c r="R265" s="105" t="n">
        <f aca="false">SUMPRODUCT((C265:Q265&lt;C264:Q264-0.000000001*ABS(C264:Q264)-0.000000000001)+(C265:Q265&gt;C266:Q266+0.000000001*ABS(C266:Q266)+0.000000000001))</f>
        <v>0</v>
      </c>
    </row>
    <row r="266" customFormat="false" ht="15" hidden="false" customHeight="false" outlineLevel="0" collapsed="false">
      <c r="A266" s="62" t="s">
        <v>3061</v>
      </c>
      <c r="B266" s="61" t="s">
        <v>3034</v>
      </c>
      <c r="C266" s="61" t="n">
        <v>62.9827624661971</v>
      </c>
      <c r="D266" s="61" t="n">
        <v>89.9897693565145</v>
      </c>
      <c r="E266" s="61" t="n">
        <v>154.545532852403</v>
      </c>
      <c r="F266" s="61" t="n">
        <v>19.7116674580399</v>
      </c>
      <c r="G266" s="61" t="n">
        <v>26.3192225299561</v>
      </c>
      <c r="H266" s="61" t="n">
        <v>42.6876631717108</v>
      </c>
      <c r="I266" s="61" t="n">
        <v>28.059514355151</v>
      </c>
      <c r="J266" s="61" t="n">
        <v>36.2404866175213</v>
      </c>
      <c r="K266" s="61" t="n">
        <v>61.7011953911825</v>
      </c>
      <c r="L266" s="61" t="n">
        <v>20.9678485935643</v>
      </c>
      <c r="M266" s="61" t="n">
        <v>26.9490908455707</v>
      </c>
      <c r="N266" s="61" t="n">
        <v>43.5370907833372</v>
      </c>
      <c r="O266" s="61" t="n">
        <v>14.4511701546132</v>
      </c>
      <c r="P266" s="61" t="n">
        <v>21.9637971484962</v>
      </c>
      <c r="Q266" s="61" t="n">
        <v>40.0958226562748</v>
      </c>
    </row>
    <row r="267" customFormat="false" ht="15" hidden="false" customHeight="false" outlineLevel="0" collapsed="false">
      <c r="A267" s="10" t="s">
        <v>3062</v>
      </c>
      <c r="B267" s="61" t="s">
        <v>3032</v>
      </c>
      <c r="C267" s="61" t="n">
        <v>110.311543886267</v>
      </c>
      <c r="D267" s="61" t="n">
        <v>157.613131005709</v>
      </c>
      <c r="E267" s="61" t="n">
        <v>270.679717149975</v>
      </c>
      <c r="F267" s="61" t="n">
        <v>56.5244655710604</v>
      </c>
      <c r="G267" s="61" t="n">
        <v>75.4720518149159</v>
      </c>
      <c r="H267" s="61" t="n">
        <v>122.409600932783</v>
      </c>
      <c r="I267" s="61" t="n">
        <v>86.2049176761941</v>
      </c>
      <c r="J267" s="61" t="n">
        <v>111.33863993035</v>
      </c>
      <c r="K267" s="61" t="n">
        <v>189.559462858032</v>
      </c>
      <c r="L267" s="61" t="n">
        <v>61.07819684623</v>
      </c>
      <c r="M267" s="61" t="n">
        <v>78.50122859042</v>
      </c>
      <c r="N267" s="61" t="n">
        <v>126.821165705719</v>
      </c>
      <c r="O267" s="61" t="n">
        <v>43.536770447398</v>
      </c>
      <c r="P267" s="61" t="n">
        <v>66.1699214926233</v>
      </c>
      <c r="Q267" s="61" t="n">
        <v>120.79593612207</v>
      </c>
    </row>
    <row r="268" customFormat="false" ht="15" hidden="false" customHeight="false" outlineLevel="0" collapsed="false">
      <c r="A268" s="62" t="s">
        <v>3062</v>
      </c>
      <c r="B268" s="61" t="s">
        <v>3033</v>
      </c>
      <c r="C268" s="69" t="n">
        <f aca="false">INDEX(IF_ProgCost_Sol,1,1)</f>
        <v>174.920108637806</v>
      </c>
      <c r="D268" s="69" t="n">
        <f aca="false">INDEX(IF_ProgCost_Sol,1,2)</f>
        <v>249.925846624795</v>
      </c>
      <c r="E268" s="69" t="n">
        <f aca="false">INDEX(IF_ProgCost_Sol,1,3)</f>
        <v>429.214603131113</v>
      </c>
      <c r="F268" s="69" t="n">
        <f aca="false">INDEX(IF_ProgCost_Sol,1,4)</f>
        <v>58.6856239928768</v>
      </c>
      <c r="G268" s="69" t="n">
        <f aca="false">INDEX(IF_ProgCost_Sol,1,5)</f>
        <v>78.3576529213344</v>
      </c>
      <c r="H268" s="69" t="n">
        <f aca="false">INDEX(IF_ProgCost_Sol,1,6)</f>
        <v>127.089813957256</v>
      </c>
      <c r="I268" s="69" t="n">
        <f aca="false">INDEX(IF_ProgCost_Sol,1,7)</f>
        <v>86.2049176761941</v>
      </c>
      <c r="J268" s="69" t="n">
        <f aca="false">INDEX(IF_ProgCost_Sol,1,8)</f>
        <v>111.33863993035</v>
      </c>
      <c r="K268" s="69" t="n">
        <f aca="false">INDEX(IF_ProgCost_Sol,1,9)</f>
        <v>189.559462858032</v>
      </c>
      <c r="L268" s="69" t="n">
        <f aca="false">INDEX(IF_ProgCost_Sol,1,10)</f>
        <v>61.07819684623</v>
      </c>
      <c r="M268" s="69" t="n">
        <f aca="false">INDEX(IF_ProgCost_Sol,1,11)</f>
        <v>78.50122859042</v>
      </c>
      <c r="N268" s="69" t="n">
        <f aca="false">INDEX(IF_ProgCost_Sol,1,12)</f>
        <v>126.821165705719</v>
      </c>
      <c r="O268" s="69" t="n">
        <f aca="false">INDEX(IF_ProgCost_Sol,1,13)</f>
        <v>43.536770447398</v>
      </c>
      <c r="P268" s="69" t="n">
        <f aca="false">INDEX(IF_ProgCost_Sol,1,14)</f>
        <v>66.1699214926233</v>
      </c>
      <c r="Q268" s="69" t="n">
        <f aca="false">INDEX(IF_ProgCost_Sol,1,15)</f>
        <v>120.79593612207</v>
      </c>
      <c r="R268" s="105" t="n">
        <f aca="false">SUMPRODUCT((C268:Q268&lt;C267:Q267-0.000000001*ABS(C267:Q267)-0.000000000001)+(C268:Q268&gt;C269:Q269+0.000000001*ABS(C269:Q269)+0.000000000001))</f>
        <v>0</v>
      </c>
    </row>
    <row r="269" customFormat="false" ht="15" hidden="false" customHeight="false" outlineLevel="0" collapsed="false">
      <c r="A269" s="62" t="s">
        <v>3062</v>
      </c>
      <c r="B269" s="61" t="s">
        <v>3034</v>
      </c>
      <c r="C269" s="61" t="n">
        <v>174.920108637806</v>
      </c>
      <c r="D269" s="61" t="n">
        <v>249.925846624795</v>
      </c>
      <c r="E269" s="61" t="n">
        <v>429.214603131113</v>
      </c>
      <c r="F269" s="61" t="n">
        <v>61.9545751251606</v>
      </c>
      <c r="G269" s="61" t="n">
        <v>82.7223903274049</v>
      </c>
      <c r="H269" s="61" t="n">
        <v>134.169067153708</v>
      </c>
      <c r="I269" s="61" t="n">
        <v>86.2049176761941</v>
      </c>
      <c r="J269" s="61" t="n">
        <v>111.33863993035</v>
      </c>
      <c r="K269" s="61" t="n">
        <v>189.559462858032</v>
      </c>
      <c r="L269" s="61" t="n">
        <v>61.07819684623</v>
      </c>
      <c r="M269" s="61" t="n">
        <v>78.50122859042</v>
      </c>
      <c r="N269" s="61" t="n">
        <v>126.821165705719</v>
      </c>
      <c r="O269" s="61" t="n">
        <v>43.536770447398</v>
      </c>
      <c r="P269" s="61" t="n">
        <v>66.1699214926233</v>
      </c>
      <c r="Q269" s="61" t="n">
        <v>120.79593612207</v>
      </c>
    </row>
    <row r="270" customFormat="false" ht="15" hidden="false" customHeight="false" outlineLevel="0" collapsed="false">
      <c r="A270" s="10" t="s">
        <v>3063</v>
      </c>
      <c r="B270" s="61" t="s">
        <v>3032</v>
      </c>
      <c r="C270" s="61" t="n">
        <v>662463425.252526</v>
      </c>
      <c r="D270" s="61" t="n">
        <v>662463425.252526</v>
      </c>
      <c r="E270" s="61" t="n">
        <v>662463425.252526</v>
      </c>
      <c r="F270" s="61" t="n">
        <v>246849552.692315</v>
      </c>
      <c r="G270" s="61" t="n">
        <v>246849552.692315</v>
      </c>
      <c r="H270" s="61" t="n">
        <v>246849552.692315</v>
      </c>
      <c r="I270" s="61" t="n">
        <v>279804081.046011</v>
      </c>
      <c r="J270" s="61" t="n">
        <v>279804081.046011</v>
      </c>
      <c r="K270" s="61" t="n">
        <v>279804081.046011</v>
      </c>
      <c r="L270" s="61" t="n">
        <v>102272699.724672</v>
      </c>
      <c r="M270" s="61" t="n">
        <v>102272699.724672</v>
      </c>
      <c r="N270" s="61" t="n">
        <v>102272699.724672</v>
      </c>
      <c r="O270" s="61" t="n">
        <v>46491866.832671</v>
      </c>
      <c r="P270" s="61" t="n">
        <v>46491866.832671</v>
      </c>
      <c r="Q270" s="61" t="n">
        <v>46491866.832671</v>
      </c>
    </row>
    <row r="271" customFormat="false" ht="15" hidden="false" customHeight="false" outlineLevel="0" collapsed="false">
      <c r="A271" s="62" t="s">
        <v>3063</v>
      </c>
      <c r="B271" s="61" t="s">
        <v>3033</v>
      </c>
      <c r="C271" s="69" t="n">
        <f aca="false">INDEX(IF_ProgGPUh_Astra,1,1)</f>
        <v>986590568.929256</v>
      </c>
      <c r="D271" s="69" t="n">
        <f aca="false">INDEX(IF_ProgGPUh_Astra,1,2)</f>
        <v>986590568.929256</v>
      </c>
      <c r="E271" s="69" t="n">
        <f aca="false">INDEX(IF_ProgGPUh_Astra,1,3)</f>
        <v>986590568.929256</v>
      </c>
      <c r="F271" s="69" t="n">
        <f aca="false">INDEX(IF_ProgGPUh_Astra,1,4)</f>
        <v>254170496.17308</v>
      </c>
      <c r="G271" s="69" t="n">
        <f aca="false">INDEX(IF_ProgGPUh_Astra,1,5)</f>
        <v>254170496.17308</v>
      </c>
      <c r="H271" s="69" t="n">
        <f aca="false">INDEX(IF_ProgGPUh_Astra,1,6)</f>
        <v>254170496.17308</v>
      </c>
      <c r="I271" s="69" t="n">
        <f aca="false">INDEX(IF_ProgGPUh_Astra,1,7)</f>
        <v>279804081.046011</v>
      </c>
      <c r="J271" s="69" t="n">
        <f aca="false">INDEX(IF_ProgGPUh_Astra,1,8)</f>
        <v>279804081.046011</v>
      </c>
      <c r="K271" s="69" t="n">
        <f aca="false">INDEX(IF_ProgGPUh_Astra,1,9)</f>
        <v>279804081.046011</v>
      </c>
      <c r="L271" s="69" t="n">
        <f aca="false">INDEX(IF_ProgGPUh_Astra,1,10)</f>
        <v>102272699.724672</v>
      </c>
      <c r="M271" s="69" t="n">
        <f aca="false">INDEX(IF_ProgGPUh_Astra,1,11)</f>
        <v>102272699.724672</v>
      </c>
      <c r="N271" s="69" t="n">
        <f aca="false">INDEX(IF_ProgGPUh_Astra,1,12)</f>
        <v>102272699.724672</v>
      </c>
      <c r="O271" s="69" t="n">
        <f aca="false">INDEX(IF_ProgGPUh_Astra,1,13)</f>
        <v>46491866.832671</v>
      </c>
      <c r="P271" s="69" t="n">
        <f aca="false">INDEX(IF_ProgGPUh_Astra,1,14)</f>
        <v>46491866.832671</v>
      </c>
      <c r="Q271" s="69" t="n">
        <f aca="false">INDEX(IF_ProgGPUh_Astra,1,15)</f>
        <v>46491866.832671</v>
      </c>
      <c r="R271" s="105" t="n">
        <f aca="false">SUMPRODUCT((C271:Q271&lt;C270:Q270-0.000000001*ABS(C270:Q270)-0.000000000001)+(C271:Q271&gt;C272:Q272+0.000000001*ABS(C272:Q272)+0.000000000001))</f>
        <v>0</v>
      </c>
    </row>
    <row r="272" customFormat="false" ht="15" hidden="false" customHeight="false" outlineLevel="0" collapsed="false">
      <c r="A272" s="62" t="s">
        <v>3063</v>
      </c>
      <c r="B272" s="61" t="s">
        <v>3034</v>
      </c>
      <c r="C272" s="61" t="n">
        <v>986590568.929256</v>
      </c>
      <c r="D272" s="61" t="n">
        <v>986590568.929256</v>
      </c>
      <c r="E272" s="61" t="n">
        <v>986590568.929256</v>
      </c>
      <c r="F272" s="61" t="n">
        <v>265938600.816266</v>
      </c>
      <c r="G272" s="61" t="n">
        <v>265938600.816266</v>
      </c>
      <c r="H272" s="61" t="n">
        <v>265938600.816266</v>
      </c>
      <c r="I272" s="61" t="n">
        <v>279804081.046011</v>
      </c>
      <c r="J272" s="61" t="n">
        <v>279804081.046011</v>
      </c>
      <c r="K272" s="61" t="n">
        <v>279804081.046011</v>
      </c>
      <c r="L272" s="61" t="n">
        <v>102272699.724672</v>
      </c>
      <c r="M272" s="61" t="n">
        <v>102272699.724672</v>
      </c>
      <c r="N272" s="61" t="n">
        <v>102272699.724672</v>
      </c>
      <c r="O272" s="61" t="n">
        <v>46491866.832671</v>
      </c>
      <c r="P272" s="61" t="n">
        <v>46491866.832671</v>
      </c>
      <c r="Q272" s="61" t="n">
        <v>46491866.832671</v>
      </c>
    </row>
    <row r="273" customFormat="false" ht="15" hidden="false" customHeight="false" outlineLevel="0" collapsed="false">
      <c r="A273" s="10" t="s">
        <v>3064</v>
      </c>
      <c r="B273" s="61" t="s">
        <v>3032</v>
      </c>
      <c r="C273" s="61" t="n">
        <v>32183628.0088808</v>
      </c>
      <c r="D273" s="61" t="n">
        <v>32183628.0088808</v>
      </c>
      <c r="E273" s="61" t="n">
        <v>32183628.0088808</v>
      </c>
      <c r="F273" s="61" t="n">
        <v>11530270.5813508</v>
      </c>
      <c r="G273" s="61" t="n">
        <v>11530270.5813508</v>
      </c>
      <c r="H273" s="61" t="n">
        <v>11530270.5813508</v>
      </c>
      <c r="I273" s="61" t="n">
        <v>14201999.5820546</v>
      </c>
      <c r="J273" s="61" t="n">
        <v>14201999.5820546</v>
      </c>
      <c r="K273" s="61" t="n">
        <v>14201999.5820546</v>
      </c>
      <c r="L273" s="61" t="n">
        <v>5633581.19099958</v>
      </c>
      <c r="M273" s="61" t="n">
        <v>5633581.19099958</v>
      </c>
      <c r="N273" s="61" t="n">
        <v>5633581.19099958</v>
      </c>
      <c r="O273" s="61" t="n">
        <v>2440484.79695685</v>
      </c>
      <c r="P273" s="61" t="n">
        <v>2440484.79695685</v>
      </c>
      <c r="Q273" s="61" t="n">
        <v>2440484.79695685</v>
      </c>
    </row>
    <row r="274" customFormat="false" ht="15" hidden="false" customHeight="false" outlineLevel="0" collapsed="false">
      <c r="A274" s="62" t="s">
        <v>3064</v>
      </c>
      <c r="B274" s="61" t="s">
        <v>3033</v>
      </c>
      <c r="C274" s="69" t="n">
        <f aca="false">INDEX(IF_ProgGPUh_Luna,1,1)</f>
        <v>58336555.6480691</v>
      </c>
      <c r="D274" s="69" t="n">
        <f aca="false">INDEX(IF_ProgGPUh_Luna,1,2)</f>
        <v>58336555.6480691</v>
      </c>
      <c r="E274" s="69" t="n">
        <f aca="false">INDEX(IF_ProgGPUh_Luna,1,3)</f>
        <v>58336555.6480691</v>
      </c>
      <c r="F274" s="69" t="n">
        <f aca="false">INDEX(IF_ProgGPUh_Luna,1,4)</f>
        <v>12147947.9938312</v>
      </c>
      <c r="G274" s="69" t="n">
        <f aca="false">INDEX(IF_ProgGPUh_Luna,1,5)</f>
        <v>12147947.9938312</v>
      </c>
      <c r="H274" s="69" t="n">
        <f aca="false">INDEX(IF_ProgGPUh_Luna,1,6)</f>
        <v>12147947.9938312</v>
      </c>
      <c r="I274" s="69" t="n">
        <f aca="false">INDEX(IF_ProgGPUh_Luna,1,7)</f>
        <v>14201999.5820546</v>
      </c>
      <c r="J274" s="69" t="n">
        <f aca="false">INDEX(IF_ProgGPUh_Luna,1,8)</f>
        <v>14201999.5820546</v>
      </c>
      <c r="K274" s="69" t="n">
        <f aca="false">INDEX(IF_ProgGPUh_Luna,1,9)</f>
        <v>14201999.5820546</v>
      </c>
      <c r="L274" s="69" t="n">
        <f aca="false">INDEX(IF_ProgGPUh_Luna,1,10)</f>
        <v>5633581.19099958</v>
      </c>
      <c r="M274" s="69" t="n">
        <f aca="false">INDEX(IF_ProgGPUh_Luna,1,11)</f>
        <v>5633581.19099958</v>
      </c>
      <c r="N274" s="69" t="n">
        <f aca="false">INDEX(IF_ProgGPUh_Luna,1,12)</f>
        <v>5633581.19099958</v>
      </c>
      <c r="O274" s="69" t="n">
        <f aca="false">INDEX(IF_ProgGPUh_Luna,1,13)</f>
        <v>2440484.79695685</v>
      </c>
      <c r="P274" s="69" t="n">
        <f aca="false">INDEX(IF_ProgGPUh_Luna,1,14)</f>
        <v>2440484.79695685</v>
      </c>
      <c r="Q274" s="69" t="n">
        <f aca="false">INDEX(IF_ProgGPUh_Luna,1,15)</f>
        <v>2440484.79695685</v>
      </c>
      <c r="R274" s="105" t="n">
        <f aca="false">SUMPRODUCT((C274:Q274&lt;C273:Q273-0.000000001*ABS(C273:Q273)-0.000000000001)+(C274:Q274&gt;C275:Q275+0.000000001*ABS(C275:Q275)+0.000000000001))</f>
        <v>0</v>
      </c>
    </row>
    <row r="275" customFormat="false" ht="15" hidden="false" customHeight="false" outlineLevel="0" collapsed="false">
      <c r="A275" s="62" t="s">
        <v>3064</v>
      </c>
      <c r="B275" s="61" t="s">
        <v>3034</v>
      </c>
      <c r="C275" s="61" t="n">
        <v>58336555.6480691</v>
      </c>
      <c r="D275" s="61" t="n">
        <v>58336555.6480691</v>
      </c>
      <c r="E275" s="61" t="n">
        <v>58336555.6480691</v>
      </c>
      <c r="F275" s="61" t="n">
        <v>13104174.0793316</v>
      </c>
      <c r="G275" s="61" t="n">
        <v>13104174.0793316</v>
      </c>
      <c r="H275" s="61" t="n">
        <v>13104174.0793316</v>
      </c>
      <c r="I275" s="61" t="n">
        <v>14201999.5820546</v>
      </c>
      <c r="J275" s="61" t="n">
        <v>14201999.5820546</v>
      </c>
      <c r="K275" s="61" t="n">
        <v>14201999.5820546</v>
      </c>
      <c r="L275" s="61" t="n">
        <v>5633581.19099958</v>
      </c>
      <c r="M275" s="61" t="n">
        <v>5633581.19099958</v>
      </c>
      <c r="N275" s="61" t="n">
        <v>5633581.19099958</v>
      </c>
      <c r="O275" s="61" t="n">
        <v>2440484.79695685</v>
      </c>
      <c r="P275" s="61" t="n">
        <v>2440484.79695685</v>
      </c>
      <c r="Q275" s="61" t="n">
        <v>2440484.79695685</v>
      </c>
    </row>
    <row r="276" customFormat="false" ht="15" hidden="false" customHeight="false" outlineLevel="0" collapsed="false">
      <c r="A276" s="10" t="s">
        <v>3065</v>
      </c>
      <c r="B276" s="61" t="s">
        <v>3032</v>
      </c>
      <c r="C276" s="61" t="n">
        <v>102173916.5855</v>
      </c>
      <c r="D276" s="61" t="n">
        <v>102173916.5855</v>
      </c>
      <c r="E276" s="61" t="n">
        <v>102173916.5855</v>
      </c>
      <c r="F276" s="61" t="n">
        <v>37577056.2364192</v>
      </c>
      <c r="G276" s="61" t="n">
        <v>37577056.2364192</v>
      </c>
      <c r="H276" s="61" t="n">
        <v>37577056.2364192</v>
      </c>
      <c r="I276" s="61" t="n">
        <v>43631624.8853258</v>
      </c>
      <c r="J276" s="61" t="n">
        <v>43631624.8853258</v>
      </c>
      <c r="K276" s="61" t="n">
        <v>43631624.8853258</v>
      </c>
      <c r="L276" s="61" t="n">
        <v>16410314.0767004</v>
      </c>
      <c r="M276" s="61" t="n">
        <v>16410314.0767004</v>
      </c>
      <c r="N276" s="61" t="n">
        <v>16410314.0767004</v>
      </c>
      <c r="O276" s="61" t="n">
        <v>7352402.97143392</v>
      </c>
      <c r="P276" s="61" t="n">
        <v>7352402.97143392</v>
      </c>
      <c r="Q276" s="61" t="n">
        <v>7352402.97143392</v>
      </c>
    </row>
    <row r="277" customFormat="false" ht="15" hidden="false" customHeight="false" outlineLevel="0" collapsed="false">
      <c r="A277" s="62" t="s">
        <v>3065</v>
      </c>
      <c r="B277" s="61" t="s">
        <v>3033</v>
      </c>
      <c r="C277" s="69" t="n">
        <f aca="false">INDEX(IF_ProgGPUh_Sol,1,1)</f>
        <v>162016339.899227</v>
      </c>
      <c r="D277" s="69" t="n">
        <f aca="false">INDEX(IF_ProgGPUh_Sol,1,2)</f>
        <v>162016339.899227</v>
      </c>
      <c r="E277" s="69" t="n">
        <f aca="false">INDEX(IF_ProgGPUh_Sol,1,3)</f>
        <v>162016339.899227</v>
      </c>
      <c r="F277" s="69" t="n">
        <f aca="false">INDEX(IF_ProgGPUh_Sol,1,4)</f>
        <v>39013778.7375866</v>
      </c>
      <c r="G277" s="69" t="n">
        <f aca="false">INDEX(IF_ProgGPUh_Sol,1,5)</f>
        <v>39013778.7375866</v>
      </c>
      <c r="H277" s="69" t="n">
        <f aca="false">INDEX(IF_ProgGPUh_Sol,1,6)</f>
        <v>39013778.7375866</v>
      </c>
      <c r="I277" s="69" t="n">
        <f aca="false">INDEX(IF_ProgGPUh_Sol,1,7)</f>
        <v>43631624.8853258</v>
      </c>
      <c r="J277" s="69" t="n">
        <f aca="false">INDEX(IF_ProgGPUh_Sol,1,8)</f>
        <v>43631624.8853258</v>
      </c>
      <c r="K277" s="69" t="n">
        <f aca="false">INDEX(IF_ProgGPUh_Sol,1,9)</f>
        <v>43631624.8853258</v>
      </c>
      <c r="L277" s="69" t="n">
        <f aca="false">INDEX(IF_ProgGPUh_Sol,1,10)</f>
        <v>16410314.0767004</v>
      </c>
      <c r="M277" s="69" t="n">
        <f aca="false">INDEX(IF_ProgGPUh_Sol,1,11)</f>
        <v>16410314.0767004</v>
      </c>
      <c r="N277" s="69" t="n">
        <f aca="false">INDEX(IF_ProgGPUh_Sol,1,12)</f>
        <v>16410314.0767004</v>
      </c>
      <c r="O277" s="69" t="n">
        <f aca="false">INDEX(IF_ProgGPUh_Sol,1,13)</f>
        <v>7352402.97143392</v>
      </c>
      <c r="P277" s="69" t="n">
        <f aca="false">INDEX(IF_ProgGPUh_Sol,1,14)</f>
        <v>7352402.97143392</v>
      </c>
      <c r="Q277" s="69" t="n">
        <f aca="false">INDEX(IF_ProgGPUh_Sol,1,15)</f>
        <v>7352402.97143392</v>
      </c>
      <c r="R277" s="105" t="n">
        <f aca="false">SUMPRODUCT((C277:Q277&lt;C276:Q276-0.000000001*ABS(C276:Q276)-0.000000000001)+(C277:Q277&gt;C278:Q278+0.000000001*ABS(C278:Q278)+0.000000000001))</f>
        <v>0</v>
      </c>
    </row>
    <row r="278" customFormat="false" ht="15" hidden="false" customHeight="false" outlineLevel="0" collapsed="false">
      <c r="A278" s="62" t="s">
        <v>3065</v>
      </c>
      <c r="B278" s="61" t="s">
        <v>3034</v>
      </c>
      <c r="C278" s="61" t="n">
        <v>162016339.899227</v>
      </c>
      <c r="D278" s="61" t="n">
        <v>162016339.899227</v>
      </c>
      <c r="E278" s="61" t="n">
        <v>162016339.899227</v>
      </c>
      <c r="F278" s="61" t="n">
        <v>41186953.8271858</v>
      </c>
      <c r="G278" s="61" t="n">
        <v>41186953.8271858</v>
      </c>
      <c r="H278" s="61" t="n">
        <v>41186953.8271858</v>
      </c>
      <c r="I278" s="61" t="n">
        <v>43631624.8853258</v>
      </c>
      <c r="J278" s="61" t="n">
        <v>43631624.8853258</v>
      </c>
      <c r="K278" s="61" t="n">
        <v>43631624.8853258</v>
      </c>
      <c r="L278" s="61" t="n">
        <v>16410314.0767004</v>
      </c>
      <c r="M278" s="61" t="n">
        <v>16410314.0767004</v>
      </c>
      <c r="N278" s="61" t="n">
        <v>16410314.0767004</v>
      </c>
      <c r="O278" s="61" t="n">
        <v>7352402.97143392</v>
      </c>
      <c r="P278" s="61" t="n">
        <v>7352402.97143392</v>
      </c>
      <c r="Q278" s="61" t="n">
        <v>7352402.97143392</v>
      </c>
    </row>
    <row r="279" customFormat="false" ht="15" hidden="false" customHeight="false" outlineLevel="0" collapsed="false">
      <c r="A279" s="10" t="s">
        <v>3066</v>
      </c>
      <c r="B279" s="61" t="s">
        <v>3032</v>
      </c>
      <c r="C279" s="61" t="n">
        <v>0.105318416988551</v>
      </c>
      <c r="D279" s="61" t="n">
        <v>0.105318416988551</v>
      </c>
      <c r="E279" s="61" t="n">
        <v>0.105318416988551</v>
      </c>
      <c r="F279" s="61" t="n">
        <v>0.0561597644364947</v>
      </c>
      <c r="G279" s="61" t="n">
        <v>0.0561597644364947</v>
      </c>
      <c r="H279" s="61" t="n">
        <v>0.0561597644364947</v>
      </c>
      <c r="I279" s="61" t="n">
        <v>0.0655864074968763</v>
      </c>
      <c r="J279" s="61" t="n">
        <v>0.0655864074968763</v>
      </c>
      <c r="K279" s="61" t="n">
        <v>0.0655864074968763</v>
      </c>
      <c r="L279" s="61" t="n">
        <v>0.0400178434586299</v>
      </c>
      <c r="M279" s="61" t="n">
        <v>0.0400178434586299</v>
      </c>
      <c r="N279" s="61" t="n">
        <v>0.0400178434586299</v>
      </c>
      <c r="O279" s="61" t="n">
        <v>0.0272504145323638</v>
      </c>
      <c r="P279" s="61" t="n">
        <v>0.0272504145323638</v>
      </c>
      <c r="Q279" s="61" t="n">
        <v>0.0272504145323638</v>
      </c>
    </row>
    <row r="280" customFormat="false" ht="15" hidden="false" customHeight="false" outlineLevel="0" collapsed="false">
      <c r="A280" s="62" t="s">
        <v>3066</v>
      </c>
      <c r="B280" s="61" t="s">
        <v>3033</v>
      </c>
      <c r="C280" s="102" t="n">
        <f aca="false">INDEX(IF_ProgGWyr_Astra,1,1)</f>
        <v>0.156848141308111</v>
      </c>
      <c r="D280" s="102" t="n">
        <f aca="false">INDEX(IF_ProgGWyr_Astra,1,2)</f>
        <v>0.156848141308111</v>
      </c>
      <c r="E280" s="102" t="n">
        <f aca="false">INDEX(IF_ProgGWyr_Astra,1,3)</f>
        <v>0.156848141308111</v>
      </c>
      <c r="F280" s="102" t="n">
        <f aca="false">INDEX(IF_ProgGWyr_Astra,1,4)</f>
        <v>0.0578253233036203</v>
      </c>
      <c r="G280" s="102" t="n">
        <f aca="false">INDEX(IF_ProgGWyr_Astra,1,5)</f>
        <v>0.0578253233036203</v>
      </c>
      <c r="H280" s="102" t="n">
        <f aca="false">INDEX(IF_ProgGWyr_Astra,1,6)</f>
        <v>0.0578253233036203</v>
      </c>
      <c r="I280" s="102" t="n">
        <f aca="false">INDEX(IF_ProgGWyr_Astra,1,7)</f>
        <v>0.0655864074968763</v>
      </c>
      <c r="J280" s="102" t="n">
        <f aca="false">INDEX(IF_ProgGWyr_Astra,1,8)</f>
        <v>0.0655864074968763</v>
      </c>
      <c r="K280" s="102" t="n">
        <f aca="false">INDEX(IF_ProgGWyr_Astra,1,9)</f>
        <v>0.0655864074968763</v>
      </c>
      <c r="L280" s="102" t="n">
        <f aca="false">INDEX(IF_ProgGWyr_Astra,1,10)</f>
        <v>0.0400178434586299</v>
      </c>
      <c r="M280" s="102" t="n">
        <f aca="false">INDEX(IF_ProgGWyr_Astra,1,11)</f>
        <v>0.0400178434586299</v>
      </c>
      <c r="N280" s="102" t="n">
        <f aca="false">INDEX(IF_ProgGWyr_Astra,1,12)</f>
        <v>0.0400178434586299</v>
      </c>
      <c r="O280" s="102" t="n">
        <f aca="false">INDEX(IF_ProgGWyr_Astra,1,13)</f>
        <v>0.0272504145323638</v>
      </c>
      <c r="P280" s="102" t="n">
        <f aca="false">INDEX(IF_ProgGWyr_Astra,1,14)</f>
        <v>0.0272504145323638</v>
      </c>
      <c r="Q280" s="102" t="n">
        <f aca="false">INDEX(IF_ProgGWyr_Astra,1,15)</f>
        <v>0.0272504145323638</v>
      </c>
      <c r="R280" s="105" t="n">
        <f aca="false">SUMPRODUCT((C280:Q280&lt;C279:Q279-0.000000001*ABS(C279:Q279)-0.000000000001)+(C280:Q280&gt;C281:Q281+0.000000001*ABS(C281:Q281)+0.000000000001))</f>
        <v>0</v>
      </c>
    </row>
    <row r="281" customFormat="false" ht="15" hidden="false" customHeight="false" outlineLevel="0" collapsed="false">
      <c r="A281" s="62" t="s">
        <v>3066</v>
      </c>
      <c r="B281" s="61" t="s">
        <v>3034</v>
      </c>
      <c r="C281" s="61" t="n">
        <v>0.156848141308111</v>
      </c>
      <c r="D281" s="61" t="n">
        <v>0.156848141308111</v>
      </c>
      <c r="E281" s="61" t="n">
        <v>0.156848141308111</v>
      </c>
      <c r="F281" s="61" t="n">
        <v>0.060502638200152</v>
      </c>
      <c r="G281" s="61" t="n">
        <v>0.060502638200152</v>
      </c>
      <c r="H281" s="61" t="n">
        <v>0.060502638200152</v>
      </c>
      <c r="I281" s="61" t="n">
        <v>0.0655864074968763</v>
      </c>
      <c r="J281" s="61" t="n">
        <v>0.0655864074968763</v>
      </c>
      <c r="K281" s="61" t="n">
        <v>0.0655864074968763</v>
      </c>
      <c r="L281" s="61" t="n">
        <v>0.0400178434586299</v>
      </c>
      <c r="M281" s="61" t="n">
        <v>0.0400178434586299</v>
      </c>
      <c r="N281" s="61" t="n">
        <v>0.0400178434586299</v>
      </c>
      <c r="O281" s="61" t="n">
        <v>0.0272504145323638</v>
      </c>
      <c r="P281" s="61" t="n">
        <v>0.0272504145323638</v>
      </c>
      <c r="Q281" s="61" t="n">
        <v>0.0272504145323638</v>
      </c>
    </row>
    <row r="282" customFormat="false" ht="15" hidden="false" customHeight="false" outlineLevel="0" collapsed="false">
      <c r="A282" s="10" t="s">
        <v>3067</v>
      </c>
      <c r="B282" s="61" t="s">
        <v>3032</v>
      </c>
      <c r="C282" s="61" t="n">
        <v>0.00511655228898359</v>
      </c>
      <c r="D282" s="61" t="n">
        <v>0.00511655228898359</v>
      </c>
      <c r="E282" s="61" t="n">
        <v>0.00511655228898359</v>
      </c>
      <c r="F282" s="61" t="n">
        <v>0.00262320621072717</v>
      </c>
      <c r="G282" s="61" t="n">
        <v>0.00262320621072717</v>
      </c>
      <c r="H282" s="61" t="n">
        <v>0.00262320621072717</v>
      </c>
      <c r="I282" s="61" t="n">
        <v>0.00332896549749013</v>
      </c>
      <c r="J282" s="61" t="n">
        <v>0.00332896549749013</v>
      </c>
      <c r="K282" s="61" t="n">
        <v>0.00332896549749013</v>
      </c>
      <c r="L282" s="61" t="n">
        <v>0.00220433968028437</v>
      </c>
      <c r="M282" s="61" t="n">
        <v>0.00220433968028437</v>
      </c>
      <c r="N282" s="61" t="n">
        <v>0.00220433968028437</v>
      </c>
      <c r="O282" s="61" t="n">
        <v>0.00143044852589726</v>
      </c>
      <c r="P282" s="61" t="n">
        <v>0.00143044852589726</v>
      </c>
      <c r="Q282" s="61" t="n">
        <v>0.00143044852589726</v>
      </c>
    </row>
    <row r="283" customFormat="false" ht="15" hidden="false" customHeight="false" outlineLevel="0" collapsed="false">
      <c r="A283" s="62" t="s">
        <v>3067</v>
      </c>
      <c r="B283" s="61" t="s">
        <v>3033</v>
      </c>
      <c r="C283" s="102" t="n">
        <f aca="false">INDEX(IF_ProgGWyr_Luna,1,1)</f>
        <v>0.00927434400031541</v>
      </c>
      <c r="D283" s="102" t="n">
        <f aca="false">INDEX(IF_ProgGWyr_Luna,1,2)</f>
        <v>0.00927434400031541</v>
      </c>
      <c r="E283" s="102" t="n">
        <f aca="false">INDEX(IF_ProgGWyr_Luna,1,3)</f>
        <v>0.00927434400031541</v>
      </c>
      <c r="F283" s="102" t="n">
        <f aca="false">INDEX(IF_ProgGWyr_Luna,1,4)</f>
        <v>0.00276373155340779</v>
      </c>
      <c r="G283" s="102" t="n">
        <f aca="false">INDEX(IF_ProgGWyr_Luna,1,5)</f>
        <v>0.00276373155340779</v>
      </c>
      <c r="H283" s="102" t="n">
        <f aca="false">INDEX(IF_ProgGWyr_Luna,1,6)</f>
        <v>0.00276373155340779</v>
      </c>
      <c r="I283" s="102" t="n">
        <f aca="false">INDEX(IF_ProgGWyr_Luna,1,7)</f>
        <v>0.00332896549749013</v>
      </c>
      <c r="J283" s="102" t="n">
        <f aca="false">INDEX(IF_ProgGWyr_Luna,1,8)</f>
        <v>0.00332896549749013</v>
      </c>
      <c r="K283" s="102" t="n">
        <f aca="false">INDEX(IF_ProgGWyr_Luna,1,9)</f>
        <v>0.00332896549749013</v>
      </c>
      <c r="L283" s="102" t="n">
        <f aca="false">INDEX(IF_ProgGWyr_Luna,1,10)</f>
        <v>0.00220433968028437</v>
      </c>
      <c r="M283" s="102" t="n">
        <f aca="false">INDEX(IF_ProgGWyr_Luna,1,11)</f>
        <v>0.00220433968028437</v>
      </c>
      <c r="N283" s="102" t="n">
        <f aca="false">INDEX(IF_ProgGWyr_Luna,1,12)</f>
        <v>0.00220433968028437</v>
      </c>
      <c r="O283" s="102" t="n">
        <f aca="false">INDEX(IF_ProgGWyr_Luna,1,13)</f>
        <v>0.00143044852589726</v>
      </c>
      <c r="P283" s="102" t="n">
        <f aca="false">INDEX(IF_ProgGWyr_Luna,1,14)</f>
        <v>0.00143044852589726</v>
      </c>
      <c r="Q283" s="102" t="n">
        <f aca="false">INDEX(IF_ProgGWyr_Luna,1,15)</f>
        <v>0.00143044852589726</v>
      </c>
      <c r="R283" s="105" t="n">
        <f aca="false">SUMPRODUCT((C283:Q283&lt;C282:Q282-0.000000001*ABS(C282:Q282)-0.000000000001)+(C283:Q283&gt;C284:Q284+0.000000001*ABS(C284:Q284)+0.000000000001))</f>
        <v>0</v>
      </c>
    </row>
    <row r="284" customFormat="false" ht="15" hidden="false" customHeight="false" outlineLevel="0" collapsed="false">
      <c r="A284" s="62" t="s">
        <v>3067</v>
      </c>
      <c r="B284" s="61" t="s">
        <v>3034</v>
      </c>
      <c r="C284" s="61" t="n">
        <v>0.00927434400031541</v>
      </c>
      <c r="D284" s="61" t="n">
        <v>0.00927434400031541</v>
      </c>
      <c r="E284" s="61" t="n">
        <v>0.00927434400031541</v>
      </c>
      <c r="F284" s="61" t="n">
        <v>0.00298127876434671</v>
      </c>
      <c r="G284" s="61" t="n">
        <v>0.00298127876434671</v>
      </c>
      <c r="H284" s="61" t="n">
        <v>0.00298127876434671</v>
      </c>
      <c r="I284" s="61" t="n">
        <v>0.00332896549749013</v>
      </c>
      <c r="J284" s="61" t="n">
        <v>0.00332896549749013</v>
      </c>
      <c r="K284" s="61" t="n">
        <v>0.00332896549749013</v>
      </c>
      <c r="L284" s="61" t="n">
        <v>0.00220433968028437</v>
      </c>
      <c r="M284" s="61" t="n">
        <v>0.00220433968028437</v>
      </c>
      <c r="N284" s="61" t="n">
        <v>0.00220433968028437</v>
      </c>
      <c r="O284" s="61" t="n">
        <v>0.00143044852589726</v>
      </c>
      <c r="P284" s="61" t="n">
        <v>0.00143044852589726</v>
      </c>
      <c r="Q284" s="61" t="n">
        <v>0.00143044852589726</v>
      </c>
    </row>
    <row r="285" customFormat="false" ht="15" hidden="false" customHeight="false" outlineLevel="0" collapsed="false">
      <c r="A285" s="10" t="s">
        <v>3068</v>
      </c>
      <c r="B285" s="61" t="s">
        <v>3032</v>
      </c>
      <c r="C285" s="61" t="n">
        <v>0.0162436064273333</v>
      </c>
      <c r="D285" s="61" t="n">
        <v>0.0162436064273333</v>
      </c>
      <c r="E285" s="61" t="n">
        <v>0.0162436064273333</v>
      </c>
      <c r="F285" s="61" t="n">
        <v>0.00854900729386624</v>
      </c>
      <c r="G285" s="61" t="n">
        <v>0.00854900729386624</v>
      </c>
      <c r="H285" s="61" t="n">
        <v>0.00854900729386624</v>
      </c>
      <c r="I285" s="61" t="n">
        <v>0.0102273044724078</v>
      </c>
      <c r="J285" s="61" t="n">
        <v>0.0102273044724078</v>
      </c>
      <c r="K285" s="61" t="n">
        <v>0.0102273044724078</v>
      </c>
      <c r="L285" s="61" t="n">
        <v>0.00642112099901794</v>
      </c>
      <c r="M285" s="61" t="n">
        <v>0.00642112099901794</v>
      </c>
      <c r="N285" s="61" t="n">
        <v>0.00642112099901794</v>
      </c>
      <c r="O285" s="61" t="n">
        <v>0.00430948556016603</v>
      </c>
      <c r="P285" s="61" t="n">
        <v>0.00430948556016603</v>
      </c>
      <c r="Q285" s="61" t="n">
        <v>0.00430948556016603</v>
      </c>
    </row>
    <row r="286" customFormat="false" ht="15" hidden="false" customHeight="false" outlineLevel="0" collapsed="false">
      <c r="A286" s="62" t="s">
        <v>3068</v>
      </c>
      <c r="B286" s="61" t="s">
        <v>3033</v>
      </c>
      <c r="C286" s="102" t="n">
        <f aca="false">INDEX(IF_ProgGWyr_Sol,1,1)</f>
        <v>0.0257573532274046</v>
      </c>
      <c r="D286" s="102" t="n">
        <f aca="false">INDEX(IF_ProgGWyr_Sol,1,2)</f>
        <v>0.0257573532274046</v>
      </c>
      <c r="E286" s="102" t="n">
        <f aca="false">INDEX(IF_ProgGWyr_Sol,1,3)</f>
        <v>0.0257573532274046</v>
      </c>
      <c r="F286" s="102" t="n">
        <f aca="false">INDEX(IF_ProgGWyr_Sol,1,4)</f>
        <v>0.00887587034201096</v>
      </c>
      <c r="G286" s="102" t="n">
        <f aca="false">INDEX(IF_ProgGWyr_Sol,1,5)</f>
        <v>0.00887587034201096</v>
      </c>
      <c r="H286" s="102" t="n">
        <f aca="false">INDEX(IF_ProgGWyr_Sol,1,6)</f>
        <v>0.00887587034201096</v>
      </c>
      <c r="I286" s="102" t="n">
        <f aca="false">INDEX(IF_ProgGWyr_Sol,1,7)</f>
        <v>0.0102273044724078</v>
      </c>
      <c r="J286" s="102" t="n">
        <f aca="false">INDEX(IF_ProgGWyr_Sol,1,8)</f>
        <v>0.0102273044724078</v>
      </c>
      <c r="K286" s="102" t="n">
        <f aca="false">INDEX(IF_ProgGWyr_Sol,1,9)</f>
        <v>0.0102273044724078</v>
      </c>
      <c r="L286" s="102" t="n">
        <f aca="false">INDEX(IF_ProgGWyr_Sol,1,10)</f>
        <v>0.00642112099901794</v>
      </c>
      <c r="M286" s="102" t="n">
        <f aca="false">INDEX(IF_ProgGWyr_Sol,1,11)</f>
        <v>0.00642112099901794</v>
      </c>
      <c r="N286" s="102" t="n">
        <f aca="false">INDEX(IF_ProgGWyr_Sol,1,12)</f>
        <v>0.00642112099901794</v>
      </c>
      <c r="O286" s="102" t="n">
        <f aca="false">INDEX(IF_ProgGWyr_Sol,1,13)</f>
        <v>0.00430948556016603</v>
      </c>
      <c r="P286" s="102" t="n">
        <f aca="false">INDEX(IF_ProgGWyr_Sol,1,14)</f>
        <v>0.00430948556016603</v>
      </c>
      <c r="Q286" s="102" t="n">
        <f aca="false">INDEX(IF_ProgGWyr_Sol,1,15)</f>
        <v>0.00430948556016603</v>
      </c>
      <c r="R286" s="105" t="n">
        <f aca="false">SUMPRODUCT((C286:Q286&lt;C285:Q285-0.000000001*ABS(C285:Q285)-0.000000000001)+(C286:Q286&gt;C287:Q287+0.000000001*ABS(C287:Q287)+0.000000000001))</f>
        <v>0</v>
      </c>
    </row>
    <row r="287" customFormat="false" ht="15" hidden="false" customHeight="false" outlineLevel="0" collapsed="false">
      <c r="A287" s="62" t="s">
        <v>3068</v>
      </c>
      <c r="B287" s="61" t="s">
        <v>3034</v>
      </c>
      <c r="C287" s="61" t="n">
        <v>0.0257573532274046</v>
      </c>
      <c r="D287" s="61" t="n">
        <v>0.0257573532274046</v>
      </c>
      <c r="E287" s="61" t="n">
        <v>0.0257573532274046</v>
      </c>
      <c r="F287" s="61" t="n">
        <v>0.00937028080287686</v>
      </c>
      <c r="G287" s="61" t="n">
        <v>0.00937028080287686</v>
      </c>
      <c r="H287" s="61" t="n">
        <v>0.00937028080287686</v>
      </c>
      <c r="I287" s="61" t="n">
        <v>0.0102273044724078</v>
      </c>
      <c r="J287" s="61" t="n">
        <v>0.0102273044724078</v>
      </c>
      <c r="K287" s="61" t="n">
        <v>0.0102273044724078</v>
      </c>
      <c r="L287" s="61" t="n">
        <v>0.00642112099901794</v>
      </c>
      <c r="M287" s="61" t="n">
        <v>0.00642112099901794</v>
      </c>
      <c r="N287" s="61" t="n">
        <v>0.00642112099901794</v>
      </c>
      <c r="O287" s="61" t="n">
        <v>0.00430948556016603</v>
      </c>
      <c r="P287" s="61" t="n">
        <v>0.00430948556016603</v>
      </c>
      <c r="Q287" s="61" t="n">
        <v>0.00430948556016603</v>
      </c>
    </row>
    <row r="288" customFormat="false" ht="15" hidden="false" customHeight="false" outlineLevel="0" collapsed="false">
      <c r="A288" s="10" t="s">
        <v>3069</v>
      </c>
      <c r="B288" s="61" t="s">
        <v>3032</v>
      </c>
      <c r="C288" s="61" t="n">
        <v>0.0561462257017422</v>
      </c>
      <c r="D288" s="61" t="n">
        <v>0.0561462257017422</v>
      </c>
      <c r="E288" s="61" t="n">
        <v>0.0561462257017422</v>
      </c>
      <c r="F288" s="61" t="n">
        <v>0.105635557190853</v>
      </c>
      <c r="G288" s="61" t="n">
        <v>0.105635557190853</v>
      </c>
      <c r="H288" s="61" t="n">
        <v>0.105635557190853</v>
      </c>
      <c r="I288" s="61" t="n">
        <v>0.0961724702603611</v>
      </c>
      <c r="J288" s="61" t="n">
        <v>0.0961724702603611</v>
      </c>
      <c r="K288" s="61" t="n">
        <v>0.0961724702603611</v>
      </c>
      <c r="L288" s="61" t="n">
        <v>0.0679835504547044</v>
      </c>
      <c r="M288" s="61" t="n">
        <v>0.0679835504547044</v>
      </c>
      <c r="N288" s="61" t="n">
        <v>0.0679835504547044</v>
      </c>
      <c r="O288" s="61" t="n">
        <v>0.0798187502820238</v>
      </c>
      <c r="P288" s="61" t="n">
        <v>0.0798187502820238</v>
      </c>
      <c r="Q288" s="61" t="n">
        <v>0.0798187502820238</v>
      </c>
    </row>
    <row r="289" customFormat="false" ht="15" hidden="false" customHeight="false" outlineLevel="0" collapsed="false">
      <c r="A289" s="62" t="s">
        <v>3069</v>
      </c>
      <c r="B289" s="61" t="s">
        <v>3033</v>
      </c>
      <c r="C289" s="103" t="n">
        <f aca="false">INDEX(IF_RLMFU_Astra,1,1)</f>
        <v>0.0561462257017422</v>
      </c>
      <c r="D289" s="103" t="n">
        <f aca="false">INDEX(IF_RLMFU_Astra,1,2)</f>
        <v>0.0561462257017422</v>
      </c>
      <c r="E289" s="103" t="n">
        <f aca="false">INDEX(IF_RLMFU_Astra,1,3)</f>
        <v>0.0561462257017422</v>
      </c>
      <c r="F289" s="103" t="n">
        <f aca="false">INDEX(IF_RLMFU_Astra,1,4)</f>
        <v>0.11524673684497</v>
      </c>
      <c r="G289" s="103" t="n">
        <f aca="false">INDEX(IF_RLMFU_Astra,1,5)</f>
        <v>0.11524673684497</v>
      </c>
      <c r="H289" s="103" t="n">
        <f aca="false">INDEX(IF_RLMFU_Astra,1,6)</f>
        <v>0.11524673684497</v>
      </c>
      <c r="I289" s="103" t="n">
        <f aca="false">INDEX(IF_RLMFU_Astra,1,7)</f>
        <v>0.0961724702603611</v>
      </c>
      <c r="J289" s="103" t="n">
        <f aca="false">INDEX(IF_RLMFU_Astra,1,8)</f>
        <v>0.0961724702603611</v>
      </c>
      <c r="K289" s="103" t="n">
        <f aca="false">INDEX(IF_RLMFU_Astra,1,9)</f>
        <v>0.0961724702603611</v>
      </c>
      <c r="L289" s="103" t="n">
        <f aca="false">INDEX(IF_RLMFU_Astra,1,10)</f>
        <v>0.0679835504547044</v>
      </c>
      <c r="M289" s="103" t="n">
        <f aca="false">INDEX(IF_RLMFU_Astra,1,11)</f>
        <v>0.0679835504547044</v>
      </c>
      <c r="N289" s="103" t="n">
        <f aca="false">INDEX(IF_RLMFU_Astra,1,12)</f>
        <v>0.0679835504547044</v>
      </c>
      <c r="O289" s="103" t="n">
        <f aca="false">INDEX(IF_RLMFU_Astra,1,13)</f>
        <v>0.0798187502820238</v>
      </c>
      <c r="P289" s="103" t="n">
        <f aca="false">INDEX(IF_RLMFU_Astra,1,14)</f>
        <v>0.0798187502820238</v>
      </c>
      <c r="Q289" s="103" t="n">
        <f aca="false">INDEX(IF_RLMFU_Astra,1,15)</f>
        <v>0.0798187502820238</v>
      </c>
      <c r="R289" s="105" t="n">
        <f aca="false">SUMPRODUCT((C289:Q289&lt;C288:Q288-0.000000001*ABS(C288:Q288)-0.000000000001)+(C289:Q289&gt;C290:Q290+0.000000001*ABS(C290:Q290)+0.000000000001))</f>
        <v>0</v>
      </c>
    </row>
    <row r="290" customFormat="false" ht="15" hidden="false" customHeight="false" outlineLevel="0" collapsed="false">
      <c r="A290" s="62" t="s">
        <v>3069</v>
      </c>
      <c r="B290" s="61" t="s">
        <v>3034</v>
      </c>
      <c r="C290" s="61" t="n">
        <v>0.108645876791571</v>
      </c>
      <c r="D290" s="61" t="n">
        <v>0.108645876791571</v>
      </c>
      <c r="E290" s="61" t="n">
        <v>0.108645876791571</v>
      </c>
      <c r="F290" s="61" t="n">
        <v>0.122161232466222</v>
      </c>
      <c r="G290" s="61" t="n">
        <v>0.122161232466222</v>
      </c>
      <c r="H290" s="61" t="n">
        <v>0.122161232466222</v>
      </c>
      <c r="I290" s="61" t="n">
        <v>0.0961724702603611</v>
      </c>
      <c r="J290" s="61" t="n">
        <v>0.0961724702603611</v>
      </c>
      <c r="K290" s="61" t="n">
        <v>0.0961724702603611</v>
      </c>
      <c r="L290" s="61" t="n">
        <v>0.0679835504547044</v>
      </c>
      <c r="M290" s="61" t="n">
        <v>0.0679835504547044</v>
      </c>
      <c r="N290" s="61" t="n">
        <v>0.0679835504547044</v>
      </c>
      <c r="O290" s="61" t="n">
        <v>0.0798187502820238</v>
      </c>
      <c r="P290" s="61" t="n">
        <v>0.0798187502820238</v>
      </c>
      <c r="Q290" s="61" t="n">
        <v>0.0798187502820238</v>
      </c>
    </row>
    <row r="291" customFormat="false" ht="15" hidden="false" customHeight="false" outlineLevel="0" collapsed="false">
      <c r="A291" s="10" t="s">
        <v>3070</v>
      </c>
      <c r="B291" s="61" t="s">
        <v>3032</v>
      </c>
      <c r="C291" s="61" t="n">
        <v>0.0671673042766739</v>
      </c>
      <c r="D291" s="61" t="n">
        <v>0.0671673042766739</v>
      </c>
      <c r="E291" s="61" t="n">
        <v>0.0671673042766739</v>
      </c>
      <c r="F291" s="61" t="n">
        <v>0.113621428141311</v>
      </c>
      <c r="G291" s="61" t="n">
        <v>0.113621428141311</v>
      </c>
      <c r="H291" s="61" t="n">
        <v>0.113621428141311</v>
      </c>
      <c r="I291" s="61" t="n">
        <v>0.106320482312473</v>
      </c>
      <c r="J291" s="61" t="n">
        <v>0.106320482312473</v>
      </c>
      <c r="K291" s="61" t="n">
        <v>0.106320482312473</v>
      </c>
      <c r="L291" s="61" t="n">
        <v>0.0746224482738129</v>
      </c>
      <c r="M291" s="61" t="n">
        <v>0.0746224482738129</v>
      </c>
      <c r="N291" s="61" t="n">
        <v>0.0746224482738129</v>
      </c>
      <c r="O291" s="61" t="n">
        <v>0.0853336117258793</v>
      </c>
      <c r="P291" s="61" t="n">
        <v>0.0853336117258793</v>
      </c>
      <c r="Q291" s="61" t="n">
        <v>0.0853336117258793</v>
      </c>
    </row>
    <row r="292" customFormat="false" ht="15" hidden="false" customHeight="false" outlineLevel="0" collapsed="false">
      <c r="A292" s="62" t="s">
        <v>3070</v>
      </c>
      <c r="B292" s="61" t="s">
        <v>3033</v>
      </c>
      <c r="C292" s="103" t="n">
        <f aca="false">INDEX(IF_RLMFU_Luna,1,1)</f>
        <v>0.0671673042766739</v>
      </c>
      <c r="D292" s="103" t="n">
        <f aca="false">INDEX(IF_RLMFU_Luna,1,2)</f>
        <v>0.0671673042766739</v>
      </c>
      <c r="E292" s="103" t="n">
        <f aca="false">INDEX(IF_RLMFU_Luna,1,3)</f>
        <v>0.0671673042766739</v>
      </c>
      <c r="F292" s="103" t="n">
        <f aca="false">INDEX(IF_RLMFU_Luna,1,4)</f>
        <v>0.12223346909218</v>
      </c>
      <c r="G292" s="103" t="n">
        <f aca="false">INDEX(IF_RLMFU_Luna,1,5)</f>
        <v>0.12223346909218</v>
      </c>
      <c r="H292" s="103" t="n">
        <f aca="false">INDEX(IF_RLMFU_Luna,1,6)</f>
        <v>0.12223346909218</v>
      </c>
      <c r="I292" s="103" t="n">
        <f aca="false">INDEX(IF_RLMFU_Luna,1,7)</f>
        <v>0.106320482312473</v>
      </c>
      <c r="J292" s="103" t="n">
        <f aca="false">INDEX(IF_RLMFU_Luna,1,8)</f>
        <v>0.106320482312473</v>
      </c>
      <c r="K292" s="103" t="n">
        <f aca="false">INDEX(IF_RLMFU_Luna,1,9)</f>
        <v>0.106320482312473</v>
      </c>
      <c r="L292" s="103" t="n">
        <f aca="false">INDEX(IF_RLMFU_Luna,1,10)</f>
        <v>0.0746224482738129</v>
      </c>
      <c r="M292" s="103" t="n">
        <f aca="false">INDEX(IF_RLMFU_Luna,1,11)</f>
        <v>0.0746224482738129</v>
      </c>
      <c r="N292" s="103" t="n">
        <f aca="false">INDEX(IF_RLMFU_Luna,1,12)</f>
        <v>0.0746224482738129</v>
      </c>
      <c r="O292" s="103" t="n">
        <f aca="false">INDEX(IF_RLMFU_Luna,1,13)</f>
        <v>0.0853336117258793</v>
      </c>
      <c r="P292" s="103" t="n">
        <f aca="false">INDEX(IF_RLMFU_Luna,1,14)</f>
        <v>0.0853336117258793</v>
      </c>
      <c r="Q292" s="103" t="n">
        <f aca="false">INDEX(IF_RLMFU_Luna,1,15)</f>
        <v>0.0853336117258793</v>
      </c>
      <c r="R292" s="105" t="n">
        <f aca="false">SUMPRODUCT((C292:Q292&lt;C291:Q291-0.000000001*ABS(C291:Q291)-0.000000000001)+(C292:Q292&gt;C293:Q293+0.000000001*ABS(C293:Q293)+0.000000000001))</f>
        <v>0</v>
      </c>
    </row>
    <row r="293" customFormat="false" ht="15" hidden="false" customHeight="false" outlineLevel="0" collapsed="false">
      <c r="A293" s="62" t="s">
        <v>3070</v>
      </c>
      <c r="B293" s="61" t="s">
        <v>3034</v>
      </c>
      <c r="C293" s="61" t="n">
        <v>0.118677575654882</v>
      </c>
      <c r="D293" s="61" t="n">
        <v>0.118677575654882</v>
      </c>
      <c r="E293" s="61" t="n">
        <v>0.118677575654882</v>
      </c>
      <c r="F293" s="61" t="n">
        <v>0.129834016722821</v>
      </c>
      <c r="G293" s="61" t="n">
        <v>0.129834016722821</v>
      </c>
      <c r="H293" s="61" t="n">
        <v>0.129834016722821</v>
      </c>
      <c r="I293" s="61" t="n">
        <v>0.106320482312473</v>
      </c>
      <c r="J293" s="61" t="n">
        <v>0.106320482312473</v>
      </c>
      <c r="K293" s="61" t="n">
        <v>0.106320482312473</v>
      </c>
      <c r="L293" s="61" t="n">
        <v>0.0746224482738129</v>
      </c>
      <c r="M293" s="61" t="n">
        <v>0.0746224482738129</v>
      </c>
      <c r="N293" s="61" t="n">
        <v>0.0746224482738129</v>
      </c>
      <c r="O293" s="61" t="n">
        <v>0.0853336117258793</v>
      </c>
      <c r="P293" s="61" t="n">
        <v>0.0853336117258793</v>
      </c>
      <c r="Q293" s="61" t="n">
        <v>0.0853336117258793</v>
      </c>
    </row>
    <row r="294" customFormat="false" ht="15" hidden="false" customHeight="false" outlineLevel="0" collapsed="false">
      <c r="A294" s="10" t="s">
        <v>3071</v>
      </c>
      <c r="B294" s="61" t="s">
        <v>3032</v>
      </c>
      <c r="C294" s="61" t="n">
        <v>0.062804610455095</v>
      </c>
      <c r="D294" s="61" t="n">
        <v>0.062804610455095</v>
      </c>
      <c r="E294" s="61" t="n">
        <v>0.062804610455095</v>
      </c>
      <c r="F294" s="61" t="n">
        <v>0.111274094775743</v>
      </c>
      <c r="G294" s="61" t="n">
        <v>0.111274094775743</v>
      </c>
      <c r="H294" s="61" t="n">
        <v>0.111274094775743</v>
      </c>
      <c r="I294" s="61" t="n">
        <v>0.103815837007901</v>
      </c>
      <c r="J294" s="61" t="n">
        <v>0.103815837007901</v>
      </c>
      <c r="K294" s="61" t="n">
        <v>0.103815837007901</v>
      </c>
      <c r="L294" s="61" t="n">
        <v>0.0731801304364245</v>
      </c>
      <c r="M294" s="61" t="n">
        <v>0.0731801304364245</v>
      </c>
      <c r="N294" s="61" t="n">
        <v>0.0731801304364245</v>
      </c>
      <c r="O294" s="61" t="n">
        <v>0.0842149737466073</v>
      </c>
      <c r="P294" s="61" t="n">
        <v>0.0842149737466073</v>
      </c>
      <c r="Q294" s="61" t="n">
        <v>0.0842149737466073</v>
      </c>
    </row>
    <row r="295" customFormat="false" ht="15" hidden="false" customHeight="false" outlineLevel="0" collapsed="false">
      <c r="A295" s="62" t="s">
        <v>3071</v>
      </c>
      <c r="B295" s="61" t="s">
        <v>3033</v>
      </c>
      <c r="C295" s="103" t="n">
        <f aca="false">INDEX(IF_RLMFU_Sol,1,1)</f>
        <v>0.062804610455095</v>
      </c>
      <c r="D295" s="103" t="n">
        <f aca="false">INDEX(IF_RLMFU_Sol,1,2)</f>
        <v>0.062804610455095</v>
      </c>
      <c r="E295" s="103" t="n">
        <f aca="false">INDEX(IF_RLMFU_Sol,1,3)</f>
        <v>0.062804610455095</v>
      </c>
      <c r="F295" s="103" t="n">
        <f aca="false">INDEX(IF_RLMFU_Sol,1,4)</f>
        <v>0.120133991950214</v>
      </c>
      <c r="G295" s="103" t="n">
        <f aca="false">INDEX(IF_RLMFU_Sol,1,5)</f>
        <v>0.120133991950214</v>
      </c>
      <c r="H295" s="103" t="n">
        <f aca="false">INDEX(IF_RLMFU_Sol,1,6)</f>
        <v>0.120133991950214</v>
      </c>
      <c r="I295" s="103" t="n">
        <f aca="false">INDEX(IF_RLMFU_Sol,1,7)</f>
        <v>0.103815837007901</v>
      </c>
      <c r="J295" s="103" t="n">
        <f aca="false">INDEX(IF_RLMFU_Sol,1,8)</f>
        <v>0.103815837007901</v>
      </c>
      <c r="K295" s="103" t="n">
        <f aca="false">INDEX(IF_RLMFU_Sol,1,9)</f>
        <v>0.103815837007901</v>
      </c>
      <c r="L295" s="103" t="n">
        <f aca="false">INDEX(IF_RLMFU_Sol,1,10)</f>
        <v>0.0731801304364245</v>
      </c>
      <c r="M295" s="103" t="n">
        <f aca="false">INDEX(IF_RLMFU_Sol,1,11)</f>
        <v>0.0731801304364245</v>
      </c>
      <c r="N295" s="103" t="n">
        <f aca="false">INDEX(IF_RLMFU_Sol,1,12)</f>
        <v>0.0731801304364245</v>
      </c>
      <c r="O295" s="103" t="n">
        <f aca="false">INDEX(IF_RLMFU_Sol,1,13)</f>
        <v>0.0842149737466073</v>
      </c>
      <c r="P295" s="103" t="n">
        <f aca="false">INDEX(IF_RLMFU_Sol,1,14)</f>
        <v>0.0842149737466073</v>
      </c>
      <c r="Q295" s="103" t="n">
        <f aca="false">INDEX(IF_RLMFU_Sol,1,15)</f>
        <v>0.0842149737466073</v>
      </c>
      <c r="R295" s="105" t="n">
        <f aca="false">SUMPRODUCT((C295:Q295&lt;C294:Q294-0.000000001*ABS(C294:Q294)-0.000000000001)+(C295:Q295&gt;C296:Q296+0.000000001*ABS(C296:Q296)+0.000000000001))</f>
        <v>0</v>
      </c>
    </row>
    <row r="296" customFormat="false" ht="15" hidden="false" customHeight="false" outlineLevel="0" collapsed="false">
      <c r="A296" s="62" t="s">
        <v>3071</v>
      </c>
      <c r="B296" s="61" t="s">
        <v>3034</v>
      </c>
      <c r="C296" s="61" t="n">
        <v>0.114900418958985</v>
      </c>
      <c r="D296" s="61" t="n">
        <v>0.114900418958985</v>
      </c>
      <c r="E296" s="61" t="n">
        <v>0.114900418958985</v>
      </c>
      <c r="F296" s="61" t="n">
        <v>0.1280058060561</v>
      </c>
      <c r="G296" s="61" t="n">
        <v>0.1280058060561</v>
      </c>
      <c r="H296" s="61" t="n">
        <v>0.1280058060561</v>
      </c>
      <c r="I296" s="61" t="n">
        <v>0.103815837007901</v>
      </c>
      <c r="J296" s="61" t="n">
        <v>0.103815837007901</v>
      </c>
      <c r="K296" s="61" t="n">
        <v>0.103815837007901</v>
      </c>
      <c r="L296" s="61" t="n">
        <v>0.0731801304364245</v>
      </c>
      <c r="M296" s="61" t="n">
        <v>0.0731801304364245</v>
      </c>
      <c r="N296" s="61" t="n">
        <v>0.0731801304364245</v>
      </c>
      <c r="O296" s="61" t="n">
        <v>0.0842149737466073</v>
      </c>
      <c r="P296" s="61" t="n">
        <v>0.0842149737466073</v>
      </c>
      <c r="Q296" s="61" t="n">
        <v>0.0842149737466073</v>
      </c>
    </row>
    <row r="297" customFormat="false" ht="15" hidden="false" customHeight="false" outlineLevel="0" collapsed="false">
      <c r="A297" s="10" t="s">
        <v>3072</v>
      </c>
      <c r="B297" s="61" t="s">
        <v>3032</v>
      </c>
      <c r="C297" s="61" t="n">
        <v>89.4031540166107</v>
      </c>
      <c r="D297" s="61" t="n">
        <v>127.739224109417</v>
      </c>
      <c r="E297" s="61" t="n">
        <v>219.375231176912</v>
      </c>
      <c r="F297" s="61" t="n">
        <v>46.4147555711978</v>
      </c>
      <c r="G297" s="61" t="n">
        <v>61.9734623238894</v>
      </c>
      <c r="H297" s="61" t="n">
        <v>100.515973914345</v>
      </c>
      <c r="I297" s="61" t="n">
        <v>69.1026515613069</v>
      </c>
      <c r="J297" s="61" t="n">
        <v>89.2500735203584</v>
      </c>
      <c r="K297" s="61" t="n">
        <v>151.95260160482</v>
      </c>
      <c r="L297" s="61" t="n">
        <v>47.581600636821</v>
      </c>
      <c r="M297" s="61" t="n">
        <v>61.1546231086832</v>
      </c>
      <c r="N297" s="61" t="n">
        <v>98.7971873841935</v>
      </c>
      <c r="O297" s="61" t="n">
        <v>34.4123163173522</v>
      </c>
      <c r="P297" s="61" t="n">
        <v>52.3020023235234</v>
      </c>
      <c r="Q297" s="61" t="n">
        <v>95.4794744985908</v>
      </c>
    </row>
    <row r="298" customFormat="false" ht="15" hidden="false" customHeight="false" outlineLevel="0" collapsed="false">
      <c r="A298" s="62" t="s">
        <v>3072</v>
      </c>
      <c r="B298" s="61" t="s">
        <v>3033</v>
      </c>
      <c r="C298" s="75" t="n">
        <f aca="false">INDEX(IF_TrainCost_Astra,1,1)</f>
        <v>133.145929606144</v>
      </c>
      <c r="D298" s="75" t="n">
        <f aca="false">INDEX(IF_TrainCost_Astra,1,2)</f>
        <v>190.238900722181</v>
      </c>
      <c r="E298" s="75" t="n">
        <f aca="false">INDEX(IF_TrainCost_Astra,1,3)</f>
        <v>326.710163739702</v>
      </c>
      <c r="F298" s="75" t="n">
        <f aca="false">INDEX(IF_TrainCost_Astra,1,4)</f>
        <v>47.7913017245296</v>
      </c>
      <c r="G298" s="75" t="n">
        <f aca="false">INDEX(IF_TrainCost_Astra,1,5)</f>
        <v>63.8114410037457</v>
      </c>
      <c r="H298" s="75" t="n">
        <f aca="false">INDEX(IF_TrainCost_Astra,1,6)</f>
        <v>103.49702758009</v>
      </c>
      <c r="I298" s="75" t="n">
        <f aca="false">INDEX(IF_TrainCost_Astra,1,7)</f>
        <v>69.1026515613069</v>
      </c>
      <c r="J298" s="75" t="n">
        <f aca="false">INDEX(IF_TrainCost_Astra,1,8)</f>
        <v>89.2500735203584</v>
      </c>
      <c r="K298" s="75" t="n">
        <f aca="false">INDEX(IF_TrainCost_Astra,1,9)</f>
        <v>151.95260160482</v>
      </c>
      <c r="L298" s="75" t="n">
        <f aca="false">INDEX(IF_TrainCost_Astra,1,10)</f>
        <v>47.581600636821</v>
      </c>
      <c r="M298" s="75" t="n">
        <f aca="false">INDEX(IF_TrainCost_Astra,1,11)</f>
        <v>61.1546231086832</v>
      </c>
      <c r="N298" s="75" t="n">
        <f aca="false">INDEX(IF_TrainCost_Astra,1,12)</f>
        <v>98.7971873841935</v>
      </c>
      <c r="O298" s="75" t="n">
        <f aca="false">INDEX(IF_TrainCost_Astra,1,13)</f>
        <v>34.4123163173522</v>
      </c>
      <c r="P298" s="75" t="n">
        <f aca="false">INDEX(IF_TrainCost_Astra,1,14)</f>
        <v>52.3020023235234</v>
      </c>
      <c r="Q298" s="75" t="n">
        <f aca="false">INDEX(IF_TrainCost_Astra,1,15)</f>
        <v>95.4794744985908</v>
      </c>
      <c r="R298" s="105" t="n">
        <f aca="false">SUMPRODUCT((C298:Q298&lt;C297:Q297-0.000000001*ABS(C297:Q297)-0.000000000001)+(C298:Q298&gt;C299:Q299+0.000000001*ABS(C299:Q299)+0.000000000001))</f>
        <v>0</v>
      </c>
    </row>
    <row r="299" customFormat="false" ht="15" hidden="false" customHeight="false" outlineLevel="0" collapsed="false">
      <c r="A299" s="62" t="s">
        <v>3072</v>
      </c>
      <c r="B299" s="61" t="s">
        <v>3034</v>
      </c>
      <c r="C299" s="61" t="n">
        <v>133.145929606144</v>
      </c>
      <c r="D299" s="61" t="n">
        <v>190.238900722181</v>
      </c>
      <c r="E299" s="61" t="n">
        <v>326.710163739702</v>
      </c>
      <c r="F299" s="61" t="n">
        <v>50.0040410007095</v>
      </c>
      <c r="G299" s="61" t="n">
        <v>66.7659134010974</v>
      </c>
      <c r="H299" s="61" t="n">
        <v>108.288944301973</v>
      </c>
      <c r="I299" s="61" t="n">
        <v>69.1026515613069</v>
      </c>
      <c r="J299" s="61" t="n">
        <v>89.2500735203584</v>
      </c>
      <c r="K299" s="61" t="n">
        <v>151.95260160482</v>
      </c>
      <c r="L299" s="61" t="n">
        <v>47.581600636821</v>
      </c>
      <c r="M299" s="61" t="n">
        <v>61.1546231086832</v>
      </c>
      <c r="N299" s="61" t="n">
        <v>98.7971873841935</v>
      </c>
      <c r="O299" s="61" t="n">
        <v>34.4123163173522</v>
      </c>
      <c r="P299" s="61" t="n">
        <v>52.3020023235234</v>
      </c>
      <c r="Q299" s="61" t="n">
        <v>95.4794744985908</v>
      </c>
    </row>
    <row r="300" customFormat="false" ht="15" hidden="false" customHeight="false" outlineLevel="0" collapsed="false">
      <c r="A300" s="10" t="s">
        <v>3073</v>
      </c>
      <c r="B300" s="61" t="s">
        <v>3032</v>
      </c>
      <c r="C300" s="61" t="n">
        <v>4.34336107022733</v>
      </c>
      <c r="D300" s="61" t="n">
        <v>6.20579418299722</v>
      </c>
      <c r="E300" s="61" t="n">
        <v>10.657631146759</v>
      </c>
      <c r="F300" s="61" t="n">
        <v>2.16801968999408</v>
      </c>
      <c r="G300" s="61" t="n">
        <v>2.89476234274675</v>
      </c>
      <c r="H300" s="61" t="n">
        <v>4.69507181333643</v>
      </c>
      <c r="I300" s="61" t="n">
        <v>3.50743929439388</v>
      </c>
      <c r="J300" s="61" t="n">
        <v>4.53006082719016</v>
      </c>
      <c r="K300" s="61" t="n">
        <v>7.71264942389781</v>
      </c>
      <c r="L300" s="61" t="n">
        <v>2.62098107419554</v>
      </c>
      <c r="M300" s="61" t="n">
        <v>3.36863635569634</v>
      </c>
      <c r="N300" s="61" t="n">
        <v>5.44213634791714</v>
      </c>
      <c r="O300" s="61" t="n">
        <v>1.80639626932665</v>
      </c>
      <c r="P300" s="61" t="n">
        <v>2.74547464356203</v>
      </c>
      <c r="Q300" s="61" t="n">
        <v>5.01197783203435</v>
      </c>
    </row>
    <row r="301" customFormat="false" ht="15" hidden="false" customHeight="false" outlineLevel="0" collapsed="false">
      <c r="A301" s="62" t="s">
        <v>3073</v>
      </c>
      <c r="B301" s="61" t="s">
        <v>3033</v>
      </c>
      <c r="C301" s="75" t="n">
        <f aca="false">INDEX(IF_TrainCost_Luna,1,1)</f>
        <v>7.87284530827463</v>
      </c>
      <c r="D301" s="75" t="n">
        <f aca="false">INDEX(IF_TrainCost_Luna,1,2)</f>
        <v>11.2487211695643</v>
      </c>
      <c r="E301" s="75" t="n">
        <f aca="false">INDEX(IF_TrainCost_Luna,1,3)</f>
        <v>19.3181916065503</v>
      </c>
      <c r="F301" s="75" t="n">
        <f aca="false">INDEX(IF_TrainCost_Luna,1,4)</f>
        <v>2.28416065848862</v>
      </c>
      <c r="G301" s="75" t="n">
        <f aca="false">INDEX(IF_TrainCost_Luna,1,5)</f>
        <v>3.0498349666716</v>
      </c>
      <c r="H301" s="75" t="n">
        <f aca="false">INDEX(IF_TrainCost_Luna,1,6)</f>
        <v>4.94658714323355</v>
      </c>
      <c r="I301" s="75" t="n">
        <f aca="false">INDEX(IF_TrainCost_Luna,1,7)</f>
        <v>3.50743929439388</v>
      </c>
      <c r="J301" s="75" t="n">
        <f aca="false">INDEX(IF_TrainCost_Luna,1,8)</f>
        <v>4.53006082719016</v>
      </c>
      <c r="K301" s="75" t="n">
        <f aca="false">INDEX(IF_TrainCost_Luna,1,9)</f>
        <v>7.71264942389781</v>
      </c>
      <c r="L301" s="75" t="n">
        <f aca="false">INDEX(IF_TrainCost_Luna,1,10)</f>
        <v>2.62098107419554</v>
      </c>
      <c r="M301" s="75" t="n">
        <f aca="false">INDEX(IF_TrainCost_Luna,1,11)</f>
        <v>3.36863635569634</v>
      </c>
      <c r="N301" s="75" t="n">
        <f aca="false">INDEX(IF_TrainCost_Luna,1,12)</f>
        <v>5.44213634791714</v>
      </c>
      <c r="O301" s="75" t="n">
        <f aca="false">INDEX(IF_TrainCost_Luna,1,13)</f>
        <v>1.80639626932665</v>
      </c>
      <c r="P301" s="75" t="n">
        <f aca="false">INDEX(IF_TrainCost_Luna,1,14)</f>
        <v>2.74547464356203</v>
      </c>
      <c r="Q301" s="75" t="n">
        <f aca="false">INDEX(IF_TrainCost_Luna,1,15)</f>
        <v>5.01197783203435</v>
      </c>
      <c r="R301" s="105" t="n">
        <f aca="false">SUMPRODUCT((C301:Q301&lt;C300:Q300-0.000000001*ABS(C300:Q300)-0.000000000001)+(C301:Q301&gt;C302:Q302+0.000000001*ABS(C302:Q302)+0.000000000001))</f>
        <v>0</v>
      </c>
    </row>
    <row r="302" customFormat="false" ht="15" hidden="false" customHeight="false" outlineLevel="0" collapsed="false">
      <c r="A302" s="62" t="s">
        <v>3073</v>
      </c>
      <c r="B302" s="61" t="s">
        <v>3034</v>
      </c>
      <c r="C302" s="61" t="n">
        <v>7.87284530827463</v>
      </c>
      <c r="D302" s="61" t="n">
        <v>11.2487211695643</v>
      </c>
      <c r="E302" s="61" t="n">
        <v>19.3181916065503</v>
      </c>
      <c r="F302" s="61" t="n">
        <v>2.46395843225499</v>
      </c>
      <c r="G302" s="61" t="n">
        <v>3.28990281624451</v>
      </c>
      <c r="H302" s="61" t="n">
        <v>5.33595789646385</v>
      </c>
      <c r="I302" s="61" t="n">
        <v>3.50743929439388</v>
      </c>
      <c r="J302" s="61" t="n">
        <v>4.53006082719016</v>
      </c>
      <c r="K302" s="61" t="n">
        <v>7.71264942389781</v>
      </c>
      <c r="L302" s="61" t="n">
        <v>2.62098107419554</v>
      </c>
      <c r="M302" s="61" t="n">
        <v>3.36863635569634</v>
      </c>
      <c r="N302" s="61" t="n">
        <v>5.44213634791714</v>
      </c>
      <c r="O302" s="61" t="n">
        <v>1.80639626932665</v>
      </c>
      <c r="P302" s="61" t="n">
        <v>2.74547464356203</v>
      </c>
      <c r="Q302" s="61" t="n">
        <v>5.01197783203435</v>
      </c>
    </row>
    <row r="303" customFormat="false" ht="15" hidden="false" customHeight="false" outlineLevel="0" collapsed="false">
      <c r="A303" s="10" t="s">
        <v>3074</v>
      </c>
      <c r="B303" s="61" t="s">
        <v>3032</v>
      </c>
      <c r="C303" s="61" t="n">
        <v>13.7889429857833</v>
      </c>
      <c r="D303" s="61" t="n">
        <v>19.7016413757136</v>
      </c>
      <c r="E303" s="61" t="n">
        <v>33.8349646437468</v>
      </c>
      <c r="F303" s="61" t="n">
        <v>7.06555819638256</v>
      </c>
      <c r="G303" s="61" t="n">
        <v>9.43400647686449</v>
      </c>
      <c r="H303" s="61" t="n">
        <v>15.3012001165979</v>
      </c>
      <c r="I303" s="61" t="n">
        <v>10.7756147095243</v>
      </c>
      <c r="J303" s="61" t="n">
        <v>13.9173299912937</v>
      </c>
      <c r="K303" s="61" t="n">
        <v>23.6949328572539</v>
      </c>
      <c r="L303" s="61" t="n">
        <v>7.63477460577875</v>
      </c>
      <c r="M303" s="61" t="n">
        <v>9.8126535738025</v>
      </c>
      <c r="N303" s="61" t="n">
        <v>15.8526457132149</v>
      </c>
      <c r="O303" s="61" t="n">
        <v>5.44209630592475</v>
      </c>
      <c r="P303" s="61" t="n">
        <v>8.27124018657791</v>
      </c>
      <c r="Q303" s="61" t="n">
        <v>15.0994920152587</v>
      </c>
    </row>
    <row r="304" customFormat="false" ht="15" hidden="false" customHeight="false" outlineLevel="0" collapsed="false">
      <c r="A304" s="62" t="s">
        <v>3074</v>
      </c>
      <c r="B304" s="61" t="s">
        <v>3033</v>
      </c>
      <c r="C304" s="75" t="n">
        <f aca="false">INDEX(IF_TrainCost_Sol,1,1)</f>
        <v>21.8650135797258</v>
      </c>
      <c r="D304" s="75" t="n">
        <f aca="false">INDEX(IF_TrainCost_Sol,1,2)</f>
        <v>31.2407308280994</v>
      </c>
      <c r="E304" s="75" t="n">
        <f aca="false">INDEX(IF_TrainCost_Sol,1,3)</f>
        <v>53.6518253913892</v>
      </c>
      <c r="F304" s="75" t="n">
        <f aca="false">INDEX(IF_TrainCost_Sol,1,4)</f>
        <v>7.3357029991096</v>
      </c>
      <c r="G304" s="75" t="n">
        <f aca="false">INDEX(IF_TrainCost_Sol,1,5)</f>
        <v>9.79470661516679</v>
      </c>
      <c r="H304" s="75" t="n">
        <f aca="false">INDEX(IF_TrainCost_Sol,1,6)</f>
        <v>15.886226744657</v>
      </c>
      <c r="I304" s="75" t="n">
        <f aca="false">INDEX(IF_TrainCost_Sol,1,7)</f>
        <v>10.7756147095243</v>
      </c>
      <c r="J304" s="75" t="n">
        <f aca="false">INDEX(IF_TrainCost_Sol,1,8)</f>
        <v>13.9173299912937</v>
      </c>
      <c r="K304" s="75" t="n">
        <f aca="false">INDEX(IF_TrainCost_Sol,1,9)</f>
        <v>23.6949328572539</v>
      </c>
      <c r="L304" s="75" t="n">
        <f aca="false">INDEX(IF_TrainCost_Sol,1,10)</f>
        <v>7.63477460577875</v>
      </c>
      <c r="M304" s="75" t="n">
        <f aca="false">INDEX(IF_TrainCost_Sol,1,11)</f>
        <v>9.8126535738025</v>
      </c>
      <c r="N304" s="75" t="n">
        <f aca="false">INDEX(IF_TrainCost_Sol,1,12)</f>
        <v>15.8526457132149</v>
      </c>
      <c r="O304" s="75" t="n">
        <f aca="false">INDEX(IF_TrainCost_Sol,1,13)</f>
        <v>5.44209630592475</v>
      </c>
      <c r="P304" s="75" t="n">
        <f aca="false">INDEX(IF_TrainCost_Sol,1,14)</f>
        <v>8.27124018657791</v>
      </c>
      <c r="Q304" s="75" t="n">
        <f aca="false">INDEX(IF_TrainCost_Sol,1,15)</f>
        <v>15.0994920152587</v>
      </c>
      <c r="R304" s="105" t="n">
        <f aca="false">SUMPRODUCT((C304:Q304&lt;C303:Q303-0.000000001*ABS(C303:Q303)-0.000000000001)+(C304:Q304&gt;C305:Q305+0.000000001*ABS(C305:Q305)+0.000000000001))</f>
        <v>0</v>
      </c>
    </row>
    <row r="305" customFormat="false" ht="15" hidden="false" customHeight="false" outlineLevel="0" collapsed="false">
      <c r="A305" s="62" t="s">
        <v>3074</v>
      </c>
      <c r="B305" s="61" t="s">
        <v>3034</v>
      </c>
      <c r="C305" s="61" t="n">
        <v>21.8650135797258</v>
      </c>
      <c r="D305" s="61" t="n">
        <v>31.2407308280994</v>
      </c>
      <c r="E305" s="61" t="n">
        <v>53.6518253913892</v>
      </c>
      <c r="F305" s="61" t="n">
        <v>7.74432189064507</v>
      </c>
      <c r="G305" s="61" t="n">
        <v>10.3402987909256</v>
      </c>
      <c r="H305" s="61" t="n">
        <v>16.7711333942135</v>
      </c>
      <c r="I305" s="61" t="n">
        <v>10.7756147095243</v>
      </c>
      <c r="J305" s="61" t="n">
        <v>13.9173299912937</v>
      </c>
      <c r="K305" s="61" t="n">
        <v>23.6949328572539</v>
      </c>
      <c r="L305" s="61" t="n">
        <v>7.63477460577875</v>
      </c>
      <c r="M305" s="61" t="n">
        <v>9.8126535738025</v>
      </c>
      <c r="N305" s="61" t="n">
        <v>15.8526457132149</v>
      </c>
      <c r="O305" s="61" t="n">
        <v>5.44209630592475</v>
      </c>
      <c r="P305" s="61" t="n">
        <v>8.27124018657791</v>
      </c>
      <c r="Q305" s="61" t="n">
        <v>15.0994920152587</v>
      </c>
    </row>
    <row r="306" customFormat="false" ht="15" hidden="false" customHeight="false" outlineLevel="0" collapsed="false">
      <c r="A306" s="10" t="s">
        <v>3075</v>
      </c>
      <c r="B306" s="61" t="s">
        <v>3032</v>
      </c>
      <c r="C306" s="61" t="n">
        <v>82807928.1565658</v>
      </c>
      <c r="D306" s="61" t="n">
        <v>82807928.1565658</v>
      </c>
      <c r="E306" s="61" t="n">
        <v>82807928.1565658</v>
      </c>
      <c r="F306" s="61" t="n">
        <v>30856194.0865393</v>
      </c>
      <c r="G306" s="61" t="n">
        <v>30856194.0865393</v>
      </c>
      <c r="H306" s="61" t="n">
        <v>30856194.0865393</v>
      </c>
      <c r="I306" s="61" t="n">
        <v>34975510.1307514</v>
      </c>
      <c r="J306" s="61" t="n">
        <v>34975510.1307514</v>
      </c>
      <c r="K306" s="61" t="n">
        <v>34975510.1307514</v>
      </c>
      <c r="L306" s="61" t="n">
        <v>12784087.465584</v>
      </c>
      <c r="M306" s="61" t="n">
        <v>12784087.465584</v>
      </c>
      <c r="N306" s="61" t="n">
        <v>12784087.465584</v>
      </c>
      <c r="O306" s="61" t="n">
        <v>5811483.35408388</v>
      </c>
      <c r="P306" s="61" t="n">
        <v>5811483.35408388</v>
      </c>
      <c r="Q306" s="61" t="n">
        <v>5811483.35408388</v>
      </c>
    </row>
    <row r="307" customFormat="false" ht="15" hidden="false" customHeight="false" outlineLevel="0" collapsed="false">
      <c r="A307" s="62" t="s">
        <v>3075</v>
      </c>
      <c r="B307" s="61" t="s">
        <v>3033</v>
      </c>
      <c r="C307" s="69" t="n">
        <f aca="false">INDEX(IF_TrainGPUh_Astra,1,1)</f>
        <v>123323821.116157</v>
      </c>
      <c r="D307" s="69" t="n">
        <f aca="false">INDEX(IF_TrainGPUh_Astra,1,2)</f>
        <v>123323821.116157</v>
      </c>
      <c r="E307" s="69" t="n">
        <f aca="false">INDEX(IF_TrainGPUh_Astra,1,3)</f>
        <v>123323821.116157</v>
      </c>
      <c r="F307" s="69" t="n">
        <f aca="false">INDEX(IF_TrainGPUh_Astra,1,4)</f>
        <v>31771312.021635</v>
      </c>
      <c r="G307" s="69" t="n">
        <f aca="false">INDEX(IF_TrainGPUh_Astra,1,5)</f>
        <v>31771312.021635</v>
      </c>
      <c r="H307" s="69" t="n">
        <f aca="false">INDEX(IF_TrainGPUh_Astra,1,6)</f>
        <v>31771312.021635</v>
      </c>
      <c r="I307" s="69" t="n">
        <f aca="false">INDEX(IF_TrainGPUh_Astra,1,7)</f>
        <v>34975510.1307514</v>
      </c>
      <c r="J307" s="69" t="n">
        <f aca="false">INDEX(IF_TrainGPUh_Astra,1,8)</f>
        <v>34975510.1307514</v>
      </c>
      <c r="K307" s="69" t="n">
        <f aca="false">INDEX(IF_TrainGPUh_Astra,1,9)</f>
        <v>34975510.1307514</v>
      </c>
      <c r="L307" s="69" t="n">
        <f aca="false">INDEX(IF_TrainGPUh_Astra,1,10)</f>
        <v>12784087.465584</v>
      </c>
      <c r="M307" s="69" t="n">
        <f aca="false">INDEX(IF_TrainGPUh_Astra,1,11)</f>
        <v>12784087.465584</v>
      </c>
      <c r="N307" s="69" t="n">
        <f aca="false">INDEX(IF_TrainGPUh_Astra,1,12)</f>
        <v>12784087.465584</v>
      </c>
      <c r="O307" s="69" t="n">
        <f aca="false">INDEX(IF_TrainGPUh_Astra,1,13)</f>
        <v>5811483.35408388</v>
      </c>
      <c r="P307" s="69" t="n">
        <f aca="false">INDEX(IF_TrainGPUh_Astra,1,14)</f>
        <v>5811483.35408388</v>
      </c>
      <c r="Q307" s="69" t="n">
        <f aca="false">INDEX(IF_TrainGPUh_Astra,1,15)</f>
        <v>5811483.35408388</v>
      </c>
      <c r="R307" s="105" t="n">
        <f aca="false">SUMPRODUCT((C307:Q307&lt;C306:Q306-0.000000001*ABS(C306:Q306)-0.000000000001)+(C307:Q307&gt;C308:Q308+0.000000001*ABS(C308:Q308)+0.000000000001))</f>
        <v>0</v>
      </c>
    </row>
    <row r="308" customFormat="false" ht="15" hidden="false" customHeight="false" outlineLevel="0" collapsed="false">
      <c r="A308" s="62" t="s">
        <v>3075</v>
      </c>
      <c r="B308" s="61" t="s">
        <v>3034</v>
      </c>
      <c r="C308" s="61" t="n">
        <v>123323821.116157</v>
      </c>
      <c r="D308" s="61" t="n">
        <v>123323821.116157</v>
      </c>
      <c r="E308" s="61" t="n">
        <v>123323821.116157</v>
      </c>
      <c r="F308" s="61" t="n">
        <v>33242325.1020332</v>
      </c>
      <c r="G308" s="61" t="n">
        <v>33242325.1020332</v>
      </c>
      <c r="H308" s="61" t="n">
        <v>33242325.1020332</v>
      </c>
      <c r="I308" s="61" t="n">
        <v>34975510.1307514</v>
      </c>
      <c r="J308" s="61" t="n">
        <v>34975510.1307514</v>
      </c>
      <c r="K308" s="61" t="n">
        <v>34975510.1307514</v>
      </c>
      <c r="L308" s="61" t="n">
        <v>12784087.465584</v>
      </c>
      <c r="M308" s="61" t="n">
        <v>12784087.465584</v>
      </c>
      <c r="N308" s="61" t="n">
        <v>12784087.465584</v>
      </c>
      <c r="O308" s="61" t="n">
        <v>5811483.35408388</v>
      </c>
      <c r="P308" s="61" t="n">
        <v>5811483.35408388</v>
      </c>
      <c r="Q308" s="61" t="n">
        <v>5811483.35408388</v>
      </c>
    </row>
    <row r="309" customFormat="false" ht="15" hidden="false" customHeight="false" outlineLevel="0" collapsed="false">
      <c r="A309" s="10" t="s">
        <v>3076</v>
      </c>
      <c r="B309" s="61" t="s">
        <v>3032</v>
      </c>
      <c r="C309" s="61" t="n">
        <v>4022953.5011101</v>
      </c>
      <c r="D309" s="61" t="n">
        <v>4022953.5011101</v>
      </c>
      <c r="E309" s="61" t="n">
        <v>4022953.5011101</v>
      </c>
      <c r="F309" s="61" t="n">
        <v>1441283.82266885</v>
      </c>
      <c r="G309" s="61" t="n">
        <v>1441283.82266885</v>
      </c>
      <c r="H309" s="61" t="n">
        <v>1441283.82266885</v>
      </c>
      <c r="I309" s="61" t="n">
        <v>1775249.94775683</v>
      </c>
      <c r="J309" s="61" t="n">
        <v>1775249.94775683</v>
      </c>
      <c r="K309" s="61" t="n">
        <v>1775249.94775683</v>
      </c>
      <c r="L309" s="61" t="n">
        <v>704197.648874947</v>
      </c>
      <c r="M309" s="61" t="n">
        <v>704197.648874947</v>
      </c>
      <c r="N309" s="61" t="n">
        <v>704197.648874947</v>
      </c>
      <c r="O309" s="61" t="n">
        <v>305060.599619606</v>
      </c>
      <c r="P309" s="61" t="n">
        <v>305060.599619606</v>
      </c>
      <c r="Q309" s="61" t="n">
        <v>305060.599619606</v>
      </c>
    </row>
    <row r="310" customFormat="false" ht="15" hidden="false" customHeight="false" outlineLevel="0" collapsed="false">
      <c r="A310" s="62" t="s">
        <v>3076</v>
      </c>
      <c r="B310" s="61" t="s">
        <v>3033</v>
      </c>
      <c r="C310" s="69" t="n">
        <f aca="false">INDEX(IF_TrainGPUh_Luna,1,1)</f>
        <v>7292069.45600863</v>
      </c>
      <c r="D310" s="69" t="n">
        <f aca="false">INDEX(IF_TrainGPUh_Luna,1,2)</f>
        <v>7292069.45600863</v>
      </c>
      <c r="E310" s="69" t="n">
        <f aca="false">INDEX(IF_TrainGPUh_Luna,1,3)</f>
        <v>7292069.45600863</v>
      </c>
      <c r="F310" s="69" t="n">
        <f aca="false">INDEX(IF_TrainGPUh_Luna,1,4)</f>
        <v>1518493.4992289</v>
      </c>
      <c r="G310" s="69" t="n">
        <f aca="false">INDEX(IF_TrainGPUh_Luna,1,5)</f>
        <v>1518493.4992289</v>
      </c>
      <c r="H310" s="69" t="n">
        <f aca="false">INDEX(IF_TrainGPUh_Luna,1,6)</f>
        <v>1518493.4992289</v>
      </c>
      <c r="I310" s="69" t="n">
        <f aca="false">INDEX(IF_TrainGPUh_Luna,1,7)</f>
        <v>1775249.94775683</v>
      </c>
      <c r="J310" s="69" t="n">
        <f aca="false">INDEX(IF_TrainGPUh_Luna,1,8)</f>
        <v>1775249.94775683</v>
      </c>
      <c r="K310" s="69" t="n">
        <f aca="false">INDEX(IF_TrainGPUh_Luna,1,9)</f>
        <v>1775249.94775683</v>
      </c>
      <c r="L310" s="69" t="n">
        <f aca="false">INDEX(IF_TrainGPUh_Luna,1,10)</f>
        <v>704197.648874947</v>
      </c>
      <c r="M310" s="69" t="n">
        <f aca="false">INDEX(IF_TrainGPUh_Luna,1,11)</f>
        <v>704197.648874947</v>
      </c>
      <c r="N310" s="69" t="n">
        <f aca="false">INDEX(IF_TrainGPUh_Luna,1,12)</f>
        <v>704197.648874947</v>
      </c>
      <c r="O310" s="69" t="n">
        <f aca="false">INDEX(IF_TrainGPUh_Luna,1,13)</f>
        <v>305060.599619606</v>
      </c>
      <c r="P310" s="69" t="n">
        <f aca="false">INDEX(IF_TrainGPUh_Luna,1,14)</f>
        <v>305060.599619606</v>
      </c>
      <c r="Q310" s="69" t="n">
        <f aca="false">INDEX(IF_TrainGPUh_Luna,1,15)</f>
        <v>305060.599619606</v>
      </c>
      <c r="R310" s="105" t="n">
        <f aca="false">SUMPRODUCT((C310:Q310&lt;C309:Q309-0.000000001*ABS(C309:Q309)-0.000000000001)+(C310:Q310&gt;C311:Q311+0.000000001*ABS(C311:Q311)+0.000000000001))</f>
        <v>0</v>
      </c>
    </row>
    <row r="311" customFormat="false" ht="15" hidden="false" customHeight="false" outlineLevel="0" collapsed="false">
      <c r="A311" s="62" t="s">
        <v>3076</v>
      </c>
      <c r="B311" s="61" t="s">
        <v>3034</v>
      </c>
      <c r="C311" s="61" t="n">
        <v>7292069.45600863</v>
      </c>
      <c r="D311" s="61" t="n">
        <v>7292069.45600863</v>
      </c>
      <c r="E311" s="61" t="n">
        <v>7292069.45600863</v>
      </c>
      <c r="F311" s="61" t="n">
        <v>1638021.75991645</v>
      </c>
      <c r="G311" s="61" t="n">
        <v>1638021.75991645</v>
      </c>
      <c r="H311" s="61" t="n">
        <v>1638021.75991645</v>
      </c>
      <c r="I311" s="61" t="n">
        <v>1775249.94775683</v>
      </c>
      <c r="J311" s="61" t="n">
        <v>1775249.94775683</v>
      </c>
      <c r="K311" s="61" t="n">
        <v>1775249.94775683</v>
      </c>
      <c r="L311" s="61" t="n">
        <v>704197.648874947</v>
      </c>
      <c r="M311" s="61" t="n">
        <v>704197.648874947</v>
      </c>
      <c r="N311" s="61" t="n">
        <v>704197.648874947</v>
      </c>
      <c r="O311" s="61" t="n">
        <v>305060.599619606</v>
      </c>
      <c r="P311" s="61" t="n">
        <v>305060.599619606</v>
      </c>
      <c r="Q311" s="61" t="n">
        <v>305060.599619606</v>
      </c>
    </row>
    <row r="312" customFormat="false" ht="15" hidden="false" customHeight="false" outlineLevel="0" collapsed="false">
      <c r="A312" s="10" t="s">
        <v>3077</v>
      </c>
      <c r="B312" s="61" t="s">
        <v>3032</v>
      </c>
      <c r="C312" s="61" t="n">
        <v>12771739.5731876</v>
      </c>
      <c r="D312" s="61" t="n">
        <v>12771739.5731876</v>
      </c>
      <c r="E312" s="61" t="n">
        <v>12771739.5731876</v>
      </c>
      <c r="F312" s="61" t="n">
        <v>4697132.0295524</v>
      </c>
      <c r="G312" s="61" t="n">
        <v>4697132.0295524</v>
      </c>
      <c r="H312" s="61" t="n">
        <v>4697132.0295524</v>
      </c>
      <c r="I312" s="61" t="n">
        <v>5453953.11066573</v>
      </c>
      <c r="J312" s="61" t="n">
        <v>5453953.11066573</v>
      </c>
      <c r="K312" s="61" t="n">
        <v>5453953.11066573</v>
      </c>
      <c r="L312" s="61" t="n">
        <v>2051289.25958755</v>
      </c>
      <c r="M312" s="61" t="n">
        <v>2051289.25958755</v>
      </c>
      <c r="N312" s="61" t="n">
        <v>2051289.25958755</v>
      </c>
      <c r="O312" s="61" t="n">
        <v>919050.37142924</v>
      </c>
      <c r="P312" s="61" t="n">
        <v>919050.37142924</v>
      </c>
      <c r="Q312" s="61" t="n">
        <v>919050.37142924</v>
      </c>
    </row>
    <row r="313" customFormat="false" ht="15" hidden="false" customHeight="false" outlineLevel="0" collapsed="false">
      <c r="A313" s="62" t="s">
        <v>3077</v>
      </c>
      <c r="B313" s="61" t="s">
        <v>3033</v>
      </c>
      <c r="C313" s="69" t="n">
        <f aca="false">INDEX(IF_TrainGPUh_Sol,1,1)</f>
        <v>20252042.4874034</v>
      </c>
      <c r="D313" s="69" t="n">
        <f aca="false">INDEX(IF_TrainGPUh_Sol,1,2)</f>
        <v>20252042.4874034</v>
      </c>
      <c r="E313" s="69" t="n">
        <f aca="false">INDEX(IF_TrainGPUh_Sol,1,3)</f>
        <v>20252042.4874034</v>
      </c>
      <c r="F313" s="69" t="n">
        <f aca="false">INDEX(IF_TrainGPUh_Sol,1,4)</f>
        <v>4876722.34219832</v>
      </c>
      <c r="G313" s="69" t="n">
        <f aca="false">INDEX(IF_TrainGPUh_Sol,1,5)</f>
        <v>4876722.34219832</v>
      </c>
      <c r="H313" s="69" t="n">
        <f aca="false">INDEX(IF_TrainGPUh_Sol,1,6)</f>
        <v>4876722.34219832</v>
      </c>
      <c r="I313" s="69" t="n">
        <f aca="false">INDEX(IF_TrainGPUh_Sol,1,7)</f>
        <v>5453953.11066573</v>
      </c>
      <c r="J313" s="69" t="n">
        <f aca="false">INDEX(IF_TrainGPUh_Sol,1,8)</f>
        <v>5453953.11066573</v>
      </c>
      <c r="K313" s="69" t="n">
        <f aca="false">INDEX(IF_TrainGPUh_Sol,1,9)</f>
        <v>5453953.11066573</v>
      </c>
      <c r="L313" s="69" t="n">
        <f aca="false">INDEX(IF_TrainGPUh_Sol,1,10)</f>
        <v>2051289.25958755</v>
      </c>
      <c r="M313" s="69" t="n">
        <f aca="false">INDEX(IF_TrainGPUh_Sol,1,11)</f>
        <v>2051289.25958755</v>
      </c>
      <c r="N313" s="69" t="n">
        <f aca="false">INDEX(IF_TrainGPUh_Sol,1,12)</f>
        <v>2051289.25958755</v>
      </c>
      <c r="O313" s="69" t="n">
        <f aca="false">INDEX(IF_TrainGPUh_Sol,1,13)</f>
        <v>919050.37142924</v>
      </c>
      <c r="P313" s="69" t="n">
        <f aca="false">INDEX(IF_TrainGPUh_Sol,1,14)</f>
        <v>919050.37142924</v>
      </c>
      <c r="Q313" s="69" t="n">
        <f aca="false">INDEX(IF_TrainGPUh_Sol,1,15)</f>
        <v>919050.37142924</v>
      </c>
      <c r="R313" s="105" t="n">
        <f aca="false">SUMPRODUCT((C313:Q313&lt;C312:Q312-0.000000001*ABS(C312:Q312)-0.000000000001)+(C313:Q313&gt;C314:Q314+0.000000001*ABS(C314:Q314)+0.000000000001))</f>
        <v>0</v>
      </c>
    </row>
    <row r="314" customFormat="false" ht="15" hidden="false" customHeight="false" outlineLevel="0" collapsed="false">
      <c r="A314" s="62" t="s">
        <v>3077</v>
      </c>
      <c r="B314" s="61" t="s">
        <v>3034</v>
      </c>
      <c r="C314" s="61" t="n">
        <v>20252042.4874034</v>
      </c>
      <c r="D314" s="61" t="n">
        <v>20252042.4874034</v>
      </c>
      <c r="E314" s="61" t="n">
        <v>20252042.4874034</v>
      </c>
      <c r="F314" s="61" t="n">
        <v>5148369.22839822</v>
      </c>
      <c r="G314" s="61" t="n">
        <v>5148369.22839822</v>
      </c>
      <c r="H314" s="61" t="n">
        <v>5148369.22839822</v>
      </c>
      <c r="I314" s="61" t="n">
        <v>5453953.11066573</v>
      </c>
      <c r="J314" s="61" t="n">
        <v>5453953.11066573</v>
      </c>
      <c r="K314" s="61" t="n">
        <v>5453953.11066573</v>
      </c>
      <c r="L314" s="61" t="n">
        <v>2051289.25958755</v>
      </c>
      <c r="M314" s="61" t="n">
        <v>2051289.25958755</v>
      </c>
      <c r="N314" s="61" t="n">
        <v>2051289.25958755</v>
      </c>
      <c r="O314" s="61" t="n">
        <v>919050.37142924</v>
      </c>
      <c r="P314" s="61" t="n">
        <v>919050.37142924</v>
      </c>
      <c r="Q314" s="61" t="n">
        <v>919050.37142924</v>
      </c>
    </row>
    <row r="315" customFormat="false" ht="15" hidden="false" customHeight="false" outlineLevel="0" collapsed="false">
      <c r="A315" s="10" t="s">
        <v>3078</v>
      </c>
      <c r="B315" s="61" t="s">
        <v>3032</v>
      </c>
      <c r="C315" s="61" t="n">
        <v>0.186341813306979</v>
      </c>
      <c r="D315" s="61" t="n">
        <v>0.186341813306979</v>
      </c>
      <c r="E315" s="61" t="n">
        <v>0.186341813306979</v>
      </c>
      <c r="F315" s="61" t="n">
        <v>0.135734156718301</v>
      </c>
      <c r="G315" s="61" t="n">
        <v>0.135734156718301</v>
      </c>
      <c r="H315" s="61" t="n">
        <v>0.135734156718301</v>
      </c>
      <c r="I315" s="61" t="n">
        <v>0.2375249280719</v>
      </c>
      <c r="J315" s="61" t="n">
        <v>0.2375249280719</v>
      </c>
      <c r="K315" s="61" t="n">
        <v>0.2375249280719</v>
      </c>
      <c r="L315" s="61" t="n">
        <v>0.337769132370908</v>
      </c>
      <c r="M315" s="61" t="n">
        <v>0.337769132370908</v>
      </c>
      <c r="N315" s="61" t="n">
        <v>0.337769132370908</v>
      </c>
      <c r="O315" s="61" t="n">
        <v>0.271613044522394</v>
      </c>
      <c r="P315" s="61" t="n">
        <v>0.271613044522394</v>
      </c>
      <c r="Q315" s="61" t="n">
        <v>0.271613044522394</v>
      </c>
    </row>
    <row r="316" customFormat="false" ht="15" hidden="false" customHeight="false" outlineLevel="0" collapsed="false">
      <c r="A316" s="62" t="s">
        <v>3078</v>
      </c>
      <c r="B316" s="61" t="s">
        <v>3033</v>
      </c>
      <c r="C316" s="103" t="n">
        <f aca="false">INDEX(IF_TrainInferShare_Astra,1,1)</f>
        <v>0.453655035516492</v>
      </c>
      <c r="D316" s="103" t="n">
        <f aca="false">INDEX(IF_TrainInferShare_Astra,1,2)</f>
        <v>0.453655035516492</v>
      </c>
      <c r="E316" s="103" t="n">
        <f aca="false">INDEX(IF_TrainInferShare_Astra,1,3)</f>
        <v>0.453655035516492</v>
      </c>
      <c r="F316" s="103" t="n">
        <f aca="false">INDEX(IF_TrainInferShare_Astra,1,4)</f>
        <v>0.160627846136576</v>
      </c>
      <c r="G316" s="103" t="n">
        <f aca="false">INDEX(IF_TrainInferShare_Astra,1,5)</f>
        <v>0.160627846136576</v>
      </c>
      <c r="H316" s="103" t="n">
        <f aca="false">INDEX(IF_TrainInferShare_Astra,1,6)</f>
        <v>0.160627846136576</v>
      </c>
      <c r="I316" s="103" t="n">
        <f aca="false">INDEX(IF_TrainInferShare_Astra,1,7)</f>
        <v>0.2375249280719</v>
      </c>
      <c r="J316" s="103" t="n">
        <f aca="false">INDEX(IF_TrainInferShare_Astra,1,8)</f>
        <v>0.2375249280719</v>
      </c>
      <c r="K316" s="103" t="n">
        <f aca="false">INDEX(IF_TrainInferShare_Astra,1,9)</f>
        <v>0.2375249280719</v>
      </c>
      <c r="L316" s="103" t="n">
        <f aca="false">INDEX(IF_TrainInferShare_Astra,1,10)</f>
        <v>0.337769132370908</v>
      </c>
      <c r="M316" s="103" t="n">
        <f aca="false">INDEX(IF_TrainInferShare_Astra,1,11)</f>
        <v>0.337769132370908</v>
      </c>
      <c r="N316" s="103" t="n">
        <f aca="false">INDEX(IF_TrainInferShare_Astra,1,12)</f>
        <v>0.337769132370908</v>
      </c>
      <c r="O316" s="103" t="n">
        <f aca="false">INDEX(IF_TrainInferShare_Astra,1,13)</f>
        <v>0.271613044522394</v>
      </c>
      <c r="P316" s="103" t="n">
        <f aca="false">INDEX(IF_TrainInferShare_Astra,1,14)</f>
        <v>0.271613044522394</v>
      </c>
      <c r="Q316" s="103" t="n">
        <f aca="false">INDEX(IF_TrainInferShare_Astra,1,15)</f>
        <v>0.271613044522394</v>
      </c>
      <c r="R316" s="105" t="n">
        <f aca="false">SUMPRODUCT((C316:Q316&lt;C315:Q315-0.000000001*ABS(C315:Q315)-0.000000000001)+(C316:Q316&gt;C317:Q317+0.000000001*ABS(C317:Q317)+0.000000000001))</f>
        <v>0</v>
      </c>
    </row>
    <row r="317" customFormat="false" ht="15" hidden="false" customHeight="false" outlineLevel="0" collapsed="false">
      <c r="A317" s="62" t="s">
        <v>3078</v>
      </c>
      <c r="B317" s="61" t="s">
        <v>3034</v>
      </c>
      <c r="C317" s="61" t="n">
        <v>0.453655035516492</v>
      </c>
      <c r="D317" s="61" t="n">
        <v>0.453655035516492</v>
      </c>
      <c r="E317" s="61" t="n">
        <v>0.453655035516492</v>
      </c>
      <c r="F317" s="61" t="n">
        <v>0.197771078863687</v>
      </c>
      <c r="G317" s="61" t="n">
        <v>0.197771078863687</v>
      </c>
      <c r="H317" s="61" t="n">
        <v>0.197771078863687</v>
      </c>
      <c r="I317" s="61" t="n">
        <v>0.2375249280719</v>
      </c>
      <c r="J317" s="61" t="n">
        <v>0.2375249280719</v>
      </c>
      <c r="K317" s="61" t="n">
        <v>0.2375249280719</v>
      </c>
      <c r="L317" s="61" t="n">
        <v>0.337769132370908</v>
      </c>
      <c r="M317" s="61" t="n">
        <v>0.337769132370908</v>
      </c>
      <c r="N317" s="61" t="n">
        <v>0.337769132370908</v>
      </c>
      <c r="O317" s="61" t="n">
        <v>0.271613044522394</v>
      </c>
      <c r="P317" s="61" t="n">
        <v>0.271613044522394</v>
      </c>
      <c r="Q317" s="61" t="n">
        <v>0.271613044522394</v>
      </c>
    </row>
    <row r="318" customFormat="false" ht="15" hidden="false" customHeight="false" outlineLevel="0" collapsed="false">
      <c r="A318" s="10" t="s">
        <v>3079</v>
      </c>
      <c r="B318" s="61" t="s">
        <v>3032</v>
      </c>
      <c r="C318" s="61" t="n">
        <v>0.306263772008605</v>
      </c>
      <c r="D318" s="61" t="n">
        <v>0.306263772008605</v>
      </c>
      <c r="E318" s="61" t="n">
        <v>0.306263772008605</v>
      </c>
      <c r="F318" s="61" t="n">
        <v>0.233582054098076</v>
      </c>
      <c r="G318" s="61" t="n">
        <v>0.233582054098076</v>
      </c>
      <c r="H318" s="61" t="n">
        <v>0.233582054098076</v>
      </c>
      <c r="I318" s="61" t="n">
        <v>0.377763233719673</v>
      </c>
      <c r="J318" s="61" t="n">
        <v>0.377763233719673</v>
      </c>
      <c r="K318" s="61" t="n">
        <v>0.377763233719673</v>
      </c>
      <c r="L318" s="61" t="n">
        <v>0.502022119041945</v>
      </c>
      <c r="M318" s="61" t="n">
        <v>0.502022119041945</v>
      </c>
      <c r="N318" s="61" t="n">
        <v>0.502022119041945</v>
      </c>
      <c r="O318" s="61" t="n">
        <v>0.425237389883087</v>
      </c>
      <c r="P318" s="61" t="n">
        <v>0.425237389883087</v>
      </c>
      <c r="Q318" s="61" t="n">
        <v>0.425237389883087</v>
      </c>
    </row>
    <row r="319" customFormat="false" ht="15" hidden="false" customHeight="false" outlineLevel="0" collapsed="false">
      <c r="A319" s="62" t="s">
        <v>3079</v>
      </c>
      <c r="B319" s="61" t="s">
        <v>3033</v>
      </c>
      <c r="C319" s="103" t="n">
        <f aca="false">INDEX(IF_TrainInferShare_Luna,1,1)</f>
        <v>0.617273449727603</v>
      </c>
      <c r="D319" s="103" t="n">
        <f aca="false">INDEX(IF_TrainInferShare_Luna,1,2)</f>
        <v>0.617273449727603</v>
      </c>
      <c r="E319" s="103" t="n">
        <f aca="false">INDEX(IF_TrainInferShare_Luna,1,3)</f>
        <v>0.617273449727603</v>
      </c>
      <c r="F319" s="103" t="n">
        <f aca="false">INDEX(IF_TrainInferShare_Luna,1,4)</f>
        <v>0.272551520706235</v>
      </c>
      <c r="G319" s="103" t="n">
        <f aca="false">INDEX(IF_TrainInferShare_Luna,1,5)</f>
        <v>0.272551520706235</v>
      </c>
      <c r="H319" s="103" t="n">
        <f aca="false">INDEX(IF_TrainInferShare_Luna,1,6)</f>
        <v>0.272551520706235</v>
      </c>
      <c r="I319" s="103" t="n">
        <f aca="false">INDEX(IF_TrainInferShare_Luna,1,7)</f>
        <v>0.377763233719673</v>
      </c>
      <c r="J319" s="103" t="n">
        <f aca="false">INDEX(IF_TrainInferShare_Luna,1,8)</f>
        <v>0.377763233719673</v>
      </c>
      <c r="K319" s="103" t="n">
        <f aca="false">INDEX(IF_TrainInferShare_Luna,1,9)</f>
        <v>0.377763233719673</v>
      </c>
      <c r="L319" s="103" t="n">
        <f aca="false">INDEX(IF_TrainInferShare_Luna,1,10)</f>
        <v>0.502022119041945</v>
      </c>
      <c r="M319" s="103" t="n">
        <f aca="false">INDEX(IF_TrainInferShare_Luna,1,11)</f>
        <v>0.502022119041945</v>
      </c>
      <c r="N319" s="103" t="n">
        <f aca="false">INDEX(IF_TrainInferShare_Luna,1,12)</f>
        <v>0.502022119041945</v>
      </c>
      <c r="O319" s="103" t="n">
        <f aca="false">INDEX(IF_TrainInferShare_Luna,1,13)</f>
        <v>0.425237389883087</v>
      </c>
      <c r="P319" s="103" t="n">
        <f aca="false">INDEX(IF_TrainInferShare_Luna,1,14)</f>
        <v>0.425237389883087</v>
      </c>
      <c r="Q319" s="103" t="n">
        <f aca="false">INDEX(IF_TrainInferShare_Luna,1,15)</f>
        <v>0.425237389883087</v>
      </c>
      <c r="R319" s="105" t="n">
        <f aca="false">SUMPRODUCT((C319:Q319&lt;C318:Q318-0.000000001*ABS(C318:Q318)-0.000000000001)+(C319:Q319&gt;C320:Q320+0.000000001*ABS(C320:Q320)+0.000000000001))</f>
        <v>0</v>
      </c>
    </row>
    <row r="320" customFormat="false" ht="15" hidden="false" customHeight="false" outlineLevel="0" collapsed="false">
      <c r="A320" s="62" t="s">
        <v>3079</v>
      </c>
      <c r="B320" s="61" t="s">
        <v>3034</v>
      </c>
      <c r="C320" s="61" t="n">
        <v>0.617273449727603</v>
      </c>
      <c r="D320" s="61" t="n">
        <v>0.617273449727603</v>
      </c>
      <c r="E320" s="61" t="n">
        <v>0.617273449727603</v>
      </c>
      <c r="F320" s="61" t="n">
        <v>0.325634241337626</v>
      </c>
      <c r="G320" s="61" t="n">
        <v>0.325634241337626</v>
      </c>
      <c r="H320" s="61" t="n">
        <v>0.325634241337626</v>
      </c>
      <c r="I320" s="61" t="n">
        <v>0.377763233719673</v>
      </c>
      <c r="J320" s="61" t="n">
        <v>0.377763233719673</v>
      </c>
      <c r="K320" s="61" t="n">
        <v>0.377763233719673</v>
      </c>
      <c r="L320" s="61" t="n">
        <v>0.502022119041945</v>
      </c>
      <c r="M320" s="61" t="n">
        <v>0.502022119041945</v>
      </c>
      <c r="N320" s="61" t="n">
        <v>0.502022119041945</v>
      </c>
      <c r="O320" s="61" t="n">
        <v>0.425237389883087</v>
      </c>
      <c r="P320" s="61" t="n">
        <v>0.425237389883087</v>
      </c>
      <c r="Q320" s="61" t="n">
        <v>0.425237389883087</v>
      </c>
    </row>
    <row r="321" customFormat="false" ht="15" hidden="false" customHeight="false" outlineLevel="0" collapsed="false">
      <c r="A321" s="10" t="s">
        <v>3080</v>
      </c>
      <c r="B321" s="61" t="s">
        <v>3032</v>
      </c>
      <c r="C321" s="61" t="n">
        <v>0.221756828565929</v>
      </c>
      <c r="D321" s="61" t="n">
        <v>0.221756828565929</v>
      </c>
      <c r="E321" s="61" t="n">
        <v>0.221756828565929</v>
      </c>
      <c r="F321" s="61" t="n">
        <v>0.162454527772943</v>
      </c>
      <c r="G321" s="61" t="n">
        <v>0.162454527772943</v>
      </c>
      <c r="H321" s="61" t="n">
        <v>0.162454527772943</v>
      </c>
      <c r="I321" s="61" t="n">
        <v>0.278677028573849</v>
      </c>
      <c r="J321" s="61" t="n">
        <v>0.278677028573849</v>
      </c>
      <c r="K321" s="61" t="n">
        <v>0.278677028573849</v>
      </c>
      <c r="L321" s="61" t="n">
        <v>0.391159262955</v>
      </c>
      <c r="M321" s="61" t="n">
        <v>0.391159262955</v>
      </c>
      <c r="N321" s="61" t="n">
        <v>0.391159262955</v>
      </c>
      <c r="O321" s="61" t="n">
        <v>0.320544061824616</v>
      </c>
      <c r="P321" s="61" t="n">
        <v>0.320544061824616</v>
      </c>
      <c r="Q321" s="61" t="n">
        <v>0.320544061824616</v>
      </c>
    </row>
    <row r="322" customFormat="false" ht="15" hidden="false" customHeight="false" outlineLevel="0" collapsed="false">
      <c r="A322" s="62" t="s">
        <v>3080</v>
      </c>
      <c r="B322" s="61" t="s">
        <v>3033</v>
      </c>
      <c r="C322" s="103" t="n">
        <f aca="false">INDEX(IF_TrainInferShare_Sol,1,1)</f>
        <v>0.509209053044906</v>
      </c>
      <c r="D322" s="103" t="n">
        <f aca="false">INDEX(IF_TrainInferShare_Sol,1,2)</f>
        <v>0.509209053044906</v>
      </c>
      <c r="E322" s="103" t="n">
        <f aca="false">INDEX(IF_TrainInferShare_Sol,1,3)</f>
        <v>0.509209053044906</v>
      </c>
      <c r="F322" s="103" t="n">
        <f aca="false">INDEX(IF_TrainInferShare_Sol,1,4)</f>
        <v>0.193298000633985</v>
      </c>
      <c r="G322" s="103" t="n">
        <f aca="false">INDEX(IF_TrainInferShare_Sol,1,5)</f>
        <v>0.193298000633985</v>
      </c>
      <c r="H322" s="103" t="n">
        <f aca="false">INDEX(IF_TrainInferShare_Sol,1,6)</f>
        <v>0.193298000633985</v>
      </c>
      <c r="I322" s="103" t="n">
        <f aca="false">INDEX(IF_TrainInferShare_Sol,1,7)</f>
        <v>0.278677028573849</v>
      </c>
      <c r="J322" s="103" t="n">
        <f aca="false">INDEX(IF_TrainInferShare_Sol,1,8)</f>
        <v>0.278677028573849</v>
      </c>
      <c r="K322" s="103" t="n">
        <f aca="false">INDEX(IF_TrainInferShare_Sol,1,9)</f>
        <v>0.278677028573849</v>
      </c>
      <c r="L322" s="103" t="n">
        <f aca="false">INDEX(IF_TrainInferShare_Sol,1,10)</f>
        <v>0.391159262955</v>
      </c>
      <c r="M322" s="103" t="n">
        <f aca="false">INDEX(IF_TrainInferShare_Sol,1,11)</f>
        <v>0.391159262955</v>
      </c>
      <c r="N322" s="103" t="n">
        <f aca="false">INDEX(IF_TrainInferShare_Sol,1,12)</f>
        <v>0.391159262955</v>
      </c>
      <c r="O322" s="103" t="n">
        <f aca="false">INDEX(IF_TrainInferShare_Sol,1,13)</f>
        <v>0.320544061824616</v>
      </c>
      <c r="P322" s="103" t="n">
        <f aca="false">INDEX(IF_TrainInferShare_Sol,1,14)</f>
        <v>0.320544061824616</v>
      </c>
      <c r="Q322" s="103" t="n">
        <f aca="false">INDEX(IF_TrainInferShare_Sol,1,15)</f>
        <v>0.320544061824616</v>
      </c>
      <c r="R322" s="105" t="n">
        <f aca="false">SUMPRODUCT((C322:Q322&lt;C321:Q321-0.000000001*ABS(C321:Q321)-0.000000000001)+(C322:Q322&gt;C323:Q323+0.000000001*ABS(C323:Q323)+0.000000000001))</f>
        <v>0</v>
      </c>
    </row>
    <row r="323" customFormat="false" ht="15" hidden="false" customHeight="false" outlineLevel="0" collapsed="false">
      <c r="A323" s="62" t="s">
        <v>3080</v>
      </c>
      <c r="B323" s="61" t="s">
        <v>3034</v>
      </c>
      <c r="C323" s="61" t="n">
        <v>0.509209053044906</v>
      </c>
      <c r="D323" s="61" t="n">
        <v>0.509209053044906</v>
      </c>
      <c r="E323" s="61" t="n">
        <v>0.509209053044906</v>
      </c>
      <c r="F323" s="61" t="n">
        <v>0.23586256360477</v>
      </c>
      <c r="G323" s="61" t="n">
        <v>0.23586256360477</v>
      </c>
      <c r="H323" s="61" t="n">
        <v>0.23586256360477</v>
      </c>
      <c r="I323" s="61" t="n">
        <v>0.278677028573849</v>
      </c>
      <c r="J323" s="61" t="n">
        <v>0.278677028573849</v>
      </c>
      <c r="K323" s="61" t="n">
        <v>0.278677028573849</v>
      </c>
      <c r="L323" s="61" t="n">
        <v>0.391159262955</v>
      </c>
      <c r="M323" s="61" t="n">
        <v>0.391159262955</v>
      </c>
      <c r="N323" s="61" t="n">
        <v>0.391159262955</v>
      </c>
      <c r="O323" s="61" t="n">
        <v>0.320544061824616</v>
      </c>
      <c r="P323" s="61" t="n">
        <v>0.320544061824616</v>
      </c>
      <c r="Q323" s="61" t="n">
        <v>0.320544061824616</v>
      </c>
    </row>
    <row r="324" customFormat="false" ht="15" hidden="false" customHeight="false" outlineLevel="0" collapsed="false">
      <c r="A324" s="10" t="s">
        <v>3081</v>
      </c>
      <c r="B324" s="61" t="s">
        <v>3032</v>
      </c>
      <c r="C324" s="61" t="n">
        <v>0.153313016520972</v>
      </c>
    </row>
    <row r="325" customFormat="false" ht="15" hidden="false" customHeight="false" outlineLevel="0" collapsed="false">
      <c r="A325" s="62" t="s">
        <v>3081</v>
      </c>
      <c r="B325" s="61" t="s">
        <v>3033</v>
      </c>
      <c r="C325" s="116" t="n">
        <f aca="false">L1_Ans1</f>
        <v>0.184322317309608</v>
      </c>
      <c r="R325" s="105" t="n">
        <f aca="false">SUMPRODUCT((C325&lt;C324-0.000000001*ABS(C324)-0.000000000001)+(C325&gt;C326+0.000000001*ABS(C326)+0.000000000001))</f>
        <v>0</v>
      </c>
    </row>
    <row r="326" customFormat="false" ht="15" hidden="false" customHeight="false" outlineLevel="0" collapsed="false">
      <c r="A326" s="62" t="s">
        <v>3081</v>
      </c>
      <c r="B326" s="61" t="s">
        <v>3034</v>
      </c>
      <c r="C326" s="61" t="n">
        <v>0.190680493048307</v>
      </c>
    </row>
    <row r="327" customFormat="false" ht="15" hidden="false" customHeight="false" outlineLevel="0" collapsed="false">
      <c r="A327" s="10" t="s">
        <v>3082</v>
      </c>
      <c r="B327" s="61" t="s">
        <v>3032</v>
      </c>
      <c r="C327" s="61" t="n">
        <v>0.558989196311711</v>
      </c>
    </row>
    <row r="328" customFormat="false" ht="15" hidden="false" customHeight="false" outlineLevel="0" collapsed="false">
      <c r="A328" s="62" t="s">
        <v>3082</v>
      </c>
      <c r="B328" s="61" t="s">
        <v>3033</v>
      </c>
      <c r="C328" s="116" t="n">
        <f aca="false">L1_Ans1_Hi</f>
        <v>0.61267650366603</v>
      </c>
      <c r="R328" s="105" t="n">
        <f aca="false">SUMPRODUCT((C328&lt;C327-0.000000001*ABS(C327)-0.000000000001)+(C328&gt;C329+0.000000001*ABS(C329)+0.000000000001))</f>
        <v>0</v>
      </c>
    </row>
    <row r="329" customFormat="false" ht="15" hidden="false" customHeight="false" outlineLevel="0" collapsed="false">
      <c r="A329" s="62" t="s">
        <v>3082</v>
      </c>
      <c r="B329" s="61" t="s">
        <v>3034</v>
      </c>
      <c r="C329" s="61" t="n">
        <v>0.622533492082219</v>
      </c>
    </row>
    <row r="330" customFormat="false" ht="15" hidden="false" customHeight="false" outlineLevel="0" collapsed="false">
      <c r="A330" s="10" t="s">
        <v>3083</v>
      </c>
      <c r="B330" s="61" t="s">
        <v>3032</v>
      </c>
      <c r="C330" s="61" t="n">
        <v>0.0830205757080398</v>
      </c>
    </row>
    <row r="331" customFormat="false" ht="15" hidden="false" customHeight="false" outlineLevel="0" collapsed="false">
      <c r="A331" s="62" t="s">
        <v>3083</v>
      </c>
      <c r="B331" s="61" t="s">
        <v>3033</v>
      </c>
      <c r="C331" s="116" t="n">
        <f aca="false">L1_Ans1_Lo</f>
        <v>0.101517091423676</v>
      </c>
      <c r="R331" s="105" t="n">
        <f aca="false">SUMPRODUCT((C331&lt;C330-0.000000001*ABS(C330)-0.000000000001)+(C331&gt;C332+0.000000001*ABS(C332)+0.000000000001))</f>
        <v>0</v>
      </c>
    </row>
    <row r="332" customFormat="false" ht="15" hidden="false" customHeight="false" outlineLevel="0" collapsed="false">
      <c r="A332" s="62" t="s">
        <v>3083</v>
      </c>
      <c r="B332" s="61" t="s">
        <v>3034</v>
      </c>
      <c r="C332" s="61" t="n">
        <v>0.105387960675648</v>
      </c>
    </row>
    <row r="333" customFormat="false" ht="15" hidden="false" customHeight="false" outlineLevel="0" collapsed="false">
      <c r="A333" s="10" t="s">
        <v>3084</v>
      </c>
      <c r="B333" s="61" t="s">
        <v>3032</v>
      </c>
      <c r="C333" s="61" t="n">
        <v>0.153883942337164</v>
      </c>
    </row>
    <row r="334" customFormat="false" ht="15" hidden="false" customHeight="false" outlineLevel="0" collapsed="false">
      <c r="A334" s="62" t="s">
        <v>3084</v>
      </c>
      <c r="B334" s="61" t="s">
        <v>3033</v>
      </c>
      <c r="C334" s="116" t="n">
        <f aca="false">L1_Ans2</f>
        <v>0.184983490208217</v>
      </c>
      <c r="R334" s="105" t="n">
        <f aca="false">SUMPRODUCT((C334&lt;C333-0.000000001*ABS(C333)-0.000000000001)+(C334&gt;C335+0.000000001*ABS(C335)+0.000000000001))</f>
        <v>0</v>
      </c>
    </row>
    <row r="335" customFormat="false" ht="15" hidden="false" customHeight="false" outlineLevel="0" collapsed="false">
      <c r="A335" s="62" t="s">
        <v>3084</v>
      </c>
      <c r="B335" s="61" t="s">
        <v>3034</v>
      </c>
      <c r="C335" s="61" t="n">
        <v>0.191359122452657</v>
      </c>
    </row>
    <row r="336" customFormat="false" ht="15" hidden="false" customHeight="false" outlineLevel="0" collapsed="false">
      <c r="A336" s="10" t="s">
        <v>3085</v>
      </c>
      <c r="B336" s="61" t="s">
        <v>3032</v>
      </c>
      <c r="C336" s="61" t="n">
        <v>0.560071517623849</v>
      </c>
    </row>
    <row r="337" customFormat="false" ht="15" hidden="false" customHeight="false" outlineLevel="0" collapsed="false">
      <c r="A337" s="62" t="s">
        <v>3085</v>
      </c>
      <c r="B337" s="61" t="s">
        <v>3033</v>
      </c>
      <c r="C337" s="116" t="n">
        <f aca="false">L1_Ans2_Hi</f>
        <v>0.613718116401616</v>
      </c>
      <c r="R337" s="105" t="n">
        <f aca="false">SUMPRODUCT((C337&lt;C336-0.000000001*ABS(C336)-0.000000000001)+(C337&gt;C338+0.000000001*ABS(C338)+0.000000000001))</f>
        <v>0</v>
      </c>
    </row>
    <row r="338" customFormat="false" ht="15" hidden="false" customHeight="false" outlineLevel="0" collapsed="false">
      <c r="A338" s="62" t="s">
        <v>3085</v>
      </c>
      <c r="B338" s="61" t="s">
        <v>3034</v>
      </c>
      <c r="C338" s="61" t="n">
        <v>0.62356488362824</v>
      </c>
    </row>
    <row r="339" customFormat="false" ht="15" hidden="false" customHeight="false" outlineLevel="0" collapsed="false">
      <c r="A339" s="10" t="s">
        <v>3086</v>
      </c>
      <c r="B339" s="61" t="s">
        <v>3032</v>
      </c>
      <c r="C339" s="61" t="n">
        <v>0.0833555082836879</v>
      </c>
    </row>
    <row r="340" customFormat="false" ht="15" hidden="false" customHeight="false" outlineLevel="0" collapsed="false">
      <c r="A340" s="62" t="s">
        <v>3086</v>
      </c>
      <c r="B340" s="61" t="s">
        <v>3033</v>
      </c>
      <c r="C340" s="116" t="n">
        <f aca="false">L1_Ans2_Lo</f>
        <v>0.101918351271327</v>
      </c>
      <c r="R340" s="105" t="n">
        <f aca="false">SUMPRODUCT((C340&lt;C339-0.000000001*ABS(C339)-0.000000000001)+(C340&gt;C341+0.000000001*ABS(C341)+0.000000000001))</f>
        <v>0</v>
      </c>
    </row>
    <row r="341" customFormat="false" ht="15" hidden="false" customHeight="false" outlineLevel="0" collapsed="false">
      <c r="A341" s="62" t="s">
        <v>3086</v>
      </c>
      <c r="B341" s="61" t="s">
        <v>3034</v>
      </c>
      <c r="C341" s="61" t="n">
        <v>0.105802718952231</v>
      </c>
    </row>
    <row r="342" customFormat="false" ht="15" hidden="false" customHeight="false" outlineLevel="0" collapsed="false">
      <c r="A342" s="10" t="s">
        <v>3087</v>
      </c>
      <c r="B342" s="61" t="s">
        <v>3032</v>
      </c>
      <c r="C342" s="61" t="n">
        <v>1.52771609039391</v>
      </c>
    </row>
    <row r="343" customFormat="false" ht="15" hidden="false" customHeight="false" outlineLevel="0" collapsed="false">
      <c r="A343" s="62" t="s">
        <v>3087</v>
      </c>
      <c r="B343" s="61" t="s">
        <v>3033</v>
      </c>
      <c r="C343" s="116" t="n">
        <f aca="false">L1_Ans3</f>
        <v>1.90653968242434</v>
      </c>
      <c r="R343" s="105" t="n">
        <f aca="false">SUMPRODUCT((C343&lt;C342-0.000000001*ABS(C342)-0.000000000001)+(C343&gt;C344+0.000000001*ABS(C344)+0.000000000001))</f>
        <v>0</v>
      </c>
    </row>
    <row r="344" customFormat="false" ht="15" hidden="false" customHeight="false" outlineLevel="0" collapsed="false">
      <c r="A344" s="62" t="s">
        <v>3087</v>
      </c>
      <c r="B344" s="61" t="s">
        <v>3034</v>
      </c>
      <c r="C344" s="61" t="n">
        <v>1.98780036136401</v>
      </c>
    </row>
    <row r="345" customFormat="false" ht="15" hidden="false" customHeight="false" outlineLevel="0" collapsed="false">
      <c r="A345" s="10" t="s">
        <v>3088</v>
      </c>
      <c r="B345" s="61" t="s">
        <v>3032</v>
      </c>
      <c r="C345" s="61" t="n">
        <v>10.6940126327574</v>
      </c>
    </row>
    <row r="346" customFormat="false" ht="15" hidden="false" customHeight="false" outlineLevel="0" collapsed="false">
      <c r="A346" s="62" t="s">
        <v>3088</v>
      </c>
      <c r="B346" s="61" t="s">
        <v>3033</v>
      </c>
      <c r="C346" s="116" t="n">
        <f aca="false">L1_Ans3_Hi</f>
        <v>13.3457777769704</v>
      </c>
      <c r="R346" s="105" t="n">
        <f aca="false">SUMPRODUCT((C346&lt;C345-0.000000001*ABS(C345)-0.000000000001)+(C346&gt;C347+0.000000001*ABS(C347)+0.000000000001))</f>
        <v>0</v>
      </c>
    </row>
    <row r="347" customFormat="false" ht="15" hidden="false" customHeight="false" outlineLevel="0" collapsed="false">
      <c r="A347" s="62" t="s">
        <v>3088</v>
      </c>
      <c r="B347" s="61" t="s">
        <v>3034</v>
      </c>
      <c r="C347" s="61" t="n">
        <v>13.9146025295481</v>
      </c>
    </row>
    <row r="348" customFormat="false" ht="15" hidden="false" customHeight="false" outlineLevel="0" collapsed="false">
      <c r="A348" s="10" t="s">
        <v>3089</v>
      </c>
      <c r="B348" s="61" t="s">
        <v>3032</v>
      </c>
      <c r="C348" s="61" t="n">
        <v>0.763858045196955</v>
      </c>
    </row>
    <row r="349" customFormat="false" ht="15" hidden="false" customHeight="false" outlineLevel="0" collapsed="false">
      <c r="A349" s="62" t="s">
        <v>3089</v>
      </c>
      <c r="B349" s="61" t="s">
        <v>3033</v>
      </c>
      <c r="C349" s="116" t="n">
        <f aca="false">L1_Ans3_Lo</f>
        <v>0.95326984121217</v>
      </c>
      <c r="R349" s="105" t="n">
        <f aca="false">SUMPRODUCT((C349&lt;C348-0.000000001*ABS(C348)-0.000000000001)+(C349&gt;C350+0.000000001*ABS(C350)+0.000000000001))</f>
        <v>0</v>
      </c>
    </row>
    <row r="350" customFormat="false" ht="15" hidden="false" customHeight="false" outlineLevel="0" collapsed="false">
      <c r="A350" s="62" t="s">
        <v>3089</v>
      </c>
      <c r="B350" s="61" t="s">
        <v>3034</v>
      </c>
      <c r="C350" s="61" t="n">
        <v>0.993900180682007</v>
      </c>
    </row>
    <row r="351" customFormat="false" ht="15" hidden="false" customHeight="false" outlineLevel="0" collapsed="false">
      <c r="A351" s="10" t="s">
        <v>3090</v>
      </c>
      <c r="B351" s="61" t="s">
        <v>3032</v>
      </c>
      <c r="C351" s="61" t="n">
        <v>6.03682353280472</v>
      </c>
    </row>
    <row r="352" customFormat="false" ht="15" hidden="false" customHeight="false" outlineLevel="0" collapsed="false">
      <c r="A352" s="62" t="s">
        <v>3090</v>
      </c>
      <c r="B352" s="61" t="s">
        <v>3033</v>
      </c>
      <c r="C352" s="116" t="n">
        <f aca="false">L1_ScaleRD</f>
        <v>6.29412548326343</v>
      </c>
      <c r="R352" s="105" t="n">
        <f aca="false">SUMPRODUCT((C352&lt;C351-0.000000001*ABS(C351)-0.000000000001)+(C352&gt;C353+0.000000001*ABS(C353)+0.000000000001))</f>
        <v>0</v>
      </c>
    </row>
    <row r="353" customFormat="false" ht="15" hidden="false" customHeight="false" outlineLevel="0" collapsed="false">
      <c r="A353" s="62" t="s">
        <v>3090</v>
      </c>
      <c r="B353" s="61" t="s">
        <v>3034</v>
      </c>
      <c r="C353" s="61" t="n">
        <v>7.8548626118783</v>
      </c>
    </row>
    <row r="354" customFormat="false" ht="15" hidden="false" customHeight="false" outlineLevel="0" collapsed="false">
      <c r="A354" s="10" t="s">
        <v>3091</v>
      </c>
      <c r="B354" s="61" t="s">
        <v>3032</v>
      </c>
      <c r="C354" s="61" t="n">
        <v>12.0736470656094</v>
      </c>
    </row>
    <row r="355" customFormat="false" ht="15" hidden="false" customHeight="false" outlineLevel="0" collapsed="false">
      <c r="A355" s="62" t="s">
        <v>3091</v>
      </c>
      <c r="B355" s="61" t="s">
        <v>3033</v>
      </c>
      <c r="C355" s="116" t="n">
        <f aca="false">L1_ScaleRD_Hi</f>
        <v>12.5882509665269</v>
      </c>
      <c r="R355" s="105" t="n">
        <f aca="false">SUMPRODUCT((C355&lt;C354-0.000000001*ABS(C354)-0.000000000001)+(C355&gt;C356+0.000000001*ABS(C356)+0.000000000001))</f>
        <v>0</v>
      </c>
    </row>
    <row r="356" customFormat="false" ht="15" hidden="false" customHeight="false" outlineLevel="0" collapsed="false">
      <c r="A356" s="62" t="s">
        <v>3091</v>
      </c>
      <c r="B356" s="61" t="s">
        <v>3034</v>
      </c>
      <c r="C356" s="61" t="n">
        <v>15.7097252237566</v>
      </c>
    </row>
    <row r="357" customFormat="false" ht="15" hidden="false" customHeight="false" outlineLevel="0" collapsed="false">
      <c r="A357" s="10" t="s">
        <v>3092</v>
      </c>
      <c r="B357" s="61" t="s">
        <v>3032</v>
      </c>
      <c r="C357" s="61" t="n">
        <v>0.862403361829246</v>
      </c>
    </row>
    <row r="358" customFormat="false" ht="15" hidden="false" customHeight="false" outlineLevel="0" collapsed="false">
      <c r="A358" s="62" t="s">
        <v>3092</v>
      </c>
      <c r="B358" s="61" t="s">
        <v>3033</v>
      </c>
      <c r="C358" s="116" t="n">
        <f aca="false">L1_ScaleRD_Lo</f>
        <v>0.899160783323347</v>
      </c>
      <c r="R358" s="105" t="n">
        <f aca="false">SUMPRODUCT((C358&lt;C357-0.000000001*ABS(C357)-0.000000000001)+(C358&gt;C359+0.000000001*ABS(C359)+0.000000000001))</f>
        <v>0</v>
      </c>
    </row>
    <row r="359" customFormat="false" ht="15" hidden="false" customHeight="false" outlineLevel="0" collapsed="false">
      <c r="A359" s="62" t="s">
        <v>3092</v>
      </c>
      <c r="B359" s="61" t="s">
        <v>3034</v>
      </c>
      <c r="C359" s="61" t="n">
        <v>1.12212323026833</v>
      </c>
    </row>
    <row r="361" customFormat="false" ht="15" hidden="false" customHeight="false" outlineLevel="0" collapsed="false">
      <c r="A361" s="60" t="s">
        <v>3093</v>
      </c>
    </row>
    <row r="362" customFormat="false" ht="15" hidden="false" customHeight="false" outlineLevel="0" collapsed="false">
      <c r="A362" s="65" t="s">
        <v>3094</v>
      </c>
    </row>
    <row r="363" customFormat="false" ht="15" hidden="false" customHeight="false" outlineLevel="0" collapsed="false">
      <c r="A363" s="65" t="s">
        <v>3095</v>
      </c>
    </row>
    <row r="364" customFormat="false" ht="15" hidden="false" customHeight="false" outlineLevel="0" collapsed="false">
      <c r="A364" s="65" t="s">
        <v>3096</v>
      </c>
    </row>
    <row r="366" customFormat="false" ht="15" hidden="false" customHeight="false" outlineLevel="0" collapsed="false">
      <c r="A366" s="77" t="s">
        <v>3097</v>
      </c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</row>
    <row r="367" customFormat="false" ht="15" hidden="false" customHeight="false" outlineLevel="0" collapsed="false">
      <c r="A367" s="60" t="s">
        <v>3098</v>
      </c>
      <c r="C367" s="105" t="n">
        <f aca="false">COUNT(C371:C961)</f>
        <v>591</v>
      </c>
      <c r="D367" s="65" t="s">
        <v>3099</v>
      </c>
      <c r="Y367" s="65" t="s">
        <v>3100</v>
      </c>
    </row>
    <row r="368" customFormat="false" ht="15" hidden="false" customHeight="false" outlineLevel="0" collapsed="false">
      <c r="A368" s="60" t="s">
        <v>3101</v>
      </c>
      <c r="C368" s="105" t="n">
        <f aca="false">SUM(E371:E961)</f>
        <v>0</v>
      </c>
      <c r="D368" s="65" t="s">
        <v>3102</v>
      </c>
    </row>
    <row r="370" customFormat="false" ht="15" hidden="false" customHeight="false" outlineLevel="0" collapsed="false">
      <c r="A370" s="60" t="s">
        <v>12</v>
      </c>
      <c r="B370" s="60" t="s">
        <v>3103</v>
      </c>
      <c r="C370" s="60" t="s">
        <v>3104</v>
      </c>
      <c r="D370" s="60" t="s">
        <v>3105</v>
      </c>
      <c r="E370" s="60" t="s">
        <v>3106</v>
      </c>
    </row>
    <row r="371" customFormat="false" ht="15" hidden="false" customHeight="false" outlineLevel="0" collapsed="false">
      <c r="A371" s="62" t="s">
        <v>3107</v>
      </c>
      <c r="B371" s="62" t="s">
        <v>3108</v>
      </c>
      <c r="C371" s="63" t="n">
        <f aca="false">Inputs!E5</f>
        <v>1</v>
      </c>
      <c r="D371" s="61" t="n">
        <v>1</v>
      </c>
      <c r="E371" s="105" t="n">
        <f aca="false">IF(ABS(C371-D371)&lt;=0.000000001*ABS(D371)+0.000000000001,0,1)</f>
        <v>0</v>
      </c>
    </row>
    <row r="372" customFormat="false" ht="15" hidden="false" customHeight="false" outlineLevel="0" collapsed="false">
      <c r="A372" s="62" t="s">
        <v>3107</v>
      </c>
      <c r="B372" s="62" t="s">
        <v>3109</v>
      </c>
      <c r="C372" s="63" t="n">
        <f aca="false">Inputs!E6</f>
        <v>2</v>
      </c>
      <c r="D372" s="61" t="n">
        <v>2</v>
      </c>
      <c r="E372" s="105" t="n">
        <f aca="false">IF(ABS(C372-D372)&lt;=0.000000001*ABS(D372)+0.000000000001,0,1)</f>
        <v>0</v>
      </c>
    </row>
    <row r="373" customFormat="false" ht="15" hidden="false" customHeight="false" outlineLevel="0" collapsed="false">
      <c r="A373" s="62" t="s">
        <v>3107</v>
      </c>
      <c r="B373" s="62" t="s">
        <v>3110</v>
      </c>
      <c r="C373" s="112" t="n">
        <f aca="false">Inputs!E8</f>
        <v>0.08</v>
      </c>
      <c r="D373" s="61" t="n">
        <v>0.08</v>
      </c>
      <c r="E373" s="105" t="n">
        <f aca="false">IF(ABS(C373-D373)&lt;=0.000000001*ABS(D373)+0.000000000001,0,1)</f>
        <v>0</v>
      </c>
    </row>
    <row r="374" customFormat="false" ht="15" hidden="false" customHeight="false" outlineLevel="0" collapsed="false">
      <c r="A374" s="62" t="s">
        <v>3107</v>
      </c>
      <c r="B374" s="62" t="s">
        <v>3111</v>
      </c>
      <c r="C374" s="97" t="n">
        <f aca="false">Inputs!D9</f>
        <v>1.1</v>
      </c>
      <c r="D374" s="61" t="n">
        <v>1.1</v>
      </c>
      <c r="E374" s="105" t="n">
        <f aca="false">IF(ABS(C374-D374)&lt;=0.000000001*ABS(D374)+0.000000000001,0,1)</f>
        <v>0</v>
      </c>
    </row>
    <row r="375" customFormat="false" ht="15" hidden="false" customHeight="false" outlineLevel="0" collapsed="false">
      <c r="A375" s="62" t="s">
        <v>3107</v>
      </c>
      <c r="B375" s="62" t="s">
        <v>3112</v>
      </c>
      <c r="C375" s="97" t="n">
        <f aca="false">Inputs!E9</f>
        <v>1.2</v>
      </c>
      <c r="D375" s="61" t="n">
        <v>1.2</v>
      </c>
      <c r="E375" s="105" t="n">
        <f aca="false">IF(ABS(C375-D375)&lt;=0.000000001*ABS(D375)+0.000000000001,0,1)</f>
        <v>0</v>
      </c>
    </row>
    <row r="376" customFormat="false" ht="15" hidden="false" customHeight="false" outlineLevel="0" collapsed="false">
      <c r="A376" s="62" t="s">
        <v>3107</v>
      </c>
      <c r="B376" s="62" t="s">
        <v>3113</v>
      </c>
      <c r="C376" s="97" t="n">
        <f aca="false">Inputs!F9</f>
        <v>1.3</v>
      </c>
      <c r="D376" s="61" t="n">
        <v>1.3</v>
      </c>
      <c r="E376" s="105" t="n">
        <f aca="false">IF(ABS(C376-D376)&lt;=0.000000001*ABS(D376)+0.000000000001,0,1)</f>
        <v>0</v>
      </c>
    </row>
    <row r="377" customFormat="false" ht="15" hidden="false" customHeight="false" outlineLevel="0" collapsed="false">
      <c r="A377" s="62" t="s">
        <v>3107</v>
      </c>
      <c r="B377" s="62" t="s">
        <v>3114</v>
      </c>
      <c r="C377" s="112" t="n">
        <f aca="false">Inputs!D10</f>
        <v>0.7</v>
      </c>
      <c r="D377" s="61" t="n">
        <v>0.7</v>
      </c>
      <c r="E377" s="105" t="n">
        <f aca="false">IF(ABS(C377-D377)&lt;=0.000000001*ABS(D377)+0.000000000001,0,1)</f>
        <v>0</v>
      </c>
    </row>
    <row r="378" customFormat="false" ht="15" hidden="false" customHeight="false" outlineLevel="0" collapsed="false">
      <c r="A378" s="62" t="s">
        <v>3107</v>
      </c>
      <c r="B378" s="62" t="s">
        <v>3115</v>
      </c>
      <c r="C378" s="112" t="n">
        <f aca="false">Inputs!E10</f>
        <v>0.8</v>
      </c>
      <c r="D378" s="61" t="n">
        <v>0.8</v>
      </c>
      <c r="E378" s="105" t="n">
        <f aca="false">IF(ABS(C378-D378)&lt;=0.000000001*ABS(D378)+0.000000000001,0,1)</f>
        <v>0</v>
      </c>
    </row>
    <row r="379" customFormat="false" ht="15" hidden="false" customHeight="false" outlineLevel="0" collapsed="false">
      <c r="A379" s="62" t="s">
        <v>3107</v>
      </c>
      <c r="B379" s="62" t="s">
        <v>3116</v>
      </c>
      <c r="C379" s="112" t="n">
        <f aca="false">Inputs!F10</f>
        <v>0.9</v>
      </c>
      <c r="D379" s="61" t="n">
        <v>0.9</v>
      </c>
      <c r="E379" s="105" t="n">
        <f aca="false">IF(ABS(C379-D379)&lt;=0.000000001*ABS(D379)+0.000000000001,0,1)</f>
        <v>0</v>
      </c>
    </row>
    <row r="380" customFormat="false" ht="15" hidden="false" customHeight="false" outlineLevel="0" collapsed="false">
      <c r="A380" s="62" t="s">
        <v>3107</v>
      </c>
      <c r="B380" s="62" t="s">
        <v>3117</v>
      </c>
      <c r="C380" s="97" t="n">
        <f aca="false">Inputs!D11</f>
        <v>0.06</v>
      </c>
      <c r="D380" s="61" t="n">
        <v>0.06</v>
      </c>
      <c r="E380" s="105" t="n">
        <f aca="false">IF(ABS(C380-D380)&lt;=0.000000001*ABS(D380)+0.000000000001,0,1)</f>
        <v>0</v>
      </c>
    </row>
    <row r="381" customFormat="false" ht="15" hidden="false" customHeight="false" outlineLevel="0" collapsed="false">
      <c r="A381" s="62" t="s">
        <v>3107</v>
      </c>
      <c r="B381" s="62" t="s">
        <v>3118</v>
      </c>
      <c r="C381" s="97" t="n">
        <f aca="false">Inputs!E11</f>
        <v>0.08</v>
      </c>
      <c r="D381" s="61" t="n">
        <v>0.08</v>
      </c>
      <c r="E381" s="105" t="n">
        <f aca="false">IF(ABS(C381-D381)&lt;=0.000000001*ABS(D381)+0.000000000001,0,1)</f>
        <v>0</v>
      </c>
    </row>
    <row r="382" customFormat="false" ht="15" hidden="false" customHeight="false" outlineLevel="0" collapsed="false">
      <c r="A382" s="62" t="s">
        <v>3107</v>
      </c>
      <c r="B382" s="62" t="s">
        <v>3119</v>
      </c>
      <c r="C382" s="97" t="n">
        <f aca="false">Inputs!F11</f>
        <v>0.1</v>
      </c>
      <c r="D382" s="61" t="n">
        <v>0.1</v>
      </c>
      <c r="E382" s="105" t="n">
        <f aca="false">IF(ABS(C382-D382)&lt;=0.000000001*ABS(D382)+0.000000000001,0,1)</f>
        <v>0</v>
      </c>
    </row>
    <row r="383" customFormat="false" ht="15" hidden="false" customHeight="false" outlineLevel="0" collapsed="false">
      <c r="A383" s="62" t="s">
        <v>3107</v>
      </c>
      <c r="B383" s="62" t="s">
        <v>3120</v>
      </c>
      <c r="C383" s="112" t="n">
        <f aca="false">Inputs!D13</f>
        <v>0.05</v>
      </c>
      <c r="D383" s="61" t="n">
        <v>0.05</v>
      </c>
      <c r="E383" s="105" t="n">
        <f aca="false">IF(ABS(C383-D383)&lt;=0.000000001*ABS(D383)+0.000000000001,0,1)</f>
        <v>0</v>
      </c>
    </row>
    <row r="384" customFormat="false" ht="15" hidden="false" customHeight="false" outlineLevel="0" collapsed="false">
      <c r="A384" s="62" t="s">
        <v>3107</v>
      </c>
      <c r="B384" s="62" t="s">
        <v>3121</v>
      </c>
      <c r="C384" s="112" t="n">
        <f aca="false">Inputs!E13</f>
        <v>0.1</v>
      </c>
      <c r="D384" s="61" t="n">
        <v>0.1</v>
      </c>
      <c r="E384" s="105" t="n">
        <f aca="false">IF(ABS(C384-D384)&lt;=0.000000001*ABS(D384)+0.000000000001,0,1)</f>
        <v>0</v>
      </c>
    </row>
    <row r="385" customFormat="false" ht="15" hidden="false" customHeight="false" outlineLevel="0" collapsed="false">
      <c r="A385" s="62" t="s">
        <v>3107</v>
      </c>
      <c r="B385" s="62" t="s">
        <v>3122</v>
      </c>
      <c r="C385" s="63" t="n">
        <f aca="false">Inputs!D14</f>
        <v>300</v>
      </c>
      <c r="D385" s="61" t="n">
        <v>300</v>
      </c>
      <c r="E385" s="105" t="n">
        <f aca="false">IF(ABS(C385-D385)&lt;=0.000000001*ABS(D385)+0.000000000001,0,1)</f>
        <v>0</v>
      </c>
    </row>
    <row r="386" customFormat="false" ht="15" hidden="false" customHeight="false" outlineLevel="0" collapsed="false">
      <c r="A386" s="62" t="s">
        <v>3107</v>
      </c>
      <c r="B386" s="62" t="s">
        <v>3123</v>
      </c>
      <c r="C386" s="63" t="n">
        <f aca="false">Inputs!E14</f>
        <v>500</v>
      </c>
      <c r="D386" s="61" t="n">
        <v>500</v>
      </c>
      <c r="E386" s="105" t="n">
        <f aca="false">IF(ABS(C386-D386)&lt;=0.000000001*ABS(D386)+0.000000000001,0,1)</f>
        <v>0</v>
      </c>
    </row>
    <row r="387" customFormat="false" ht="15" hidden="false" customHeight="false" outlineLevel="0" collapsed="false">
      <c r="A387" s="62" t="s">
        <v>3107</v>
      </c>
      <c r="B387" s="62" t="s">
        <v>3124</v>
      </c>
      <c r="C387" s="63" t="n">
        <f aca="false">Inputs!F14</f>
        <v>800</v>
      </c>
      <c r="D387" s="61" t="n">
        <v>800</v>
      </c>
      <c r="E387" s="105" t="n">
        <f aca="false">IF(ABS(C387-D387)&lt;=0.000000001*ABS(D387)+0.000000000001,0,1)</f>
        <v>0</v>
      </c>
    </row>
    <row r="388" customFormat="false" ht="15" hidden="false" customHeight="false" outlineLevel="0" collapsed="false">
      <c r="A388" s="62" t="s">
        <v>3107</v>
      </c>
      <c r="B388" s="62" t="s">
        <v>3125</v>
      </c>
      <c r="C388" s="97" t="n">
        <f aca="false">Inputs!D16</f>
        <v>0.02</v>
      </c>
      <c r="D388" s="61" t="n">
        <v>0.02</v>
      </c>
      <c r="E388" s="105" t="n">
        <f aca="false">IF(ABS(C388-D388)&lt;=0.000000001*ABS(D388)+0.000000000001,0,1)</f>
        <v>0</v>
      </c>
    </row>
    <row r="389" customFormat="false" ht="15" hidden="false" customHeight="false" outlineLevel="0" collapsed="false">
      <c r="A389" s="62" t="s">
        <v>3107</v>
      </c>
      <c r="B389" s="62" t="s">
        <v>3126</v>
      </c>
      <c r="C389" s="97" t="n">
        <f aca="false">Inputs!E16</f>
        <v>0.02</v>
      </c>
      <c r="D389" s="61" t="n">
        <v>0.02</v>
      </c>
      <c r="E389" s="105" t="n">
        <f aca="false">IF(ABS(C389-D389)&lt;=0.000000001*ABS(D389)+0.000000000001,0,1)</f>
        <v>0</v>
      </c>
    </row>
    <row r="390" customFormat="false" ht="15" hidden="false" customHeight="false" outlineLevel="0" collapsed="false">
      <c r="A390" s="62" t="s">
        <v>3107</v>
      </c>
      <c r="B390" s="62" t="s">
        <v>3127</v>
      </c>
      <c r="C390" s="97" t="n">
        <f aca="false">Inputs!F16</f>
        <v>0.02</v>
      </c>
      <c r="D390" s="61" t="n">
        <v>0.02</v>
      </c>
      <c r="E390" s="105" t="n">
        <f aca="false">IF(ABS(C390-D390)&lt;=0.000000001*ABS(D390)+0.000000000001,0,1)</f>
        <v>0</v>
      </c>
    </row>
    <row r="391" customFormat="false" ht="15" hidden="false" customHeight="false" outlineLevel="0" collapsed="false">
      <c r="A391" s="62" t="s">
        <v>3107</v>
      </c>
      <c r="B391" s="62" t="s">
        <v>3128</v>
      </c>
      <c r="C391" s="97" t="n">
        <f aca="false">Inputs!D17</f>
        <v>3</v>
      </c>
      <c r="D391" s="61" t="n">
        <v>3</v>
      </c>
      <c r="E391" s="105" t="n">
        <f aca="false">IF(ABS(C391-D391)&lt;=0.000000001*ABS(D391)+0.000000000001,0,1)</f>
        <v>0</v>
      </c>
    </row>
    <row r="392" customFormat="false" ht="15" hidden="false" customHeight="false" outlineLevel="0" collapsed="false">
      <c r="A392" s="62" t="s">
        <v>3107</v>
      </c>
      <c r="B392" s="62" t="s">
        <v>3129</v>
      </c>
      <c r="C392" s="97" t="n">
        <f aca="false">Inputs!E17</f>
        <v>3.6</v>
      </c>
      <c r="D392" s="61" t="n">
        <v>3.6</v>
      </c>
      <c r="E392" s="105" t="n">
        <f aca="false">IF(ABS(C392-D392)&lt;=0.000000001*ABS(D392)+0.000000000001,0,1)</f>
        <v>0</v>
      </c>
    </row>
    <row r="393" customFormat="false" ht="15" hidden="false" customHeight="false" outlineLevel="0" collapsed="false">
      <c r="A393" s="62" t="s">
        <v>3107</v>
      </c>
      <c r="B393" s="62" t="s">
        <v>3130</v>
      </c>
      <c r="C393" s="97" t="n">
        <f aca="false">Inputs!F17</f>
        <v>4.5</v>
      </c>
      <c r="D393" s="61" t="n">
        <v>4.5</v>
      </c>
      <c r="E393" s="105" t="n">
        <f aca="false">IF(ABS(C393-D393)&lt;=0.000000001*ABS(D393)+0.000000000001,0,1)</f>
        <v>0</v>
      </c>
    </row>
    <row r="394" customFormat="false" ht="15" hidden="false" customHeight="false" outlineLevel="0" collapsed="false">
      <c r="A394" s="62" t="s">
        <v>3107</v>
      </c>
      <c r="B394" s="62" t="s">
        <v>3131</v>
      </c>
      <c r="C394" s="97" t="n">
        <f aca="false">Inputs!D18</f>
        <v>3.8</v>
      </c>
      <c r="D394" s="61" t="n">
        <v>3.8</v>
      </c>
      <c r="E394" s="105" t="n">
        <f aca="false">IF(ABS(C394-D394)&lt;=0.000000001*ABS(D394)+0.000000000001,0,1)</f>
        <v>0</v>
      </c>
    </row>
    <row r="395" customFormat="false" ht="15" hidden="false" customHeight="false" outlineLevel="0" collapsed="false">
      <c r="A395" s="62" t="s">
        <v>3107</v>
      </c>
      <c r="B395" s="62" t="s">
        <v>3132</v>
      </c>
      <c r="C395" s="97" t="n">
        <f aca="false">Inputs!E18</f>
        <v>4.5</v>
      </c>
      <c r="D395" s="61" t="n">
        <v>4.5</v>
      </c>
      <c r="E395" s="105" t="n">
        <f aca="false">IF(ABS(C395-D395)&lt;=0.000000001*ABS(D395)+0.000000000001,0,1)</f>
        <v>0</v>
      </c>
    </row>
    <row r="396" customFormat="false" ht="15" hidden="false" customHeight="false" outlineLevel="0" collapsed="false">
      <c r="A396" s="62" t="s">
        <v>3107</v>
      </c>
      <c r="B396" s="62" t="s">
        <v>3133</v>
      </c>
      <c r="C396" s="97" t="n">
        <f aca="false">Inputs!F18</f>
        <v>5.5</v>
      </c>
      <c r="D396" s="61" t="n">
        <v>5.5</v>
      </c>
      <c r="E396" s="105" t="n">
        <f aca="false">IF(ABS(C396-D396)&lt;=0.000000001*ABS(D396)+0.000000000001,0,1)</f>
        <v>0</v>
      </c>
    </row>
    <row r="397" customFormat="false" ht="15" hidden="false" customHeight="false" outlineLevel="0" collapsed="false">
      <c r="A397" s="62" t="s">
        <v>3107</v>
      </c>
      <c r="B397" s="62" t="s">
        <v>3134</v>
      </c>
      <c r="C397" s="97" t="n">
        <f aca="false">Inputs!D19</f>
        <v>2</v>
      </c>
      <c r="D397" s="61" t="n">
        <v>2</v>
      </c>
      <c r="E397" s="105" t="n">
        <f aca="false">IF(ABS(C397-D397)&lt;=0.000000001*ABS(D397)+0.000000000001,0,1)</f>
        <v>0</v>
      </c>
    </row>
    <row r="398" customFormat="false" ht="15" hidden="false" customHeight="false" outlineLevel="0" collapsed="false">
      <c r="A398" s="62" t="s">
        <v>3107</v>
      </c>
      <c r="B398" s="62" t="s">
        <v>3135</v>
      </c>
      <c r="C398" s="97" t="n">
        <f aca="false">Inputs!E19</f>
        <v>2.5</v>
      </c>
      <c r="D398" s="61" t="n">
        <v>2.5</v>
      </c>
      <c r="E398" s="105" t="n">
        <f aca="false">IF(ABS(C398-D398)&lt;=0.000000001*ABS(D398)+0.000000000001,0,1)</f>
        <v>0</v>
      </c>
    </row>
    <row r="399" customFormat="false" ht="15" hidden="false" customHeight="false" outlineLevel="0" collapsed="false">
      <c r="A399" s="62" t="s">
        <v>3107</v>
      </c>
      <c r="B399" s="62" t="s">
        <v>3136</v>
      </c>
      <c r="C399" s="97" t="n">
        <f aca="false">Inputs!F19</f>
        <v>3.2</v>
      </c>
      <c r="D399" s="61" t="n">
        <v>3.2</v>
      </c>
      <c r="E399" s="105" t="n">
        <f aca="false">IF(ABS(C399-D399)&lt;=0.000000001*ABS(D399)+0.000000000001,0,1)</f>
        <v>0</v>
      </c>
    </row>
    <row r="400" customFormat="false" ht="15" hidden="false" customHeight="false" outlineLevel="0" collapsed="false">
      <c r="A400" s="62" t="s">
        <v>3107</v>
      </c>
      <c r="B400" s="62" t="s">
        <v>3137</v>
      </c>
      <c r="C400" s="97" t="n">
        <f aca="false">Inputs!D20</f>
        <v>0.3</v>
      </c>
      <c r="D400" s="61" t="n">
        <v>0.3</v>
      </c>
      <c r="E400" s="105" t="n">
        <f aca="false">IF(ABS(C400-D400)&lt;=0.000000001*ABS(D400)+0.000000000001,0,1)</f>
        <v>0</v>
      </c>
    </row>
    <row r="401" customFormat="false" ht="15" hidden="false" customHeight="false" outlineLevel="0" collapsed="false">
      <c r="A401" s="62" t="s">
        <v>3107</v>
      </c>
      <c r="B401" s="62" t="s">
        <v>3138</v>
      </c>
      <c r="C401" s="97" t="n">
        <f aca="false">Inputs!E20</f>
        <v>0.4</v>
      </c>
      <c r="D401" s="61" t="n">
        <v>0.4</v>
      </c>
      <c r="E401" s="105" t="n">
        <f aca="false">IF(ABS(C401-D401)&lt;=0.000000001*ABS(D401)+0.000000000001,0,1)</f>
        <v>0</v>
      </c>
    </row>
    <row r="402" customFormat="false" ht="15" hidden="false" customHeight="false" outlineLevel="0" collapsed="false">
      <c r="A402" s="62" t="s">
        <v>3107</v>
      </c>
      <c r="B402" s="62" t="s">
        <v>3139</v>
      </c>
      <c r="C402" s="97" t="n">
        <f aca="false">Inputs!F20</f>
        <v>0.5</v>
      </c>
      <c r="D402" s="61" t="n">
        <v>0.5</v>
      </c>
      <c r="E402" s="105" t="n">
        <f aca="false">IF(ABS(C402-D402)&lt;=0.000000001*ABS(D402)+0.000000000001,0,1)</f>
        <v>0</v>
      </c>
    </row>
    <row r="403" customFormat="false" ht="15" hidden="false" customHeight="false" outlineLevel="0" collapsed="false">
      <c r="A403" s="62" t="s">
        <v>3107</v>
      </c>
      <c r="B403" s="62" t="s">
        <v>3140</v>
      </c>
      <c r="C403" s="112" t="n">
        <f aca="false">Inputs!D21</f>
        <v>0.12</v>
      </c>
      <c r="D403" s="61" t="n">
        <v>0.12</v>
      </c>
      <c r="E403" s="105" t="n">
        <f aca="false">IF(ABS(C403-D403)&lt;=0.000000001*ABS(D403)+0.000000000001,0,1)</f>
        <v>0</v>
      </c>
    </row>
    <row r="404" customFormat="false" ht="15" hidden="false" customHeight="false" outlineLevel="0" collapsed="false">
      <c r="A404" s="62" t="s">
        <v>3107</v>
      </c>
      <c r="B404" s="62" t="s">
        <v>3141</v>
      </c>
      <c r="C404" s="112" t="n">
        <f aca="false">Inputs!E21</f>
        <v>0.15</v>
      </c>
      <c r="D404" s="61" t="n">
        <v>0.15</v>
      </c>
      <c r="E404" s="105" t="n">
        <f aca="false">IF(ABS(C404-D404)&lt;=0.000000001*ABS(D404)+0.000000000001,0,1)</f>
        <v>0</v>
      </c>
    </row>
    <row r="405" customFormat="false" ht="15" hidden="false" customHeight="false" outlineLevel="0" collapsed="false">
      <c r="A405" s="62" t="s">
        <v>3107</v>
      </c>
      <c r="B405" s="62" t="s">
        <v>3142</v>
      </c>
      <c r="C405" s="112" t="n">
        <f aca="false">Inputs!F21</f>
        <v>0.18</v>
      </c>
      <c r="D405" s="61" t="n">
        <v>0.18</v>
      </c>
      <c r="E405" s="105" t="n">
        <f aca="false">IF(ABS(C405-D405)&lt;=0.000000001*ABS(D405)+0.000000000001,0,1)</f>
        <v>0</v>
      </c>
    </row>
    <row r="406" customFormat="false" ht="15" hidden="false" customHeight="false" outlineLevel="0" collapsed="false">
      <c r="A406" s="62" t="s">
        <v>3107</v>
      </c>
      <c r="B406" s="62" t="s">
        <v>3143</v>
      </c>
      <c r="C406" s="63" t="n">
        <f aca="false">Inputs!E24</f>
        <v>30</v>
      </c>
      <c r="D406" s="61" t="n">
        <v>30</v>
      </c>
      <c r="E406" s="105" t="n">
        <f aca="false">IF(ABS(C406-D406)&lt;=0.000000001*ABS(D406)+0.000000000001,0,1)</f>
        <v>0</v>
      </c>
    </row>
    <row r="407" customFormat="false" ht="15" hidden="false" customHeight="false" outlineLevel="0" collapsed="false">
      <c r="A407" s="62" t="s">
        <v>3107</v>
      </c>
      <c r="B407" s="62" t="s">
        <v>3144</v>
      </c>
      <c r="C407" s="63" t="n">
        <f aca="false">Inputs!E25</f>
        <v>20</v>
      </c>
      <c r="D407" s="61" t="n">
        <v>20</v>
      </c>
      <c r="E407" s="105" t="n">
        <f aca="false">IF(ABS(C407-D407)&lt;=0.000000001*ABS(D407)+0.000000000001,0,1)</f>
        <v>0</v>
      </c>
    </row>
    <row r="408" customFormat="false" ht="15" hidden="false" customHeight="false" outlineLevel="0" collapsed="false">
      <c r="A408" s="62" t="s">
        <v>3107</v>
      </c>
      <c r="B408" s="62" t="s">
        <v>3145</v>
      </c>
      <c r="C408" s="63" t="n">
        <f aca="false">Inputs!E26</f>
        <v>15</v>
      </c>
      <c r="D408" s="61" t="n">
        <v>15</v>
      </c>
      <c r="E408" s="105" t="n">
        <f aca="false">IF(ABS(C408-D408)&lt;=0.000000001*ABS(D408)+0.000000000001,0,1)</f>
        <v>0</v>
      </c>
    </row>
    <row r="409" customFormat="false" ht="15" hidden="false" customHeight="false" outlineLevel="0" collapsed="false">
      <c r="A409" s="62" t="s">
        <v>3107</v>
      </c>
      <c r="B409" s="62" t="s">
        <v>3146</v>
      </c>
      <c r="C409" s="63" t="n">
        <f aca="false">Inputs!E27</f>
        <v>10</v>
      </c>
      <c r="D409" s="61" t="n">
        <v>10</v>
      </c>
      <c r="E409" s="105" t="n">
        <f aca="false">IF(ABS(C409-D409)&lt;=0.000000001*ABS(D409)+0.000000000001,0,1)</f>
        <v>0</v>
      </c>
    </row>
    <row r="410" customFormat="false" ht="15" hidden="false" customHeight="false" outlineLevel="0" collapsed="false">
      <c r="A410" s="62" t="s">
        <v>3107</v>
      </c>
      <c r="B410" s="62" t="s">
        <v>3147</v>
      </c>
      <c r="C410" s="112" t="n">
        <f aca="false">Inputs!D28</f>
        <v>0.08</v>
      </c>
      <c r="D410" s="61" t="n">
        <v>0.08</v>
      </c>
      <c r="E410" s="105" t="n">
        <f aca="false">IF(ABS(C410-D410)&lt;=0.000000001*ABS(D410)+0.000000000001,0,1)</f>
        <v>0</v>
      </c>
    </row>
    <row r="411" customFormat="false" ht="15" hidden="false" customHeight="false" outlineLevel="0" collapsed="false">
      <c r="A411" s="62" t="s">
        <v>3107</v>
      </c>
      <c r="B411" s="62" t="s">
        <v>3148</v>
      </c>
      <c r="C411" s="112" t="n">
        <f aca="false">Inputs!E28</f>
        <v>0.1</v>
      </c>
      <c r="D411" s="61" t="n">
        <v>0.1</v>
      </c>
      <c r="E411" s="105" t="n">
        <f aca="false">IF(ABS(C411-D411)&lt;=0.000000001*ABS(D411)+0.000000000001,0,1)</f>
        <v>0</v>
      </c>
    </row>
    <row r="412" customFormat="false" ht="15" hidden="false" customHeight="false" outlineLevel="0" collapsed="false">
      <c r="A412" s="62" t="s">
        <v>3107</v>
      </c>
      <c r="B412" s="62" t="s">
        <v>3149</v>
      </c>
      <c r="C412" s="112" t="n">
        <f aca="false">Inputs!F28</f>
        <v>0.13</v>
      </c>
      <c r="D412" s="61" t="n">
        <v>0.13</v>
      </c>
      <c r="E412" s="105" t="n">
        <f aca="false">IF(ABS(C412-D412)&lt;=0.000000001*ABS(D412)+0.000000000001,0,1)</f>
        <v>0</v>
      </c>
    </row>
    <row r="413" customFormat="false" ht="15" hidden="false" customHeight="false" outlineLevel="0" collapsed="false">
      <c r="A413" s="62" t="s">
        <v>3107</v>
      </c>
      <c r="B413" s="62" t="s">
        <v>3150</v>
      </c>
      <c r="C413" s="112" t="n">
        <f aca="false">Inputs!D31</f>
        <v>0.015</v>
      </c>
      <c r="D413" s="61" t="n">
        <v>0.015</v>
      </c>
      <c r="E413" s="105" t="n">
        <f aca="false">IF(ABS(C413-D413)&lt;=0.000000001*ABS(D413)+0.000000000001,0,1)</f>
        <v>0</v>
      </c>
    </row>
    <row r="414" customFormat="false" ht="15" hidden="false" customHeight="false" outlineLevel="0" collapsed="false">
      <c r="A414" s="62" t="s">
        <v>3107</v>
      </c>
      <c r="B414" s="62" t="s">
        <v>3151</v>
      </c>
      <c r="C414" s="112" t="n">
        <f aca="false">Inputs!E31</f>
        <v>0.02</v>
      </c>
      <c r="D414" s="61" t="n">
        <v>0.02</v>
      </c>
      <c r="E414" s="105" t="n">
        <f aca="false">IF(ABS(C414-D414)&lt;=0.000000001*ABS(D414)+0.000000000001,0,1)</f>
        <v>0</v>
      </c>
    </row>
    <row r="415" customFormat="false" ht="15" hidden="false" customHeight="false" outlineLevel="0" collapsed="false">
      <c r="A415" s="62" t="s">
        <v>3107</v>
      </c>
      <c r="B415" s="62" t="s">
        <v>3152</v>
      </c>
      <c r="C415" s="112" t="n">
        <f aca="false">Inputs!F31</f>
        <v>0.025</v>
      </c>
      <c r="D415" s="61" t="n">
        <v>0.025</v>
      </c>
      <c r="E415" s="105" t="n">
        <f aca="false">IF(ABS(C415-D415)&lt;=0.000000001*ABS(D415)+0.000000000001,0,1)</f>
        <v>0</v>
      </c>
    </row>
    <row r="416" customFormat="false" ht="15" hidden="false" customHeight="false" outlineLevel="0" collapsed="false">
      <c r="A416" s="62" t="s">
        <v>3107</v>
      </c>
      <c r="B416" s="62" t="s">
        <v>3153</v>
      </c>
      <c r="C416" s="63" t="n">
        <f aca="false">Inputs!D32</f>
        <v>50</v>
      </c>
      <c r="D416" s="61" t="n">
        <v>50</v>
      </c>
      <c r="E416" s="105" t="n">
        <f aca="false">IF(ABS(C416-D416)&lt;=0.000000001*ABS(D416)+0.000000000001,0,1)</f>
        <v>0</v>
      </c>
    </row>
    <row r="417" customFormat="false" ht="15" hidden="false" customHeight="false" outlineLevel="0" collapsed="false">
      <c r="A417" s="62" t="s">
        <v>3107</v>
      </c>
      <c r="B417" s="62" t="s">
        <v>3154</v>
      </c>
      <c r="C417" s="63" t="n">
        <f aca="false">Inputs!E32</f>
        <v>75</v>
      </c>
      <c r="D417" s="61" t="n">
        <v>75</v>
      </c>
      <c r="E417" s="105" t="n">
        <f aca="false">IF(ABS(C417-D417)&lt;=0.000000001*ABS(D417)+0.000000000001,0,1)</f>
        <v>0</v>
      </c>
    </row>
    <row r="418" customFormat="false" ht="15" hidden="false" customHeight="false" outlineLevel="0" collapsed="false">
      <c r="A418" s="62" t="s">
        <v>3107</v>
      </c>
      <c r="B418" s="62" t="s">
        <v>3155</v>
      </c>
      <c r="C418" s="63" t="n">
        <f aca="false">Inputs!F32</f>
        <v>100</v>
      </c>
      <c r="D418" s="61" t="n">
        <v>100</v>
      </c>
      <c r="E418" s="105" t="n">
        <f aca="false">IF(ABS(C418-D418)&lt;=0.000000001*ABS(D418)+0.000000000001,0,1)</f>
        <v>0</v>
      </c>
    </row>
    <row r="419" customFormat="false" ht="15" hidden="false" customHeight="false" outlineLevel="0" collapsed="false">
      <c r="A419" s="62" t="s">
        <v>3107</v>
      </c>
      <c r="B419" s="62" t="s">
        <v>3156</v>
      </c>
      <c r="C419" s="63" t="n">
        <f aca="false">Inputs!D33</f>
        <v>150</v>
      </c>
      <c r="D419" s="61" t="n">
        <v>150</v>
      </c>
      <c r="E419" s="105" t="n">
        <f aca="false">IF(ABS(C419-D419)&lt;=0.000000001*ABS(D419)+0.000000000001,0,1)</f>
        <v>0</v>
      </c>
    </row>
    <row r="420" customFormat="false" ht="15" hidden="false" customHeight="false" outlineLevel="0" collapsed="false">
      <c r="A420" s="62" t="s">
        <v>3107</v>
      </c>
      <c r="B420" s="62" t="s">
        <v>3157</v>
      </c>
      <c r="C420" s="63" t="n">
        <f aca="false">Inputs!E33</f>
        <v>200</v>
      </c>
      <c r="D420" s="61" t="n">
        <v>200</v>
      </c>
      <c r="E420" s="105" t="n">
        <f aca="false">IF(ABS(C420-D420)&lt;=0.000000001*ABS(D420)+0.000000000001,0,1)</f>
        <v>0</v>
      </c>
    </row>
    <row r="421" customFormat="false" ht="15" hidden="false" customHeight="false" outlineLevel="0" collapsed="false">
      <c r="A421" s="62" t="s">
        <v>3107</v>
      </c>
      <c r="B421" s="62" t="s">
        <v>3158</v>
      </c>
      <c r="C421" s="63" t="n">
        <f aca="false">Inputs!F33</f>
        <v>250</v>
      </c>
      <c r="D421" s="61" t="n">
        <v>250</v>
      </c>
      <c r="E421" s="105" t="n">
        <f aca="false">IF(ABS(C421-D421)&lt;=0.000000001*ABS(D421)+0.000000000001,0,1)</f>
        <v>0</v>
      </c>
    </row>
    <row r="422" customFormat="false" ht="15" hidden="false" customHeight="false" outlineLevel="0" collapsed="false">
      <c r="A422" s="62" t="s">
        <v>3107</v>
      </c>
      <c r="B422" s="62" t="s">
        <v>3159</v>
      </c>
      <c r="C422" s="97" t="n">
        <f aca="false">Inputs!D34</f>
        <v>0.04</v>
      </c>
      <c r="D422" s="61" t="n">
        <v>0.04</v>
      </c>
      <c r="E422" s="105" t="n">
        <f aca="false">IF(ABS(C422-D422)&lt;=0.000000001*ABS(D422)+0.000000000001,0,1)</f>
        <v>0</v>
      </c>
    </row>
    <row r="423" customFormat="false" ht="15" hidden="false" customHeight="false" outlineLevel="0" collapsed="false">
      <c r="A423" s="62" t="s">
        <v>3107</v>
      </c>
      <c r="B423" s="62" t="s">
        <v>3160</v>
      </c>
      <c r="C423" s="97" t="n">
        <f aca="false">Inputs!E34</f>
        <v>0.05</v>
      </c>
      <c r="D423" s="61" t="n">
        <v>0.05</v>
      </c>
      <c r="E423" s="105" t="n">
        <f aca="false">IF(ABS(C423-D423)&lt;=0.000000001*ABS(D423)+0.000000000001,0,1)</f>
        <v>0</v>
      </c>
    </row>
    <row r="424" customFormat="false" ht="15" hidden="false" customHeight="false" outlineLevel="0" collapsed="false">
      <c r="A424" s="62" t="s">
        <v>3107</v>
      </c>
      <c r="B424" s="62" t="s">
        <v>3161</v>
      </c>
      <c r="C424" s="97" t="n">
        <f aca="false">Inputs!F34</f>
        <v>0.06</v>
      </c>
      <c r="D424" s="61" t="n">
        <v>0.06</v>
      </c>
      <c r="E424" s="105" t="n">
        <f aca="false">IF(ABS(C424-D424)&lt;=0.000000001*ABS(D424)+0.000000000001,0,1)</f>
        <v>0</v>
      </c>
    </row>
    <row r="425" customFormat="false" ht="15" hidden="false" customHeight="false" outlineLevel="0" collapsed="false">
      <c r="A425" s="62" t="s">
        <v>3107</v>
      </c>
      <c r="B425" s="62" t="s">
        <v>3162</v>
      </c>
      <c r="C425" s="112" t="n">
        <f aca="false">Inputs!D35</f>
        <v>0.003</v>
      </c>
      <c r="D425" s="61" t="n">
        <v>0.003</v>
      </c>
      <c r="E425" s="105" t="n">
        <f aca="false">IF(ABS(C425-D425)&lt;=0.000000001*ABS(D425)+0.000000000001,0,1)</f>
        <v>0</v>
      </c>
    </row>
    <row r="426" customFormat="false" ht="15" hidden="false" customHeight="false" outlineLevel="0" collapsed="false">
      <c r="A426" s="62" t="s">
        <v>3107</v>
      </c>
      <c r="B426" s="62" t="s">
        <v>3163</v>
      </c>
      <c r="C426" s="112" t="n">
        <f aca="false">Inputs!E35</f>
        <v>0.005</v>
      </c>
      <c r="D426" s="61" t="n">
        <v>0.005</v>
      </c>
      <c r="E426" s="105" t="n">
        <f aca="false">IF(ABS(C426-D426)&lt;=0.000000001*ABS(D426)+0.000000000001,0,1)</f>
        <v>0</v>
      </c>
    </row>
    <row r="427" customFormat="false" ht="15" hidden="false" customHeight="false" outlineLevel="0" collapsed="false">
      <c r="A427" s="62" t="s">
        <v>3107</v>
      </c>
      <c r="B427" s="62" t="s">
        <v>3164</v>
      </c>
      <c r="C427" s="112" t="n">
        <f aca="false">Inputs!F35</f>
        <v>0.008</v>
      </c>
      <c r="D427" s="61" t="n">
        <v>0.008</v>
      </c>
      <c r="E427" s="105" t="n">
        <f aca="false">IF(ABS(C427-D427)&lt;=0.000000001*ABS(D427)+0.000000000001,0,1)</f>
        <v>0</v>
      </c>
    </row>
    <row r="428" customFormat="false" ht="15" hidden="false" customHeight="false" outlineLevel="0" collapsed="false">
      <c r="A428" s="62" t="s">
        <v>3107</v>
      </c>
      <c r="B428" s="62" t="s">
        <v>3165</v>
      </c>
      <c r="C428" s="113" t="n">
        <f aca="false">Inputs!D37</f>
        <v>0.0025</v>
      </c>
      <c r="D428" s="61" t="n">
        <v>0.0025</v>
      </c>
      <c r="E428" s="105" t="n">
        <f aca="false">IF(ABS(C428-D428)&lt;=0.000000001*ABS(D428)+0.000000000001,0,1)</f>
        <v>0</v>
      </c>
    </row>
    <row r="429" customFormat="false" ht="15" hidden="false" customHeight="false" outlineLevel="0" collapsed="false">
      <c r="A429" s="62" t="s">
        <v>3107</v>
      </c>
      <c r="B429" s="62" t="s">
        <v>3166</v>
      </c>
      <c r="C429" s="113" t="n">
        <f aca="false">Inputs!E37</f>
        <v>0.005</v>
      </c>
      <c r="D429" s="61" t="n">
        <v>0.005</v>
      </c>
      <c r="E429" s="105" t="n">
        <f aca="false">IF(ABS(C429-D429)&lt;=0.000000001*ABS(D429)+0.000000000001,0,1)</f>
        <v>0</v>
      </c>
    </row>
    <row r="430" customFormat="false" ht="15" hidden="false" customHeight="false" outlineLevel="0" collapsed="false">
      <c r="A430" s="62" t="s">
        <v>3107</v>
      </c>
      <c r="B430" s="62" t="s">
        <v>3167</v>
      </c>
      <c r="C430" s="113" t="n">
        <f aca="false">Inputs!F37</f>
        <v>0.01</v>
      </c>
      <c r="D430" s="61" t="n">
        <v>0.01</v>
      </c>
      <c r="E430" s="105" t="n">
        <f aca="false">IF(ABS(C430-D430)&lt;=0.000000001*ABS(D430)+0.000000000001,0,1)</f>
        <v>0</v>
      </c>
    </row>
    <row r="431" customFormat="false" ht="15" hidden="false" customHeight="false" outlineLevel="0" collapsed="false">
      <c r="A431" s="62" t="s">
        <v>3107</v>
      </c>
      <c r="B431" s="62" t="s">
        <v>3168</v>
      </c>
      <c r="C431" s="113" t="n">
        <f aca="false">Inputs!D38</f>
        <v>0.02</v>
      </c>
      <c r="D431" s="61" t="n">
        <v>0.02</v>
      </c>
      <c r="E431" s="105" t="n">
        <f aca="false">IF(ABS(C431-D431)&lt;=0.000000001*ABS(D431)+0.000000000001,0,1)</f>
        <v>0</v>
      </c>
    </row>
    <row r="432" customFormat="false" ht="15" hidden="false" customHeight="false" outlineLevel="0" collapsed="false">
      <c r="A432" s="62" t="s">
        <v>3107</v>
      </c>
      <c r="B432" s="62" t="s">
        <v>3169</v>
      </c>
      <c r="C432" s="113" t="n">
        <f aca="false">Inputs!E38</f>
        <v>0.03</v>
      </c>
      <c r="D432" s="61" t="n">
        <v>0.03</v>
      </c>
      <c r="E432" s="105" t="n">
        <f aca="false">IF(ABS(C432-D432)&lt;=0.000000001*ABS(D432)+0.000000000001,0,1)</f>
        <v>0</v>
      </c>
    </row>
    <row r="433" customFormat="false" ht="15" hidden="false" customHeight="false" outlineLevel="0" collapsed="false">
      <c r="A433" s="62" t="s">
        <v>3107</v>
      </c>
      <c r="B433" s="62" t="s">
        <v>3170</v>
      </c>
      <c r="C433" s="113" t="n">
        <f aca="false">Inputs!F38</f>
        <v>0.05</v>
      </c>
      <c r="D433" s="61" t="n">
        <v>0.05</v>
      </c>
      <c r="E433" s="105" t="n">
        <f aca="false">IF(ABS(C433-D433)&lt;=0.000000001*ABS(D433)+0.000000000001,0,1)</f>
        <v>0</v>
      </c>
    </row>
    <row r="434" customFormat="false" ht="15" hidden="false" customHeight="false" outlineLevel="0" collapsed="false">
      <c r="A434" s="62" t="s">
        <v>3171</v>
      </c>
      <c r="B434" s="62" t="s">
        <v>3172</v>
      </c>
      <c r="C434" s="63" t="n">
        <f aca="false">Spec_Rack!C6</f>
        <v>32</v>
      </c>
      <c r="D434" s="61" t="n">
        <v>32</v>
      </c>
      <c r="E434" s="105" t="n">
        <f aca="false">IF(ABS(C434-D434)&lt;=0.000000001*ABS(D434)+0.000000000001,0,1)</f>
        <v>0</v>
      </c>
    </row>
    <row r="435" customFormat="false" ht="15" hidden="false" customHeight="false" outlineLevel="0" collapsed="false">
      <c r="A435" s="62" t="s">
        <v>3171</v>
      </c>
      <c r="B435" s="62" t="s">
        <v>3173</v>
      </c>
      <c r="C435" s="63" t="n">
        <f aca="false">Spec_Rack!C8</f>
        <v>38</v>
      </c>
      <c r="D435" s="61" t="n">
        <v>38</v>
      </c>
      <c r="E435" s="105" t="n">
        <f aca="false">IF(ABS(C435-D435)&lt;=0.000000001*ABS(D435)+0.000000000001,0,1)</f>
        <v>0</v>
      </c>
    </row>
    <row r="436" customFormat="false" ht="15" hidden="false" customHeight="false" outlineLevel="0" collapsed="false">
      <c r="A436" s="62" t="s">
        <v>3171</v>
      </c>
      <c r="B436" s="62" t="s">
        <v>3174</v>
      </c>
      <c r="C436" s="63" t="n">
        <f aca="false">Spec_Rack!G8</f>
        <v>300</v>
      </c>
      <c r="D436" s="61" t="n">
        <v>300</v>
      </c>
      <c r="E436" s="105" t="n">
        <f aca="false">IF(ABS(C436-D436)&lt;=0.000000001*ABS(D436)+0.000000000001,0,1)</f>
        <v>0</v>
      </c>
    </row>
    <row r="437" customFormat="false" ht="15" hidden="false" customHeight="false" outlineLevel="0" collapsed="false">
      <c r="A437" s="62" t="s">
        <v>3171</v>
      </c>
      <c r="B437" s="62" t="s">
        <v>3175</v>
      </c>
      <c r="C437" s="63" t="n">
        <f aca="false">Spec_Rack!C9</f>
        <v>41</v>
      </c>
      <c r="D437" s="61" t="n">
        <v>41</v>
      </c>
      <c r="E437" s="105" t="n">
        <f aca="false">IF(ABS(C437-D437)&lt;=0.000000001*ABS(D437)+0.000000000001,0,1)</f>
        <v>0</v>
      </c>
    </row>
    <row r="438" customFormat="false" ht="15" hidden="false" customHeight="false" outlineLevel="0" collapsed="false">
      <c r="A438" s="62" t="s">
        <v>3171</v>
      </c>
      <c r="B438" s="62" t="s">
        <v>3112</v>
      </c>
      <c r="C438" s="63" t="n">
        <f aca="false">Spec_Rack!E9</f>
        <v>136</v>
      </c>
      <c r="D438" s="61" t="n">
        <v>136</v>
      </c>
      <c r="E438" s="105" t="n">
        <f aca="false">IF(ABS(C438-D438)&lt;=0.000000001*ABS(D438)+0.000000000001,0,1)</f>
        <v>0</v>
      </c>
    </row>
    <row r="439" customFormat="false" ht="15" hidden="false" customHeight="false" outlineLevel="0" collapsed="false">
      <c r="A439" s="62" t="s">
        <v>3171</v>
      </c>
      <c r="B439" s="62" t="s">
        <v>3176</v>
      </c>
      <c r="C439" s="63" t="n">
        <f aca="false">Spec_Rack!G9</f>
        <v>340</v>
      </c>
      <c r="D439" s="61" t="n">
        <v>340</v>
      </c>
      <c r="E439" s="105" t="n">
        <f aca="false">IF(ABS(C439-D439)&lt;=0.000000001*ABS(D439)+0.000000000001,0,1)</f>
        <v>0</v>
      </c>
    </row>
    <row r="440" customFormat="false" ht="15" hidden="false" customHeight="false" outlineLevel="0" collapsed="false">
      <c r="A440" s="62" t="s">
        <v>3171</v>
      </c>
      <c r="B440" s="62" t="s">
        <v>3177</v>
      </c>
      <c r="C440" s="63" t="n">
        <f aca="false">Spec_Rack!C10</f>
        <v>44</v>
      </c>
      <c r="D440" s="61" t="n">
        <v>44</v>
      </c>
      <c r="E440" s="105" t="n">
        <f aca="false">IF(ABS(C440-D440)&lt;=0.000000001*ABS(D440)+0.000000000001,0,1)</f>
        <v>0</v>
      </c>
    </row>
    <row r="441" customFormat="false" ht="15" hidden="false" customHeight="false" outlineLevel="0" collapsed="false">
      <c r="A441" s="62" t="s">
        <v>3171</v>
      </c>
      <c r="B441" s="62" t="s">
        <v>3114</v>
      </c>
      <c r="C441" s="63" t="n">
        <f aca="false">Spec_Rack!D10</f>
        <v>140</v>
      </c>
      <c r="D441" s="61" t="n">
        <v>140</v>
      </c>
      <c r="E441" s="105" t="n">
        <f aca="false">IF(ABS(C441-D441)&lt;=0.000000001*ABS(D441)+0.000000000001,0,1)</f>
        <v>0</v>
      </c>
    </row>
    <row r="442" customFormat="false" ht="15" hidden="false" customHeight="false" outlineLevel="0" collapsed="false">
      <c r="A442" s="62" t="s">
        <v>3171</v>
      </c>
      <c r="B442" s="62" t="s">
        <v>3178</v>
      </c>
      <c r="C442" s="63" t="n">
        <f aca="false">Spec_Rack!G10</f>
        <v>454</v>
      </c>
      <c r="D442" s="61" t="n">
        <v>454</v>
      </c>
      <c r="E442" s="105" t="n">
        <f aca="false">IF(ABS(C442-D442)&lt;=0.000000001*ABS(D442)+0.000000000001,0,1)</f>
        <v>0</v>
      </c>
    </row>
    <row r="443" customFormat="false" ht="15" hidden="false" customHeight="false" outlineLevel="0" collapsed="false">
      <c r="A443" s="62" t="s">
        <v>3171</v>
      </c>
      <c r="B443" s="62" t="s">
        <v>3179</v>
      </c>
      <c r="C443" s="98" t="n">
        <f aca="false">Spec_Rack!C11</f>
        <v>0.9</v>
      </c>
      <c r="D443" s="61" t="n">
        <v>0.9</v>
      </c>
      <c r="E443" s="105" t="n">
        <f aca="false">IF(ABS(C443-D443)&lt;=0.000000001*ABS(D443)+0.000000000001,0,1)</f>
        <v>0</v>
      </c>
    </row>
    <row r="444" customFormat="false" ht="15" hidden="false" customHeight="false" outlineLevel="0" collapsed="false">
      <c r="A444" s="62" t="s">
        <v>3171</v>
      </c>
      <c r="B444" s="62" t="s">
        <v>3119</v>
      </c>
      <c r="C444" s="98" t="n">
        <f aca="false">Spec_Rack!F11</f>
        <v>7.8</v>
      </c>
      <c r="D444" s="61" t="n">
        <v>7.8</v>
      </c>
      <c r="E444" s="105" t="n">
        <f aca="false">IF(ABS(C444-D444)&lt;=0.000000001*ABS(D444)+0.000000000001,0,1)</f>
        <v>0</v>
      </c>
    </row>
    <row r="445" customFormat="false" ht="15" hidden="false" customHeight="false" outlineLevel="0" collapsed="false">
      <c r="A445" s="62" t="s">
        <v>3171</v>
      </c>
      <c r="B445" s="62" t="s">
        <v>3180</v>
      </c>
      <c r="C445" s="98" t="n">
        <f aca="false">Spec_Rack!C12</f>
        <v>1.1</v>
      </c>
      <c r="D445" s="61" t="n">
        <v>1.1</v>
      </c>
      <c r="E445" s="105" t="n">
        <f aca="false">IF(ABS(C445-D445)&lt;=0.000000001*ABS(D445)+0.000000000001,0,1)</f>
        <v>0</v>
      </c>
    </row>
    <row r="446" customFormat="false" ht="15" hidden="false" customHeight="false" outlineLevel="0" collapsed="false">
      <c r="A446" s="62" t="s">
        <v>3171</v>
      </c>
      <c r="B446" s="62" t="s">
        <v>3181</v>
      </c>
      <c r="C446" s="98" t="n">
        <f aca="false">Spec_Rack!D12</f>
        <v>3.1</v>
      </c>
      <c r="D446" s="61" t="n">
        <v>3.1</v>
      </c>
      <c r="E446" s="105" t="n">
        <f aca="false">IF(ABS(C446-D446)&lt;=0.000000001*ABS(D446)+0.000000000001,0,1)</f>
        <v>0</v>
      </c>
    </row>
    <row r="447" customFormat="false" ht="15" hidden="false" customHeight="false" outlineLevel="0" collapsed="false">
      <c r="A447" s="62" t="s">
        <v>3171</v>
      </c>
      <c r="B447" s="62" t="s">
        <v>3182</v>
      </c>
      <c r="C447" s="98" t="n">
        <f aca="false">Spec_Rack!E12</f>
        <v>4.3</v>
      </c>
      <c r="D447" s="61" t="n">
        <v>4.3</v>
      </c>
      <c r="E447" s="105" t="n">
        <f aca="false">IF(ABS(C447-D447)&lt;=0.000000001*ABS(D447)+0.000000000001,0,1)</f>
        <v>0</v>
      </c>
    </row>
    <row r="448" customFormat="false" ht="15" hidden="false" customHeight="false" outlineLevel="0" collapsed="false">
      <c r="A448" s="62" t="s">
        <v>3171</v>
      </c>
      <c r="B448" s="62" t="s">
        <v>3183</v>
      </c>
      <c r="C448" s="98" t="n">
        <f aca="false">Spec_Rack!F12</f>
        <v>8.4</v>
      </c>
      <c r="D448" s="61" t="n">
        <v>8.4</v>
      </c>
      <c r="E448" s="105" t="n">
        <f aca="false">IF(ABS(C448-D448)&lt;=0.000000001*ABS(D448)+0.000000000001,0,1)</f>
        <v>0</v>
      </c>
    </row>
    <row r="449" customFormat="false" ht="15" hidden="false" customHeight="false" outlineLevel="0" collapsed="false">
      <c r="A449" s="62" t="s">
        <v>3171</v>
      </c>
      <c r="B449" s="62" t="s">
        <v>3184</v>
      </c>
      <c r="C449" s="98" t="n">
        <f aca="false">Spec_Rack!C13</f>
        <v>1.3</v>
      </c>
      <c r="D449" s="61" t="n">
        <v>1.3</v>
      </c>
      <c r="E449" s="105" t="n">
        <f aca="false">IF(ABS(C449-D449)&lt;=0.000000001*ABS(D449)+0.000000000001,0,1)</f>
        <v>0</v>
      </c>
    </row>
    <row r="450" customFormat="false" ht="15" hidden="false" customHeight="false" outlineLevel="0" collapsed="false">
      <c r="A450" s="62" t="s">
        <v>3171</v>
      </c>
      <c r="B450" s="62" t="s">
        <v>3185</v>
      </c>
      <c r="C450" s="98" t="n">
        <f aca="false">Spec_Rack!F13</f>
        <v>9.1</v>
      </c>
      <c r="D450" s="61" t="n">
        <v>9.1</v>
      </c>
      <c r="E450" s="105" t="n">
        <f aca="false">IF(ABS(C450-D450)&lt;=0.000000001*ABS(D450)+0.000000000001,0,1)</f>
        <v>0</v>
      </c>
    </row>
    <row r="451" customFormat="false" ht="15" hidden="false" customHeight="false" outlineLevel="0" collapsed="false">
      <c r="A451" s="62" t="s">
        <v>3171</v>
      </c>
      <c r="B451" s="62" t="s">
        <v>3186</v>
      </c>
      <c r="C451" s="94" t="n">
        <f aca="false">Spec_Rack!G23</f>
        <v>70</v>
      </c>
      <c r="D451" s="61" t="n">
        <v>70</v>
      </c>
      <c r="E451" s="105" t="n">
        <f aca="false">IF(ABS(C451-D451)&lt;=0.000000001*ABS(D451)+0.000000000001,0,1)</f>
        <v>0</v>
      </c>
    </row>
    <row r="452" customFormat="false" ht="15" hidden="false" customHeight="false" outlineLevel="0" collapsed="false">
      <c r="A452" s="62" t="s">
        <v>3171</v>
      </c>
      <c r="B452" s="62" t="s">
        <v>3187</v>
      </c>
      <c r="C452" s="94" t="n">
        <f aca="false">Spec_Rack!G24</f>
        <v>100</v>
      </c>
      <c r="D452" s="61" t="n">
        <v>100</v>
      </c>
      <c r="E452" s="105" t="n">
        <f aca="false">IF(ABS(C452-D452)&lt;=0.000000001*ABS(D452)+0.000000000001,0,1)</f>
        <v>0</v>
      </c>
    </row>
    <row r="453" customFormat="false" ht="15" hidden="false" customHeight="false" outlineLevel="0" collapsed="false">
      <c r="A453" s="62" t="s">
        <v>3171</v>
      </c>
      <c r="B453" s="62" t="s">
        <v>3188</v>
      </c>
      <c r="C453" s="63" t="n">
        <f aca="false">Spec_Rack!D25</f>
        <v>186</v>
      </c>
      <c r="D453" s="61" t="n">
        <v>186</v>
      </c>
      <c r="E453" s="105" t="n">
        <f aca="false">IF(ABS(C453-D453)&lt;=0.000000001*ABS(D453)+0.000000000001,0,1)</f>
        <v>0</v>
      </c>
    </row>
    <row r="454" customFormat="false" ht="15" hidden="false" customHeight="false" outlineLevel="0" collapsed="false">
      <c r="A454" s="62" t="s">
        <v>3171</v>
      </c>
      <c r="B454" s="62" t="s">
        <v>3189</v>
      </c>
      <c r="C454" s="63" t="n">
        <f aca="false">Spec_Rack!G25</f>
        <v>1024</v>
      </c>
      <c r="D454" s="61" t="n">
        <v>1024</v>
      </c>
      <c r="E454" s="105" t="n">
        <f aca="false">IF(ABS(C454-D454)&lt;=0.000000001*ABS(D454)+0.000000000001,0,1)</f>
        <v>0</v>
      </c>
    </row>
    <row r="455" customFormat="false" ht="15" hidden="false" customHeight="false" outlineLevel="0" collapsed="false">
      <c r="A455" s="62" t="s">
        <v>3171</v>
      </c>
      <c r="B455" s="62" t="s">
        <v>3190</v>
      </c>
      <c r="C455" s="95" t="n">
        <f aca="false">Spec_Rack!G26</f>
        <v>32</v>
      </c>
      <c r="D455" s="61" t="n">
        <v>32</v>
      </c>
      <c r="E455" s="105" t="n">
        <f aca="false">IF(ABS(C455-D455)&lt;=0.000000001*ABS(D455)+0.000000000001,0,1)</f>
        <v>0</v>
      </c>
    </row>
    <row r="456" customFormat="false" ht="15" hidden="false" customHeight="false" outlineLevel="0" collapsed="false">
      <c r="A456" s="62" t="s">
        <v>3171</v>
      </c>
      <c r="B456" s="62" t="s">
        <v>3191</v>
      </c>
      <c r="C456" s="95" t="n">
        <f aca="false">Spec_Rack!G27</f>
        <v>1.8</v>
      </c>
      <c r="D456" s="61" t="n">
        <v>1.8</v>
      </c>
      <c r="E456" s="105" t="n">
        <f aca="false">IF(ABS(C456-D456)&lt;=0.000000001*ABS(D456)+0.000000000001,0,1)</f>
        <v>0</v>
      </c>
    </row>
    <row r="457" customFormat="false" ht="15" hidden="false" customHeight="false" outlineLevel="0" collapsed="false">
      <c r="A457" s="62" t="s">
        <v>3171</v>
      </c>
      <c r="B457" s="62" t="s">
        <v>3192</v>
      </c>
      <c r="C457" s="63" t="n">
        <f aca="false">Spec_Rack!C29</f>
        <v>64</v>
      </c>
      <c r="D457" s="61" t="n">
        <v>64</v>
      </c>
      <c r="E457" s="105" t="n">
        <f aca="false">IF(ABS(C457-D457)&lt;=0.000000001*ABS(D457)+0.000000000001,0,1)</f>
        <v>0</v>
      </c>
    </row>
    <row r="458" customFormat="false" ht="15" hidden="false" customHeight="false" outlineLevel="0" collapsed="false">
      <c r="A458" s="62" t="s">
        <v>3171</v>
      </c>
      <c r="B458" s="62" t="s">
        <v>3193</v>
      </c>
      <c r="C458" s="63" t="n">
        <f aca="false">Spec_Rack!D29</f>
        <v>32</v>
      </c>
      <c r="D458" s="61" t="n">
        <v>32</v>
      </c>
      <c r="E458" s="105" t="n">
        <f aca="false">IF(ABS(C458-D458)&lt;=0.000000001*ABS(D458)+0.000000000001,0,1)</f>
        <v>0</v>
      </c>
    </row>
    <row r="459" customFormat="false" ht="15" hidden="false" customHeight="false" outlineLevel="0" collapsed="false">
      <c r="A459" s="62" t="s">
        <v>3171</v>
      </c>
      <c r="B459" s="62" t="s">
        <v>3194</v>
      </c>
      <c r="C459" s="63" t="n">
        <f aca="false">Spec_Rack!F29</f>
        <v>32</v>
      </c>
      <c r="D459" s="61" t="n">
        <v>32</v>
      </c>
      <c r="E459" s="105" t="n">
        <f aca="false">IF(ABS(C459-D459)&lt;=0.000000001*ABS(D459)+0.000000000001,0,1)</f>
        <v>0</v>
      </c>
    </row>
    <row r="460" customFormat="false" ht="15" hidden="false" customHeight="false" outlineLevel="0" collapsed="false">
      <c r="A460" s="62" t="s">
        <v>3171</v>
      </c>
      <c r="B460" s="62" t="s">
        <v>3195</v>
      </c>
      <c r="C460" s="63" t="n">
        <f aca="false">Spec_Rack!G29</f>
        <v>64</v>
      </c>
      <c r="D460" s="61" t="n">
        <v>64</v>
      </c>
      <c r="E460" s="105" t="n">
        <f aca="false">IF(ABS(C460-D460)&lt;=0.000000001*ABS(D460)+0.000000000001,0,1)</f>
        <v>0</v>
      </c>
    </row>
    <row r="461" customFormat="false" ht="15" hidden="false" customHeight="false" outlineLevel="0" collapsed="false">
      <c r="A461" s="62" t="s">
        <v>3171</v>
      </c>
      <c r="B461" s="62" t="s">
        <v>3196</v>
      </c>
      <c r="C461" s="97" t="n">
        <f aca="false">Spec_Rack!C31</f>
        <v>1</v>
      </c>
      <c r="D461" s="61" t="n">
        <v>1</v>
      </c>
      <c r="E461" s="105" t="n">
        <f aca="false">IF(ABS(C461-D461)&lt;=0.000000001*ABS(D461)+0.000000000001,0,1)</f>
        <v>0</v>
      </c>
    </row>
    <row r="462" customFormat="false" ht="15" hidden="false" customHeight="false" outlineLevel="0" collapsed="false">
      <c r="A462" s="62" t="s">
        <v>3171</v>
      </c>
      <c r="B462" s="62" t="s">
        <v>3150</v>
      </c>
      <c r="C462" s="97" t="n">
        <f aca="false">Spec_Rack!D31</f>
        <v>1</v>
      </c>
      <c r="D462" s="61" t="n">
        <v>1</v>
      </c>
      <c r="E462" s="105" t="n">
        <f aca="false">IF(ABS(C462-D462)&lt;=0.000000001*ABS(D462)+0.000000000001,0,1)</f>
        <v>0</v>
      </c>
    </row>
    <row r="463" customFormat="false" ht="15" hidden="false" customHeight="false" outlineLevel="0" collapsed="false">
      <c r="A463" s="62" t="s">
        <v>3171</v>
      </c>
      <c r="B463" s="62" t="s">
        <v>3151</v>
      </c>
      <c r="C463" s="97" t="n">
        <f aca="false">Spec_Rack!E31</f>
        <v>1</v>
      </c>
      <c r="D463" s="61" t="n">
        <v>1</v>
      </c>
      <c r="E463" s="105" t="n">
        <f aca="false">IF(ABS(C463-D463)&lt;=0.000000001*ABS(D463)+0.000000000001,0,1)</f>
        <v>0</v>
      </c>
    </row>
    <row r="464" customFormat="false" ht="15" hidden="false" customHeight="false" outlineLevel="0" collapsed="false">
      <c r="A464" s="62" t="s">
        <v>3171</v>
      </c>
      <c r="B464" s="62" t="s">
        <v>3152</v>
      </c>
      <c r="C464" s="97" t="n">
        <f aca="false">Spec_Rack!F31</f>
        <v>1</v>
      </c>
      <c r="D464" s="61" t="n">
        <v>1</v>
      </c>
      <c r="E464" s="105" t="n">
        <f aca="false">IF(ABS(C464-D464)&lt;=0.000000001*ABS(D464)+0.000000000001,0,1)</f>
        <v>0</v>
      </c>
    </row>
    <row r="465" customFormat="false" ht="15" hidden="false" customHeight="false" outlineLevel="0" collapsed="false">
      <c r="A465" s="62" t="s">
        <v>3171</v>
      </c>
      <c r="B465" s="62" t="s">
        <v>3197</v>
      </c>
      <c r="C465" s="97" t="n">
        <f aca="false">Spec_Rack!G31</f>
        <v>1</v>
      </c>
      <c r="D465" s="61" t="n">
        <v>1</v>
      </c>
      <c r="E465" s="105" t="n">
        <f aca="false">IF(ABS(C465-D465)&lt;=0.000000001*ABS(D465)+0.000000000001,0,1)</f>
        <v>0</v>
      </c>
    </row>
    <row r="466" customFormat="false" ht="15" hidden="false" customHeight="false" outlineLevel="0" collapsed="false">
      <c r="A466" s="62" t="s">
        <v>3171</v>
      </c>
      <c r="B466" s="62" t="s">
        <v>3198</v>
      </c>
      <c r="C466" s="63" t="n">
        <f aca="false">Spec_Rack!C32</f>
        <v>8</v>
      </c>
      <c r="D466" s="61" t="n">
        <v>8</v>
      </c>
      <c r="E466" s="105" t="n">
        <f aca="false">IF(ABS(C466-D466)&lt;=0.000000001*ABS(D466)+0.000000000001,0,1)</f>
        <v>0</v>
      </c>
    </row>
    <row r="467" customFormat="false" ht="15" hidden="false" customHeight="false" outlineLevel="0" collapsed="false">
      <c r="A467" s="62" t="s">
        <v>3171</v>
      </c>
      <c r="B467" s="62" t="s">
        <v>3153</v>
      </c>
      <c r="C467" s="63" t="n">
        <f aca="false">Spec_Rack!D32</f>
        <v>4</v>
      </c>
      <c r="D467" s="61" t="n">
        <v>4</v>
      </c>
      <c r="E467" s="105" t="n">
        <f aca="false">IF(ABS(C467-D467)&lt;=0.000000001*ABS(D467)+0.000000000001,0,1)</f>
        <v>0</v>
      </c>
    </row>
    <row r="468" customFormat="false" ht="15" hidden="false" customHeight="false" outlineLevel="0" collapsed="false">
      <c r="A468" s="62" t="s">
        <v>3171</v>
      </c>
      <c r="B468" s="62" t="s">
        <v>3155</v>
      </c>
      <c r="C468" s="63" t="n">
        <f aca="false">Spec_Rack!F32</f>
        <v>4</v>
      </c>
      <c r="D468" s="61" t="n">
        <v>4</v>
      </c>
      <c r="E468" s="105" t="n">
        <f aca="false">IF(ABS(C468-D468)&lt;=0.000000001*ABS(D468)+0.000000000001,0,1)</f>
        <v>0</v>
      </c>
    </row>
    <row r="469" customFormat="false" ht="15" hidden="false" customHeight="false" outlineLevel="0" collapsed="false">
      <c r="A469" s="62" t="s">
        <v>3171</v>
      </c>
      <c r="B469" s="62" t="s">
        <v>3199</v>
      </c>
      <c r="C469" s="63" t="n">
        <f aca="false">Spec_Rack!G32</f>
        <v>8</v>
      </c>
      <c r="D469" s="61" t="n">
        <v>8</v>
      </c>
      <c r="E469" s="105" t="n">
        <f aca="false">IF(ABS(C469-D469)&lt;=0.000000001*ABS(D469)+0.000000000001,0,1)</f>
        <v>0</v>
      </c>
    </row>
    <row r="470" customFormat="false" ht="15" hidden="false" customHeight="false" outlineLevel="0" collapsed="false">
      <c r="A470" s="62" t="s">
        <v>3171</v>
      </c>
      <c r="B470" s="62" t="s">
        <v>3200</v>
      </c>
      <c r="C470" s="94" t="n">
        <f aca="false">Spec_Rack!G40</f>
        <v>35</v>
      </c>
      <c r="D470" s="61" t="n">
        <v>35</v>
      </c>
      <c r="E470" s="105" t="n">
        <f aca="false">IF(ABS(C470-D470)&lt;=0.000000001*ABS(D470)+0.000000000001,0,1)</f>
        <v>0</v>
      </c>
    </row>
    <row r="471" customFormat="false" ht="15" hidden="false" customHeight="false" outlineLevel="0" collapsed="false">
      <c r="A471" s="62" t="s">
        <v>3171</v>
      </c>
      <c r="B471" s="62" t="s">
        <v>3201</v>
      </c>
      <c r="C471" s="97" t="n">
        <f aca="false">Spec_Rack!C44</f>
        <v>1</v>
      </c>
      <c r="D471" s="61" t="n">
        <v>1</v>
      </c>
      <c r="E471" s="105" t="n">
        <f aca="false">IF(ABS(C471-D471)&lt;=0.000000001*ABS(D471)+0.000000000001,0,1)</f>
        <v>0</v>
      </c>
    </row>
    <row r="472" customFormat="false" ht="15" hidden="false" customHeight="false" outlineLevel="0" collapsed="false">
      <c r="A472" s="62" t="s">
        <v>3171</v>
      </c>
      <c r="B472" s="62" t="s">
        <v>3202</v>
      </c>
      <c r="C472" s="97" t="n">
        <f aca="false">Spec_Rack!D44</f>
        <v>1</v>
      </c>
      <c r="D472" s="61" t="n">
        <v>1</v>
      </c>
      <c r="E472" s="105" t="n">
        <f aca="false">IF(ABS(C472-D472)&lt;=0.000000001*ABS(D472)+0.000000000001,0,1)</f>
        <v>0</v>
      </c>
    </row>
    <row r="473" customFormat="false" ht="15" hidden="false" customHeight="false" outlineLevel="0" collapsed="false">
      <c r="A473" s="62" t="s">
        <v>3171</v>
      </c>
      <c r="B473" s="62" t="s">
        <v>3203</v>
      </c>
      <c r="C473" s="97" t="n">
        <f aca="false">Spec_Rack!E44</f>
        <v>1</v>
      </c>
      <c r="D473" s="61" t="n">
        <v>1</v>
      </c>
      <c r="E473" s="105" t="n">
        <f aca="false">IF(ABS(C473-D473)&lt;=0.000000001*ABS(D473)+0.000000000001,0,1)</f>
        <v>0</v>
      </c>
    </row>
    <row r="474" customFormat="false" ht="15" hidden="false" customHeight="false" outlineLevel="0" collapsed="false">
      <c r="A474" s="62" t="s">
        <v>3171</v>
      </c>
      <c r="B474" s="62" t="s">
        <v>3204</v>
      </c>
      <c r="C474" s="97" t="n">
        <f aca="false">Spec_Rack!F44</f>
        <v>1</v>
      </c>
      <c r="D474" s="61" t="n">
        <v>1</v>
      </c>
      <c r="E474" s="105" t="n">
        <f aca="false">IF(ABS(C474-D474)&lt;=0.000000001*ABS(D474)+0.000000000001,0,1)</f>
        <v>0</v>
      </c>
    </row>
    <row r="475" customFormat="false" ht="15" hidden="false" customHeight="false" outlineLevel="0" collapsed="false">
      <c r="A475" s="62" t="s">
        <v>3171</v>
      </c>
      <c r="B475" s="62" t="s">
        <v>3205</v>
      </c>
      <c r="C475" s="97" t="n">
        <f aca="false">Spec_Rack!G44</f>
        <v>1</v>
      </c>
      <c r="D475" s="61" t="n">
        <v>1</v>
      </c>
      <c r="E475" s="105" t="n">
        <f aca="false">IF(ABS(C475-D475)&lt;=0.000000001*ABS(D475)+0.000000000001,0,1)</f>
        <v>0</v>
      </c>
    </row>
    <row r="476" customFormat="false" ht="15" hidden="false" customHeight="false" outlineLevel="0" collapsed="false">
      <c r="A476" s="62" t="s">
        <v>3171</v>
      </c>
      <c r="B476" s="62" t="s">
        <v>3206</v>
      </c>
      <c r="C476" s="97" t="n">
        <f aca="false">Spec_Rack!C49</f>
        <v>1.5</v>
      </c>
      <c r="D476" s="61" t="n">
        <v>1.5</v>
      </c>
      <c r="E476" s="105" t="n">
        <f aca="false">IF(ABS(C476-D476)&lt;=0.000000001*ABS(D476)+0.000000000001,0,1)</f>
        <v>0</v>
      </c>
    </row>
    <row r="477" customFormat="false" ht="15" hidden="false" customHeight="false" outlineLevel="0" collapsed="false">
      <c r="A477" s="62" t="s">
        <v>3171</v>
      </c>
      <c r="B477" s="62" t="s">
        <v>3207</v>
      </c>
      <c r="C477" s="97" t="n">
        <f aca="false">Spec_Rack!C50</f>
        <v>2.5</v>
      </c>
      <c r="D477" s="61" t="n">
        <v>2.5</v>
      </c>
      <c r="E477" s="105" t="n">
        <f aca="false">IF(ABS(C477-D477)&lt;=0.000000001*ABS(D477)+0.000000000001,0,1)</f>
        <v>0</v>
      </c>
    </row>
    <row r="478" customFormat="false" ht="15" hidden="false" customHeight="false" outlineLevel="0" collapsed="false">
      <c r="A478" s="62" t="s">
        <v>3208</v>
      </c>
      <c r="B478" s="62" t="s">
        <v>3109</v>
      </c>
      <c r="C478" s="63" t="n">
        <f aca="false">Arch!E6</f>
        <v>4000</v>
      </c>
      <c r="D478" s="61" t="n">
        <v>4000</v>
      </c>
      <c r="E478" s="105" t="n">
        <f aca="false">IF(ABS(C478-D478)&lt;=0.000000001*ABS(D478)+0.000000000001,0,1)</f>
        <v>0</v>
      </c>
    </row>
    <row r="479" customFormat="false" ht="15" hidden="false" customHeight="false" outlineLevel="0" collapsed="false">
      <c r="A479" s="62" t="s">
        <v>3208</v>
      </c>
      <c r="B479" s="62" t="s">
        <v>3209</v>
      </c>
      <c r="C479" s="63" t="n">
        <f aca="false">Arch!E7</f>
        <v>180</v>
      </c>
      <c r="D479" s="61" t="n">
        <v>180</v>
      </c>
      <c r="E479" s="105" t="n">
        <f aca="false">IF(ABS(C479-D479)&lt;=0.000000001*ABS(D479)+0.000000000001,0,1)</f>
        <v>0</v>
      </c>
    </row>
    <row r="480" customFormat="false" ht="15" hidden="false" customHeight="false" outlineLevel="0" collapsed="false">
      <c r="A480" s="62" t="s">
        <v>3208</v>
      </c>
      <c r="B480" s="62" t="s">
        <v>3110</v>
      </c>
      <c r="C480" s="63" t="n">
        <f aca="false">Arch!E8</f>
        <v>100</v>
      </c>
      <c r="D480" s="61" t="n">
        <v>100</v>
      </c>
      <c r="E480" s="105" t="n">
        <f aca="false">IF(ABS(C480-D480)&lt;=0.000000001*ABS(D480)+0.000000000001,0,1)</f>
        <v>0</v>
      </c>
    </row>
    <row r="481" customFormat="false" ht="15" hidden="false" customHeight="false" outlineLevel="0" collapsed="false">
      <c r="A481" s="62" t="s">
        <v>3208</v>
      </c>
      <c r="B481" s="62" t="s">
        <v>3112</v>
      </c>
      <c r="C481" s="63" t="n">
        <f aca="false">Arch!E9</f>
        <v>12288</v>
      </c>
      <c r="D481" s="61" t="n">
        <v>12288</v>
      </c>
      <c r="E481" s="105" t="n">
        <f aca="false">IF(ABS(C481-D481)&lt;=0.000000001*ABS(D481)+0.000000000001,0,1)</f>
        <v>0</v>
      </c>
    </row>
    <row r="482" customFormat="false" ht="15" hidden="false" customHeight="false" outlineLevel="0" collapsed="false">
      <c r="A482" s="62" t="s">
        <v>3208</v>
      </c>
      <c r="B482" s="62" t="s">
        <v>3115</v>
      </c>
      <c r="C482" s="63" t="n">
        <f aca="false">Arch!E10</f>
        <v>96</v>
      </c>
      <c r="D482" s="61" t="n">
        <v>96</v>
      </c>
      <c r="E482" s="105" t="n">
        <f aca="false">IF(ABS(C482-D482)&lt;=0.000000001*ABS(D482)+0.000000000001,0,1)</f>
        <v>0</v>
      </c>
    </row>
    <row r="483" customFormat="false" ht="15" hidden="false" customHeight="false" outlineLevel="0" collapsed="false">
      <c r="A483" s="62" t="s">
        <v>3208</v>
      </c>
      <c r="B483" s="62" t="s">
        <v>3118</v>
      </c>
      <c r="C483" s="63" t="n">
        <f aca="false">Arch!E11</f>
        <v>128</v>
      </c>
      <c r="D483" s="61" t="n">
        <v>128</v>
      </c>
      <c r="E483" s="105" t="n">
        <f aca="false">IF(ABS(C483-D483)&lt;=0.000000001*ABS(D483)+0.000000000001,0,1)</f>
        <v>0</v>
      </c>
    </row>
    <row r="484" customFormat="false" ht="15" hidden="false" customHeight="false" outlineLevel="0" collapsed="false">
      <c r="A484" s="62" t="s">
        <v>3208</v>
      </c>
      <c r="B484" s="62" t="s">
        <v>3182</v>
      </c>
      <c r="C484" s="63" t="n">
        <f aca="false">Arch!E12</f>
        <v>512</v>
      </c>
      <c r="D484" s="61" t="n">
        <v>512</v>
      </c>
      <c r="E484" s="105" t="n">
        <f aca="false">IF(ABS(C484-D484)&lt;=0.000000001*ABS(D484)+0.000000000001,0,1)</f>
        <v>0</v>
      </c>
    </row>
    <row r="485" customFormat="false" ht="15" hidden="false" customHeight="false" outlineLevel="0" collapsed="false">
      <c r="A485" s="62" t="s">
        <v>3208</v>
      </c>
      <c r="B485" s="62" t="s">
        <v>3121</v>
      </c>
      <c r="C485" s="63" t="n">
        <f aca="false">Arch!E13</f>
        <v>16</v>
      </c>
      <c r="D485" s="61" t="n">
        <v>16</v>
      </c>
      <c r="E485" s="105" t="n">
        <f aca="false">IF(ABS(C485-D485)&lt;=0.000000001*ABS(D485)+0.000000000001,0,1)</f>
        <v>0</v>
      </c>
    </row>
    <row r="486" customFormat="false" ht="15" hidden="false" customHeight="false" outlineLevel="0" collapsed="false">
      <c r="A486" s="62" t="s">
        <v>3208</v>
      </c>
      <c r="B486" s="62" t="s">
        <v>3123</v>
      </c>
      <c r="C486" s="63" t="n">
        <f aca="false">Arch!E14</f>
        <v>1</v>
      </c>
      <c r="D486" s="61" t="n">
        <v>1</v>
      </c>
      <c r="E486" s="105" t="n">
        <f aca="false">IF(ABS(C486-D486)&lt;=0.000000001*ABS(D486)+0.000000000001,0,1)</f>
        <v>0</v>
      </c>
    </row>
    <row r="487" customFormat="false" ht="15" hidden="false" customHeight="false" outlineLevel="0" collapsed="false">
      <c r="A487" s="62" t="s">
        <v>3208</v>
      </c>
      <c r="B487" s="62" t="s">
        <v>3126</v>
      </c>
      <c r="C487" s="66" t="n">
        <f aca="false">Arch!E16</f>
        <v>1</v>
      </c>
      <c r="D487" s="61" t="n">
        <v>1</v>
      </c>
      <c r="E487" s="105" t="n">
        <f aca="false">IF(ABS(C487-D487)&lt;=0.000000001*ABS(D487)+0.000000000001,0,1)</f>
        <v>0</v>
      </c>
    </row>
    <row r="488" customFormat="false" ht="15" hidden="false" customHeight="false" outlineLevel="0" collapsed="false">
      <c r="A488" s="62" t="s">
        <v>3208</v>
      </c>
      <c r="B488" s="62" t="s">
        <v>3129</v>
      </c>
      <c r="C488" s="63" t="n">
        <f aca="false">Arch!E17</f>
        <v>0</v>
      </c>
      <c r="D488" s="61" t="n">
        <v>0</v>
      </c>
      <c r="E488" s="105" t="n">
        <f aca="false">IF(ABS(C488-D488)&lt;=0.000000001*ABS(D488)+0.000000000001,0,1)</f>
        <v>0</v>
      </c>
    </row>
    <row r="489" customFormat="false" ht="15" hidden="false" customHeight="false" outlineLevel="0" collapsed="false">
      <c r="A489" s="62" t="s">
        <v>3208</v>
      </c>
      <c r="B489" s="62" t="s">
        <v>3132</v>
      </c>
      <c r="C489" s="63" t="n">
        <f aca="false">Arch!E18</f>
        <v>1</v>
      </c>
      <c r="D489" s="61" t="n">
        <v>1</v>
      </c>
      <c r="E489" s="105" t="n">
        <f aca="false">IF(ABS(C489-D489)&lt;=0.000000001*ABS(D489)+0.000000000001,0,1)</f>
        <v>0</v>
      </c>
    </row>
    <row r="490" customFormat="false" ht="15" hidden="false" customHeight="false" outlineLevel="0" collapsed="false">
      <c r="A490" s="62" t="s">
        <v>3208</v>
      </c>
      <c r="B490" s="62" t="s">
        <v>3135</v>
      </c>
      <c r="C490" s="63" t="n">
        <f aca="false">Arch!E19</f>
        <v>0</v>
      </c>
      <c r="D490" s="61" t="n">
        <v>0</v>
      </c>
      <c r="E490" s="105" t="n">
        <f aca="false">IF(ABS(C490-D490)&lt;=0.000000001*ABS(D490)+0.000000000001,0,1)</f>
        <v>0</v>
      </c>
    </row>
    <row r="491" customFormat="false" ht="15" hidden="false" customHeight="false" outlineLevel="0" collapsed="false">
      <c r="A491" s="62" t="s">
        <v>3208</v>
      </c>
      <c r="B491" s="62" t="s">
        <v>3138</v>
      </c>
      <c r="C491" s="90" t="n">
        <f aca="false">Arch!E20</f>
        <v>2</v>
      </c>
      <c r="D491" s="61" t="n">
        <v>2</v>
      </c>
      <c r="E491" s="105" t="n">
        <f aca="false">IF(ABS(C491-D491)&lt;=0.000000001*ABS(D491)+0.000000000001,0,1)</f>
        <v>0</v>
      </c>
    </row>
    <row r="492" customFormat="false" ht="15" hidden="false" customHeight="false" outlineLevel="0" collapsed="false">
      <c r="A492" s="62" t="s">
        <v>3208</v>
      </c>
      <c r="B492" s="62" t="s">
        <v>3210</v>
      </c>
      <c r="C492" s="63" t="n">
        <f aca="false">Arch!C34</f>
        <v>65</v>
      </c>
      <c r="D492" s="61" t="n">
        <v>65</v>
      </c>
      <c r="E492" s="105" t="n">
        <f aca="false">IF(ABS(C492-D492)&lt;=0.000000001*ABS(D492)+0.000000000001,0,1)</f>
        <v>0</v>
      </c>
    </row>
    <row r="493" customFormat="false" ht="15" hidden="false" customHeight="false" outlineLevel="0" collapsed="false">
      <c r="A493" s="62" t="s">
        <v>3208</v>
      </c>
      <c r="B493" s="62" t="s">
        <v>3159</v>
      </c>
      <c r="C493" s="63" t="n">
        <f aca="false">Arch!D34</f>
        <v>65</v>
      </c>
      <c r="D493" s="61" t="n">
        <v>65</v>
      </c>
      <c r="E493" s="105" t="n">
        <f aca="false">IF(ABS(C493-D493)&lt;=0.000000001*ABS(D493)+0.000000000001,0,1)</f>
        <v>0</v>
      </c>
    </row>
    <row r="494" customFormat="false" ht="15" hidden="false" customHeight="false" outlineLevel="0" collapsed="false">
      <c r="A494" s="62" t="s">
        <v>3208</v>
      </c>
      <c r="B494" s="62" t="s">
        <v>3163</v>
      </c>
      <c r="C494" s="63" t="n">
        <f aca="false">Arch!E35</f>
        <v>576</v>
      </c>
      <c r="D494" s="61" t="n">
        <v>576</v>
      </c>
      <c r="E494" s="105" t="n">
        <f aca="false">IF(ABS(C494-D494)&lt;=0.000000001*ABS(D494)+0.000000000001,0,1)</f>
        <v>0</v>
      </c>
    </row>
    <row r="495" customFormat="false" ht="15" hidden="false" customHeight="false" outlineLevel="0" collapsed="false">
      <c r="A495" s="62" t="s">
        <v>3208</v>
      </c>
      <c r="B495" s="62" t="s">
        <v>3211</v>
      </c>
      <c r="C495" s="66" t="n">
        <f aca="false">Arch!E36</f>
        <v>0.26</v>
      </c>
      <c r="D495" s="61" t="n">
        <v>0.26</v>
      </c>
      <c r="E495" s="105" t="n">
        <f aca="false">IF(ABS(C495-D495)&lt;=0.000000001*ABS(D495)+0.000000000001,0,1)</f>
        <v>0</v>
      </c>
    </row>
    <row r="496" customFormat="false" ht="15" hidden="false" customHeight="false" outlineLevel="0" collapsed="false">
      <c r="A496" s="62" t="s">
        <v>3208</v>
      </c>
      <c r="B496" s="62" t="s">
        <v>3166</v>
      </c>
      <c r="C496" s="63" t="n">
        <f aca="false">Arch!E37</f>
        <v>8</v>
      </c>
      <c r="D496" s="61" t="n">
        <v>8</v>
      </c>
      <c r="E496" s="105" t="n">
        <f aca="false">IF(ABS(C496-D496)&lt;=0.000000001*ABS(D496)+0.000000000001,0,1)</f>
        <v>0</v>
      </c>
    </row>
    <row r="497" customFormat="false" ht="15" hidden="false" customHeight="false" outlineLevel="0" collapsed="false">
      <c r="A497" s="62" t="s">
        <v>3212</v>
      </c>
      <c r="B497" s="62" t="s">
        <v>3172</v>
      </c>
      <c r="C497" s="90" t="n">
        <f aca="false">Serving!C6</f>
        <v>3</v>
      </c>
      <c r="D497" s="61" t="n">
        <v>3</v>
      </c>
      <c r="E497" s="105" t="n">
        <f aca="false">IF(ABS(C497-D497)&lt;=0.000000001*ABS(D497)+0.000000000001,0,1)</f>
        <v>0</v>
      </c>
    </row>
    <row r="498" customFormat="false" ht="15" hidden="false" customHeight="false" outlineLevel="0" collapsed="false">
      <c r="A498" s="62" t="s">
        <v>3212</v>
      </c>
      <c r="B498" s="62" t="s">
        <v>3175</v>
      </c>
      <c r="C498" s="66" t="n">
        <f aca="false">Serving!C9</f>
        <v>0.1</v>
      </c>
      <c r="D498" s="61" t="n">
        <v>0.1</v>
      </c>
      <c r="E498" s="105" t="n">
        <f aca="false">IF(ABS(C498-D498)&lt;=0.000000001*ABS(D498)+0.000000000001,0,1)</f>
        <v>0</v>
      </c>
    </row>
    <row r="499" customFormat="false" ht="15" hidden="false" customHeight="false" outlineLevel="0" collapsed="false">
      <c r="A499" s="62" t="s">
        <v>3212</v>
      </c>
      <c r="B499" s="62" t="s">
        <v>3177</v>
      </c>
      <c r="C499" s="66" t="n">
        <f aca="false">Serving!C10</f>
        <v>0.2</v>
      </c>
      <c r="D499" s="61" t="n">
        <v>0.2</v>
      </c>
      <c r="E499" s="105" t="n">
        <f aca="false">IF(ABS(C499-D499)&lt;=0.000000001*ABS(D499)+0.000000000001,0,1)</f>
        <v>0</v>
      </c>
    </row>
    <row r="500" customFormat="false" ht="15" hidden="false" customHeight="false" outlineLevel="0" collapsed="false">
      <c r="A500" s="62" t="s">
        <v>3212</v>
      </c>
      <c r="B500" s="62" t="s">
        <v>3179</v>
      </c>
      <c r="C500" s="66" t="n">
        <f aca="false">Serving!C11</f>
        <v>0.4</v>
      </c>
      <c r="D500" s="61" t="n">
        <v>0.4</v>
      </c>
      <c r="E500" s="105" t="n">
        <f aca="false">IF(ABS(C500-D500)&lt;=0.000000001*ABS(D500)+0.000000000001,0,1)</f>
        <v>0</v>
      </c>
    </row>
    <row r="501" customFormat="false" ht="15" hidden="false" customHeight="false" outlineLevel="0" collapsed="false">
      <c r="A501" s="62" t="s">
        <v>3212</v>
      </c>
      <c r="B501" s="62" t="s">
        <v>3180</v>
      </c>
      <c r="C501" s="111" t="n">
        <f aca="false">Serving!C12</f>
        <v>3</v>
      </c>
      <c r="D501" s="61" t="n">
        <v>3</v>
      </c>
      <c r="E501" s="105" t="n">
        <f aca="false">IF(ABS(C501-D501)&lt;=0.000000001*ABS(D501)+0.000000000001,0,1)</f>
        <v>0</v>
      </c>
    </row>
    <row r="502" customFormat="false" ht="15" hidden="false" customHeight="false" outlineLevel="0" collapsed="false">
      <c r="A502" s="62" t="s">
        <v>3212</v>
      </c>
      <c r="B502" s="62" t="s">
        <v>3184</v>
      </c>
      <c r="C502" s="66" t="n">
        <f aca="false">Serving!C13</f>
        <v>0.7</v>
      </c>
      <c r="D502" s="61" t="n">
        <v>0.7</v>
      </c>
      <c r="E502" s="105" t="n">
        <f aca="false">IF(ABS(C502-D502)&lt;=0.000000001*ABS(D502)+0.000000000001,0,1)</f>
        <v>0</v>
      </c>
    </row>
    <row r="503" customFormat="false" ht="15" hidden="false" customHeight="false" outlineLevel="0" collapsed="false">
      <c r="A503" s="62" t="s">
        <v>3212</v>
      </c>
      <c r="B503" s="62" t="s">
        <v>3213</v>
      </c>
      <c r="C503" s="66" t="n">
        <f aca="false">Serving!C14</f>
        <v>0.7</v>
      </c>
      <c r="D503" s="61" t="n">
        <v>0.7</v>
      </c>
      <c r="E503" s="105" t="n">
        <f aca="false">IF(ABS(C503-D503)&lt;=0.000000001*ABS(D503)+0.000000000001,0,1)</f>
        <v>0</v>
      </c>
    </row>
    <row r="504" customFormat="false" ht="15" hidden="false" customHeight="false" outlineLevel="0" collapsed="false">
      <c r="A504" s="62" t="s">
        <v>3212</v>
      </c>
      <c r="B504" s="62" t="s">
        <v>3214</v>
      </c>
      <c r="C504" s="97" t="n">
        <f aca="false">Serving!C15</f>
        <v>0.1</v>
      </c>
      <c r="D504" s="61" t="n">
        <v>0.1</v>
      </c>
      <c r="E504" s="105" t="n">
        <f aca="false">IF(ABS(C504-D504)&lt;=0.000000001*ABS(D504)+0.000000000001,0,1)</f>
        <v>0</v>
      </c>
    </row>
    <row r="505" customFormat="false" ht="15" hidden="false" customHeight="false" outlineLevel="0" collapsed="false">
      <c r="A505" s="62" t="s">
        <v>3212</v>
      </c>
      <c r="B505" s="62" t="s">
        <v>3215</v>
      </c>
      <c r="C505" s="90" t="n">
        <f aca="false">Serving!C16</f>
        <v>1</v>
      </c>
      <c r="D505" s="61" t="n">
        <v>1</v>
      </c>
      <c r="E505" s="105" t="n">
        <f aca="false">IF(ABS(C505-D505)&lt;=0.000000001*ABS(D505)+0.000000000001,0,1)</f>
        <v>0</v>
      </c>
    </row>
    <row r="506" customFormat="false" ht="15" hidden="false" customHeight="false" outlineLevel="0" collapsed="false">
      <c r="A506" s="62" t="s">
        <v>3212</v>
      </c>
      <c r="B506" s="62" t="s">
        <v>3216</v>
      </c>
      <c r="C506" s="66" t="n">
        <f aca="false">Serving!C17</f>
        <v>0.6</v>
      </c>
      <c r="D506" s="61" t="n">
        <v>0.6</v>
      </c>
      <c r="E506" s="105" t="n">
        <f aca="false">IF(ABS(C506-D506)&lt;=0.000000001*ABS(D506)+0.000000000001,0,1)</f>
        <v>0</v>
      </c>
    </row>
    <row r="507" customFormat="false" ht="15" hidden="false" customHeight="false" outlineLevel="0" collapsed="false">
      <c r="A507" s="62" t="s">
        <v>3212</v>
      </c>
      <c r="B507" s="62" t="s">
        <v>3217</v>
      </c>
      <c r="C507" s="97" t="n">
        <f aca="false">Serving!C18</f>
        <v>1</v>
      </c>
      <c r="D507" s="61" t="n">
        <v>1</v>
      </c>
      <c r="E507" s="105" t="n">
        <f aca="false">IF(ABS(C507-D507)&lt;=0.000000001*ABS(D507)+0.000000000001,0,1)</f>
        <v>0</v>
      </c>
    </row>
    <row r="508" customFormat="false" ht="15" hidden="false" customHeight="false" outlineLevel="0" collapsed="false">
      <c r="A508" s="62" t="s">
        <v>3212</v>
      </c>
      <c r="B508" s="62" t="s">
        <v>3218</v>
      </c>
      <c r="C508" s="111" t="n">
        <f aca="false">Serving!C22</f>
        <v>2</v>
      </c>
      <c r="D508" s="61" t="n">
        <v>2</v>
      </c>
      <c r="E508" s="105" t="n">
        <f aca="false">IF(ABS(C508-D508)&lt;=0.000000001*ABS(D508)+0.000000000001,0,1)</f>
        <v>0</v>
      </c>
    </row>
    <row r="509" customFormat="false" ht="15" hidden="false" customHeight="false" outlineLevel="0" collapsed="false">
      <c r="A509" s="62" t="s">
        <v>3212</v>
      </c>
      <c r="B509" s="62" t="s">
        <v>3219</v>
      </c>
      <c r="C509" s="111" t="n">
        <f aca="false">Serving!D22</f>
        <v>3</v>
      </c>
      <c r="D509" s="61" t="n">
        <v>3</v>
      </c>
      <c r="E509" s="105" t="n">
        <f aca="false">IF(ABS(C509-D509)&lt;=0.000000001*ABS(D509)+0.000000000001,0,1)</f>
        <v>0</v>
      </c>
    </row>
    <row r="510" customFormat="false" ht="15" hidden="false" customHeight="false" outlineLevel="0" collapsed="false">
      <c r="A510" s="62" t="s">
        <v>3212</v>
      </c>
      <c r="B510" s="62" t="s">
        <v>3220</v>
      </c>
      <c r="C510" s="111" t="n">
        <f aca="false">Serving!E22</f>
        <v>5</v>
      </c>
      <c r="D510" s="61" t="n">
        <v>5</v>
      </c>
      <c r="E510" s="105" t="n">
        <f aca="false">IF(ABS(C510-D510)&lt;=0.000000001*ABS(D510)+0.000000000001,0,1)</f>
        <v>0</v>
      </c>
    </row>
    <row r="511" customFormat="false" ht="15" hidden="false" customHeight="false" outlineLevel="0" collapsed="false">
      <c r="A511" s="62" t="s">
        <v>3212</v>
      </c>
      <c r="B511" s="62" t="s">
        <v>3221</v>
      </c>
      <c r="C511" s="63" t="n">
        <f aca="false">Serving!C23</f>
        <v>8192</v>
      </c>
      <c r="D511" s="61" t="n">
        <v>8192</v>
      </c>
      <c r="E511" s="105" t="n">
        <f aca="false">IF(ABS(C511-D511)&lt;=0.000000001*ABS(D511)+0.000000000001,0,1)</f>
        <v>0</v>
      </c>
    </row>
    <row r="512" customFormat="false" ht="15" hidden="false" customHeight="false" outlineLevel="0" collapsed="false">
      <c r="A512" s="62" t="s">
        <v>3212</v>
      </c>
      <c r="B512" s="62" t="s">
        <v>3222</v>
      </c>
      <c r="C512" s="63" t="n">
        <f aca="false">Serving!D23</f>
        <v>16384</v>
      </c>
      <c r="D512" s="61" t="n">
        <v>16384</v>
      </c>
      <c r="E512" s="105" t="n">
        <f aca="false">IF(ABS(C512-D512)&lt;=0.000000001*ABS(D512)+0.000000000001,0,1)</f>
        <v>0</v>
      </c>
    </row>
    <row r="513" customFormat="false" ht="15" hidden="false" customHeight="false" outlineLevel="0" collapsed="false">
      <c r="A513" s="62" t="s">
        <v>3212</v>
      </c>
      <c r="B513" s="62" t="s">
        <v>3223</v>
      </c>
      <c r="C513" s="63" t="n">
        <f aca="false">Serving!E23</f>
        <v>32768</v>
      </c>
      <c r="D513" s="61" t="n">
        <v>32768</v>
      </c>
      <c r="E513" s="105" t="n">
        <f aca="false">IF(ABS(C513-D513)&lt;=0.000000001*ABS(D513)+0.000000000001,0,1)</f>
        <v>0</v>
      </c>
    </row>
    <row r="514" customFormat="false" ht="15" hidden="false" customHeight="false" outlineLevel="0" collapsed="false">
      <c r="A514" s="62" t="s">
        <v>3212</v>
      </c>
      <c r="B514" s="62" t="s">
        <v>3224</v>
      </c>
      <c r="C514" s="63" t="n">
        <f aca="false">Serving!C24</f>
        <v>1024</v>
      </c>
      <c r="D514" s="61" t="n">
        <v>1024</v>
      </c>
      <c r="E514" s="105" t="n">
        <f aca="false">IF(ABS(C514-D514)&lt;=0.000000001*ABS(D514)+0.000000000001,0,1)</f>
        <v>0</v>
      </c>
    </row>
    <row r="515" customFormat="false" ht="15" hidden="false" customHeight="false" outlineLevel="0" collapsed="false">
      <c r="A515" s="62" t="s">
        <v>3212</v>
      </c>
      <c r="B515" s="62" t="s">
        <v>3225</v>
      </c>
      <c r="C515" s="63" t="n">
        <f aca="false">Serving!D24</f>
        <v>2048</v>
      </c>
      <c r="D515" s="61" t="n">
        <v>2048</v>
      </c>
      <c r="E515" s="105" t="n">
        <f aca="false">IF(ABS(C515-D515)&lt;=0.000000001*ABS(D515)+0.000000000001,0,1)</f>
        <v>0</v>
      </c>
    </row>
    <row r="516" customFormat="false" ht="15" hidden="false" customHeight="false" outlineLevel="0" collapsed="false">
      <c r="A516" s="62" t="s">
        <v>3212</v>
      </c>
      <c r="B516" s="62" t="s">
        <v>3143</v>
      </c>
      <c r="C516" s="63" t="n">
        <f aca="false">Serving!E24</f>
        <v>4096</v>
      </c>
      <c r="D516" s="61" t="n">
        <v>4096</v>
      </c>
      <c r="E516" s="105" t="n">
        <f aca="false">IF(ABS(C516-D516)&lt;=0.000000001*ABS(D516)+0.000000000001,0,1)</f>
        <v>0</v>
      </c>
    </row>
    <row r="517" customFormat="false" ht="15" hidden="false" customHeight="false" outlineLevel="0" collapsed="false">
      <c r="A517" s="62" t="s">
        <v>3212</v>
      </c>
      <c r="B517" s="62" t="s">
        <v>3226</v>
      </c>
      <c r="C517" s="97" t="n">
        <f aca="false">Serving!C28</f>
        <v>0.85</v>
      </c>
      <c r="D517" s="61" t="n">
        <v>0.85</v>
      </c>
      <c r="E517" s="105" t="n">
        <f aca="false">IF(ABS(C517-D517)&lt;=0.000000001*ABS(D517)+0.000000000001,0,1)</f>
        <v>0</v>
      </c>
    </row>
    <row r="518" customFormat="false" ht="15" hidden="false" customHeight="false" outlineLevel="0" collapsed="false">
      <c r="A518" s="62" t="s">
        <v>3227</v>
      </c>
      <c r="B518" s="62" t="s">
        <v>3228</v>
      </c>
      <c r="C518" s="66" t="n">
        <f aca="false">Calib!C5</f>
        <v>0.3</v>
      </c>
      <c r="D518" s="61" t="n">
        <v>0.3</v>
      </c>
      <c r="E518" s="105" t="n">
        <f aca="false">IF(ABS(C518-D518)&lt;=0.000000001*ABS(D518)+0.000000000001,0,1)</f>
        <v>0</v>
      </c>
    </row>
    <row r="519" customFormat="false" ht="15" hidden="false" customHeight="false" outlineLevel="0" collapsed="false">
      <c r="A519" s="62" t="s">
        <v>3227</v>
      </c>
      <c r="B519" s="62" t="s">
        <v>3177</v>
      </c>
      <c r="C519" s="90" t="n">
        <f aca="false">Calib!C10</f>
        <v>3</v>
      </c>
      <c r="D519" s="61" t="n">
        <v>3</v>
      </c>
      <c r="E519" s="105" t="n">
        <f aca="false">IF(ABS(C519-D519)&lt;=0.000000001*ABS(D519)+0.000000000001,0,1)</f>
        <v>0</v>
      </c>
    </row>
    <row r="520" customFormat="false" ht="15" hidden="false" customHeight="false" outlineLevel="0" collapsed="false">
      <c r="A520" s="62" t="s">
        <v>3227</v>
      </c>
      <c r="B520" s="62" t="s">
        <v>3114</v>
      </c>
      <c r="C520" s="90" t="n">
        <f aca="false">Calib!D10</f>
        <v>3</v>
      </c>
      <c r="D520" s="61" t="n">
        <v>3</v>
      </c>
      <c r="E520" s="105" t="n">
        <f aca="false">IF(ABS(C520-D520)&lt;=0.000000001*ABS(D520)+0.000000000001,0,1)</f>
        <v>0</v>
      </c>
    </row>
    <row r="521" customFormat="false" ht="15" hidden="false" customHeight="false" outlineLevel="0" collapsed="false">
      <c r="A521" s="62" t="s">
        <v>3227</v>
      </c>
      <c r="B521" s="62" t="s">
        <v>3229</v>
      </c>
      <c r="C521" s="97" t="n">
        <f aca="false">Calib!C67</f>
        <v>1.2</v>
      </c>
      <c r="D521" s="61" t="n">
        <v>1.2</v>
      </c>
      <c r="E521" s="105" t="n">
        <f aca="false">IF(ABS(C521-D521)&lt;=0.000000001*ABS(D521)+0.000000000001,0,1)</f>
        <v>0</v>
      </c>
    </row>
    <row r="522" customFormat="false" ht="15" hidden="false" customHeight="false" outlineLevel="0" collapsed="false">
      <c r="A522" s="62" t="s">
        <v>3227</v>
      </c>
      <c r="B522" s="62" t="s">
        <v>3230</v>
      </c>
      <c r="C522" s="97" t="n">
        <f aca="false">Calib!D67</f>
        <v>1</v>
      </c>
      <c r="D522" s="61" t="n">
        <v>1</v>
      </c>
      <c r="E522" s="105" t="n">
        <f aca="false">IF(ABS(C522-D522)&lt;=0.000000001*ABS(D522)+0.000000000001,0,1)</f>
        <v>0</v>
      </c>
    </row>
    <row r="523" customFormat="false" ht="15" hidden="false" customHeight="false" outlineLevel="0" collapsed="false">
      <c r="A523" s="62" t="s">
        <v>3227</v>
      </c>
      <c r="B523" s="62" t="s">
        <v>3231</v>
      </c>
      <c r="C523" s="97" t="n">
        <f aca="false">Calib!E67</f>
        <v>1</v>
      </c>
      <c r="D523" s="61" t="n">
        <v>1</v>
      </c>
      <c r="E523" s="105" t="n">
        <f aca="false">IF(ABS(C523-D523)&lt;=0.000000001*ABS(D523)+0.000000000001,0,1)</f>
        <v>0</v>
      </c>
    </row>
    <row r="524" customFormat="false" ht="15" hidden="false" customHeight="false" outlineLevel="0" collapsed="false">
      <c r="A524" s="62" t="s">
        <v>3227</v>
      </c>
      <c r="B524" s="62" t="s">
        <v>3232</v>
      </c>
      <c r="C524" s="97" t="n">
        <f aca="false">Calib!F67</f>
        <v>1</v>
      </c>
      <c r="D524" s="61" t="n">
        <v>1</v>
      </c>
      <c r="E524" s="105" t="n">
        <f aca="false">IF(ABS(C524-D524)&lt;=0.000000001*ABS(D524)+0.000000000001,0,1)</f>
        <v>0</v>
      </c>
    </row>
    <row r="525" customFormat="false" ht="15" hidden="false" customHeight="false" outlineLevel="0" collapsed="false">
      <c r="A525" s="62" t="s">
        <v>3227</v>
      </c>
      <c r="B525" s="62" t="s">
        <v>3233</v>
      </c>
      <c r="C525" s="97" t="n">
        <f aca="false">Calib!G67</f>
        <v>1</v>
      </c>
      <c r="D525" s="61" t="n">
        <v>1</v>
      </c>
      <c r="E525" s="105" t="n">
        <f aca="false">IF(ABS(C525-D525)&lt;=0.000000001*ABS(D525)+0.000000000001,0,1)</f>
        <v>0</v>
      </c>
    </row>
    <row r="526" customFormat="false" ht="15" hidden="false" customHeight="false" outlineLevel="0" collapsed="false">
      <c r="A526" s="62" t="s">
        <v>3227</v>
      </c>
      <c r="B526" s="62" t="s">
        <v>3234</v>
      </c>
      <c r="C526" s="97" t="n">
        <f aca="false">Calib!C68</f>
        <v>1.5</v>
      </c>
      <c r="D526" s="61" t="n">
        <v>1.5</v>
      </c>
      <c r="E526" s="105" t="n">
        <f aca="false">IF(ABS(C526-D526)&lt;=0.000000001*ABS(D526)+0.000000000001,0,1)</f>
        <v>0</v>
      </c>
    </row>
    <row r="527" customFormat="false" ht="15" hidden="false" customHeight="false" outlineLevel="0" collapsed="false">
      <c r="A527" s="62" t="s">
        <v>3227</v>
      </c>
      <c r="B527" s="62" t="s">
        <v>3235</v>
      </c>
      <c r="C527" s="97" t="n">
        <f aca="false">Calib!D68</f>
        <v>1</v>
      </c>
      <c r="D527" s="61" t="n">
        <v>1</v>
      </c>
      <c r="E527" s="105" t="n">
        <f aca="false">IF(ABS(C527-D527)&lt;=0.000000001*ABS(D527)+0.000000000001,0,1)</f>
        <v>0</v>
      </c>
    </row>
    <row r="528" customFormat="false" ht="15" hidden="false" customHeight="false" outlineLevel="0" collapsed="false">
      <c r="A528" s="62" t="s">
        <v>3227</v>
      </c>
      <c r="B528" s="62" t="s">
        <v>3236</v>
      </c>
      <c r="C528" s="97" t="n">
        <f aca="false">Calib!E68</f>
        <v>1</v>
      </c>
      <c r="D528" s="61" t="n">
        <v>1</v>
      </c>
      <c r="E528" s="105" t="n">
        <f aca="false">IF(ABS(C528-D528)&lt;=0.000000001*ABS(D528)+0.000000000001,0,1)</f>
        <v>0</v>
      </c>
    </row>
    <row r="529" customFormat="false" ht="15" hidden="false" customHeight="false" outlineLevel="0" collapsed="false">
      <c r="A529" s="62" t="s">
        <v>3227</v>
      </c>
      <c r="B529" s="62" t="s">
        <v>3237</v>
      </c>
      <c r="C529" s="97" t="n">
        <f aca="false">Calib!F68</f>
        <v>1</v>
      </c>
      <c r="D529" s="61" t="n">
        <v>1</v>
      </c>
      <c r="E529" s="105" t="n">
        <f aca="false">IF(ABS(C529-D529)&lt;=0.000000001*ABS(D529)+0.000000000001,0,1)</f>
        <v>0</v>
      </c>
    </row>
    <row r="530" customFormat="false" ht="15" hidden="false" customHeight="false" outlineLevel="0" collapsed="false">
      <c r="A530" s="62" t="s">
        <v>3227</v>
      </c>
      <c r="B530" s="62" t="s">
        <v>3238</v>
      </c>
      <c r="C530" s="97" t="n">
        <f aca="false">Calib!G68</f>
        <v>1</v>
      </c>
      <c r="D530" s="61" t="n">
        <v>1</v>
      </c>
      <c r="E530" s="105" t="n">
        <f aca="false">IF(ABS(C530-D530)&lt;=0.000000001*ABS(D530)+0.000000000001,0,1)</f>
        <v>0</v>
      </c>
    </row>
    <row r="531" customFormat="false" ht="15" hidden="false" customHeight="false" outlineLevel="0" collapsed="false">
      <c r="A531" s="62" t="s">
        <v>3227</v>
      </c>
      <c r="B531" s="62" t="s">
        <v>3239</v>
      </c>
      <c r="C531" s="97" t="n">
        <f aca="false">Calib!D69</f>
        <v>1</v>
      </c>
      <c r="D531" s="61" t="n">
        <v>1</v>
      </c>
      <c r="E531" s="105" t="n">
        <f aca="false">IF(ABS(C531-D531)&lt;=0.000000001*ABS(D531)+0.000000000001,0,1)</f>
        <v>0</v>
      </c>
    </row>
    <row r="532" customFormat="false" ht="15" hidden="false" customHeight="false" outlineLevel="0" collapsed="false">
      <c r="A532" s="62" t="s">
        <v>3227</v>
      </c>
      <c r="B532" s="62" t="s">
        <v>3240</v>
      </c>
      <c r="C532" s="97" t="n">
        <f aca="false">Calib!E69</f>
        <v>1</v>
      </c>
      <c r="D532" s="61" t="n">
        <v>1</v>
      </c>
      <c r="E532" s="105" t="n">
        <f aca="false">IF(ABS(C532-D532)&lt;=0.000000001*ABS(D532)+0.000000000001,0,1)</f>
        <v>0</v>
      </c>
    </row>
    <row r="533" customFormat="false" ht="15" hidden="false" customHeight="false" outlineLevel="0" collapsed="false">
      <c r="A533" s="62" t="s">
        <v>3227</v>
      </c>
      <c r="B533" s="62" t="s">
        <v>3241</v>
      </c>
      <c r="C533" s="97" t="n">
        <f aca="false">Calib!F69</f>
        <v>1</v>
      </c>
      <c r="D533" s="61" t="n">
        <v>1</v>
      </c>
      <c r="E533" s="105" t="n">
        <f aca="false">IF(ABS(C533-D533)&lt;=0.000000001*ABS(D533)+0.000000000001,0,1)</f>
        <v>0</v>
      </c>
    </row>
    <row r="534" customFormat="false" ht="15" hidden="false" customHeight="false" outlineLevel="0" collapsed="false">
      <c r="A534" s="62" t="s">
        <v>3227</v>
      </c>
      <c r="B534" s="62" t="s">
        <v>3242</v>
      </c>
      <c r="C534" s="97" t="n">
        <f aca="false">Calib!G69</f>
        <v>1</v>
      </c>
      <c r="D534" s="61" t="n">
        <v>1</v>
      </c>
      <c r="E534" s="105" t="n">
        <f aca="false">IF(ABS(C534-D534)&lt;=0.000000001*ABS(D534)+0.000000000001,0,1)</f>
        <v>0</v>
      </c>
    </row>
    <row r="535" customFormat="false" ht="15" hidden="false" customHeight="false" outlineLevel="0" collapsed="false">
      <c r="A535" s="62" t="s">
        <v>3227</v>
      </c>
      <c r="B535" s="62" t="s">
        <v>3243</v>
      </c>
      <c r="C535" s="97" t="n">
        <f aca="false">Calib!C156</f>
        <v>1</v>
      </c>
      <c r="D535" s="61" t="n">
        <v>1</v>
      </c>
      <c r="E535" s="105" t="n">
        <f aca="false">IF(ABS(C535-D535)&lt;=0.000000001*ABS(D535)+0.000000000001,0,1)</f>
        <v>0</v>
      </c>
    </row>
    <row r="536" customFormat="false" ht="15" hidden="false" customHeight="false" outlineLevel="0" collapsed="false">
      <c r="A536" s="62" t="s">
        <v>3227</v>
      </c>
      <c r="B536" s="62" t="s">
        <v>3244</v>
      </c>
      <c r="C536" s="97" t="n">
        <f aca="false">Calib!D156</f>
        <v>2.36</v>
      </c>
      <c r="D536" s="61" t="n">
        <v>2.36</v>
      </c>
      <c r="E536" s="105" t="n">
        <f aca="false">IF(ABS(C536-D536)&lt;=0.000000001*ABS(D536)+0.000000000001,0,1)</f>
        <v>0</v>
      </c>
    </row>
    <row r="537" customFormat="false" ht="15" hidden="false" customHeight="false" outlineLevel="0" collapsed="false">
      <c r="A537" s="62" t="s">
        <v>3227</v>
      </c>
      <c r="B537" s="62" t="s">
        <v>3245</v>
      </c>
      <c r="C537" s="97" t="n">
        <f aca="false">Calib!E156</f>
        <v>1</v>
      </c>
      <c r="D537" s="61" t="n">
        <v>1</v>
      </c>
      <c r="E537" s="105" t="n">
        <f aca="false">IF(ABS(C537-D537)&lt;=0.000000001*ABS(D537)+0.000000000001,0,1)</f>
        <v>0</v>
      </c>
    </row>
    <row r="538" customFormat="false" ht="15" hidden="false" customHeight="false" outlineLevel="0" collapsed="false">
      <c r="A538" s="62" t="s">
        <v>3227</v>
      </c>
      <c r="B538" s="62" t="s">
        <v>3246</v>
      </c>
      <c r="C538" s="97" t="n">
        <f aca="false">Calib!F156</f>
        <v>0.75</v>
      </c>
      <c r="D538" s="61" t="n">
        <v>0.75</v>
      </c>
      <c r="E538" s="105" t="n">
        <f aca="false">IF(ABS(C538-D538)&lt;=0.000000001*ABS(D538)+0.000000000001,0,1)</f>
        <v>0</v>
      </c>
    </row>
    <row r="539" customFormat="false" ht="15" hidden="false" customHeight="false" outlineLevel="0" collapsed="false">
      <c r="A539" s="62" t="s">
        <v>3227</v>
      </c>
      <c r="B539" s="62" t="s">
        <v>3247</v>
      </c>
      <c r="C539" s="97" t="n">
        <f aca="false">Calib!G156</f>
        <v>1</v>
      </c>
      <c r="D539" s="61" t="n">
        <v>1</v>
      </c>
      <c r="E539" s="105" t="n">
        <f aca="false">IF(ABS(C539-D539)&lt;=0.000000001*ABS(D539)+0.000000000001,0,1)</f>
        <v>0</v>
      </c>
    </row>
    <row r="540" customFormat="false" ht="15" hidden="false" customHeight="false" outlineLevel="0" collapsed="false">
      <c r="A540" s="62" t="s">
        <v>24</v>
      </c>
      <c r="B540" s="62" t="s">
        <v>3108</v>
      </c>
      <c r="C540" s="97" t="n">
        <f aca="false">Tech_Registry!E5</f>
        <v>1</v>
      </c>
      <c r="D540" s="61" t="n">
        <v>1</v>
      </c>
      <c r="E540" s="105" t="n">
        <f aca="false">IF(ABS(C540-D540)&lt;=0.000000001*ABS(D540)+0.000000000001,0,1)</f>
        <v>0</v>
      </c>
    </row>
    <row r="541" customFormat="false" ht="15" hidden="false" customHeight="false" outlineLevel="0" collapsed="false">
      <c r="A541" s="62" t="s">
        <v>24</v>
      </c>
      <c r="B541" s="62" t="s">
        <v>3248</v>
      </c>
      <c r="C541" s="97" t="n">
        <f aca="false">Tech_Registry!F5</f>
        <v>1</v>
      </c>
      <c r="D541" s="61" t="n">
        <v>1</v>
      </c>
      <c r="E541" s="105" t="n">
        <f aca="false">IF(ABS(C541-D541)&lt;=0.000000001*ABS(D541)+0.000000000001,0,1)</f>
        <v>0</v>
      </c>
    </row>
    <row r="542" customFormat="false" ht="15" hidden="false" customHeight="false" outlineLevel="0" collapsed="false">
      <c r="A542" s="62" t="s">
        <v>24</v>
      </c>
      <c r="B542" s="62" t="s">
        <v>3249</v>
      </c>
      <c r="C542" s="97" t="n">
        <f aca="false">Tech_Registry!G5</f>
        <v>1</v>
      </c>
      <c r="D542" s="61" t="n">
        <v>1</v>
      </c>
      <c r="E542" s="105" t="n">
        <f aca="false">IF(ABS(C542-D542)&lt;=0.000000001*ABS(D542)+0.000000000001,0,1)</f>
        <v>0</v>
      </c>
    </row>
    <row r="543" customFormat="false" ht="15" hidden="false" customHeight="false" outlineLevel="0" collapsed="false">
      <c r="A543" s="62" t="s">
        <v>24</v>
      </c>
      <c r="B543" s="62" t="s">
        <v>3250</v>
      </c>
      <c r="C543" s="90" t="n">
        <f aca="false">Tech_Registry!H5</f>
        <v>2</v>
      </c>
      <c r="D543" s="61" t="n">
        <v>2</v>
      </c>
      <c r="E543" s="105" t="n">
        <f aca="false">IF(ABS(C543-D543)&lt;=0.000000001*ABS(D543)+0.000000000001,0,1)</f>
        <v>0</v>
      </c>
    </row>
    <row r="544" customFormat="false" ht="15" hidden="false" customHeight="false" outlineLevel="0" collapsed="false">
      <c r="A544" s="62" t="s">
        <v>24</v>
      </c>
      <c r="B544" s="62" t="s">
        <v>3251</v>
      </c>
      <c r="C544" s="66" t="n">
        <f aca="false">Tech_Registry!N5</f>
        <v>1</v>
      </c>
      <c r="D544" s="61" t="n">
        <v>1</v>
      </c>
      <c r="E544" s="105" t="n">
        <f aca="false">IF(ABS(C544-D544)&lt;=0.000000001*ABS(D544)+0.000000000001,0,1)</f>
        <v>0</v>
      </c>
    </row>
    <row r="545" customFormat="false" ht="15" hidden="false" customHeight="false" outlineLevel="0" collapsed="false">
      <c r="A545" s="62" t="s">
        <v>24</v>
      </c>
      <c r="B545" s="62" t="s">
        <v>3252</v>
      </c>
      <c r="C545" s="90" t="n">
        <f aca="false">Tech_Registry!O5</f>
        <v>1</v>
      </c>
      <c r="D545" s="61" t="n">
        <v>1</v>
      </c>
      <c r="E545" s="105" t="n">
        <f aca="false">IF(ABS(C545-D545)&lt;=0.000000001*ABS(D545)+0.000000000001,0,1)</f>
        <v>0</v>
      </c>
    </row>
    <row r="546" customFormat="false" ht="15" hidden="false" customHeight="false" outlineLevel="0" collapsed="false">
      <c r="A546" s="62" t="s">
        <v>24</v>
      </c>
      <c r="B546" s="62" t="s">
        <v>3109</v>
      </c>
      <c r="C546" s="97" t="n">
        <f aca="false">Tech_Registry!E6</f>
        <v>1</v>
      </c>
      <c r="D546" s="61" t="n">
        <v>1</v>
      </c>
      <c r="E546" s="105" t="n">
        <f aca="false">IF(ABS(C546-D546)&lt;=0.000000001*ABS(D546)+0.000000000001,0,1)</f>
        <v>0</v>
      </c>
    </row>
    <row r="547" customFormat="false" ht="15" hidden="false" customHeight="false" outlineLevel="0" collapsed="false">
      <c r="A547" s="62" t="s">
        <v>24</v>
      </c>
      <c r="B547" s="62" t="s">
        <v>3253</v>
      </c>
      <c r="C547" s="97" t="n">
        <f aca="false">Tech_Registry!F6</f>
        <v>1</v>
      </c>
      <c r="D547" s="61" t="n">
        <v>1</v>
      </c>
      <c r="E547" s="105" t="n">
        <f aca="false">IF(ABS(C547-D547)&lt;=0.000000001*ABS(D547)+0.000000000001,0,1)</f>
        <v>0</v>
      </c>
    </row>
    <row r="548" customFormat="false" ht="15" hidden="false" customHeight="false" outlineLevel="0" collapsed="false">
      <c r="A548" s="62" t="s">
        <v>24</v>
      </c>
      <c r="B548" s="62" t="s">
        <v>3254</v>
      </c>
      <c r="C548" s="97" t="n">
        <f aca="false">Tech_Registry!G6</f>
        <v>1</v>
      </c>
      <c r="D548" s="61" t="n">
        <v>1</v>
      </c>
      <c r="E548" s="105" t="n">
        <f aca="false">IF(ABS(C548-D548)&lt;=0.000000001*ABS(D548)+0.000000000001,0,1)</f>
        <v>0</v>
      </c>
    </row>
    <row r="549" customFormat="false" ht="15" hidden="false" customHeight="false" outlineLevel="0" collapsed="false">
      <c r="A549" s="62" t="s">
        <v>24</v>
      </c>
      <c r="B549" s="62" t="s">
        <v>3255</v>
      </c>
      <c r="C549" s="90" t="n">
        <f aca="false">Tech_Registry!H6</f>
        <v>2</v>
      </c>
      <c r="D549" s="61" t="n">
        <v>2</v>
      </c>
      <c r="E549" s="105" t="n">
        <f aca="false">IF(ABS(C549-D549)&lt;=0.000000001*ABS(D549)+0.000000000001,0,1)</f>
        <v>0</v>
      </c>
    </row>
    <row r="550" customFormat="false" ht="15" hidden="false" customHeight="false" outlineLevel="0" collapsed="false">
      <c r="A550" s="62" t="s">
        <v>24</v>
      </c>
      <c r="B550" s="62" t="s">
        <v>3256</v>
      </c>
      <c r="C550" s="66" t="n">
        <f aca="false">Tech_Registry!N6</f>
        <v>1</v>
      </c>
      <c r="D550" s="61" t="n">
        <v>1</v>
      </c>
      <c r="E550" s="105" t="n">
        <f aca="false">IF(ABS(C550-D550)&lt;=0.000000001*ABS(D550)+0.000000000001,0,1)</f>
        <v>0</v>
      </c>
    </row>
    <row r="551" customFormat="false" ht="15" hidden="false" customHeight="false" outlineLevel="0" collapsed="false">
      <c r="A551" s="62" t="s">
        <v>24</v>
      </c>
      <c r="B551" s="62" t="s">
        <v>3257</v>
      </c>
      <c r="C551" s="90" t="n">
        <f aca="false">Tech_Registry!O6</f>
        <v>1</v>
      </c>
      <c r="D551" s="61" t="n">
        <v>1</v>
      </c>
      <c r="E551" s="105" t="n">
        <f aca="false">IF(ABS(C551-D551)&lt;=0.000000001*ABS(D551)+0.000000000001,0,1)</f>
        <v>0</v>
      </c>
    </row>
    <row r="552" customFormat="false" ht="15" hidden="false" customHeight="false" outlineLevel="0" collapsed="false">
      <c r="A552" s="62" t="s">
        <v>24</v>
      </c>
      <c r="B552" s="62" t="s">
        <v>3209</v>
      </c>
      <c r="C552" s="97" t="n">
        <f aca="false">Tech_Registry!E7</f>
        <v>1</v>
      </c>
      <c r="D552" s="61" t="n">
        <v>1</v>
      </c>
      <c r="E552" s="105" t="n">
        <f aca="false">IF(ABS(C552-D552)&lt;=0.000000001*ABS(D552)+0.000000000001,0,1)</f>
        <v>0</v>
      </c>
    </row>
    <row r="553" customFormat="false" ht="15" hidden="false" customHeight="false" outlineLevel="0" collapsed="false">
      <c r="A553" s="62" t="s">
        <v>24</v>
      </c>
      <c r="B553" s="62" t="s">
        <v>3258</v>
      </c>
      <c r="C553" s="97" t="n">
        <f aca="false">Tech_Registry!F7</f>
        <v>1</v>
      </c>
      <c r="D553" s="61" t="n">
        <v>1</v>
      </c>
      <c r="E553" s="105" t="n">
        <f aca="false">IF(ABS(C553-D553)&lt;=0.000000001*ABS(D553)+0.000000000001,0,1)</f>
        <v>0</v>
      </c>
    </row>
    <row r="554" customFormat="false" ht="15" hidden="false" customHeight="false" outlineLevel="0" collapsed="false">
      <c r="A554" s="62" t="s">
        <v>24</v>
      </c>
      <c r="B554" s="62" t="s">
        <v>3259</v>
      </c>
      <c r="C554" s="97" t="n">
        <f aca="false">Tech_Registry!G7</f>
        <v>1</v>
      </c>
      <c r="D554" s="61" t="n">
        <v>1</v>
      </c>
      <c r="E554" s="105" t="n">
        <f aca="false">IF(ABS(C554-D554)&lt;=0.000000001*ABS(D554)+0.000000000001,0,1)</f>
        <v>0</v>
      </c>
    </row>
    <row r="555" customFormat="false" ht="15" hidden="false" customHeight="false" outlineLevel="0" collapsed="false">
      <c r="A555" s="62" t="s">
        <v>24</v>
      </c>
      <c r="B555" s="62" t="s">
        <v>3260</v>
      </c>
      <c r="C555" s="90" t="n">
        <f aca="false">Tech_Registry!H7</f>
        <v>2</v>
      </c>
      <c r="D555" s="61" t="n">
        <v>2</v>
      </c>
      <c r="E555" s="105" t="n">
        <f aca="false">IF(ABS(C555-D555)&lt;=0.000000001*ABS(D555)+0.000000000001,0,1)</f>
        <v>0</v>
      </c>
    </row>
    <row r="556" customFormat="false" ht="15" hidden="false" customHeight="false" outlineLevel="0" collapsed="false">
      <c r="A556" s="62" t="s">
        <v>24</v>
      </c>
      <c r="B556" s="62" t="s">
        <v>3261</v>
      </c>
      <c r="C556" s="66" t="n">
        <f aca="false">Tech_Registry!N7</f>
        <v>1</v>
      </c>
      <c r="D556" s="61" t="n">
        <v>1</v>
      </c>
      <c r="E556" s="105" t="n">
        <f aca="false">IF(ABS(C556-D556)&lt;=0.000000001*ABS(D556)+0.000000000001,0,1)</f>
        <v>0</v>
      </c>
    </row>
    <row r="557" customFormat="false" ht="15" hidden="false" customHeight="false" outlineLevel="0" collapsed="false">
      <c r="A557" s="62" t="s">
        <v>24</v>
      </c>
      <c r="B557" s="62" t="s">
        <v>3262</v>
      </c>
      <c r="C557" s="90" t="n">
        <f aca="false">Tech_Registry!O7</f>
        <v>1</v>
      </c>
      <c r="D557" s="61" t="n">
        <v>1</v>
      </c>
      <c r="E557" s="105" t="n">
        <f aca="false">IF(ABS(C557-D557)&lt;=0.000000001*ABS(D557)+0.000000000001,0,1)</f>
        <v>0</v>
      </c>
    </row>
    <row r="558" customFormat="false" ht="15" hidden="false" customHeight="false" outlineLevel="0" collapsed="false">
      <c r="A558" s="62" t="s">
        <v>24</v>
      </c>
      <c r="B558" s="62" t="s">
        <v>3110</v>
      </c>
      <c r="C558" s="97" t="n">
        <f aca="false">Tech_Registry!E8</f>
        <v>1</v>
      </c>
      <c r="D558" s="61" t="n">
        <v>1</v>
      </c>
      <c r="E558" s="105" t="n">
        <f aca="false">IF(ABS(C558-D558)&lt;=0.000000001*ABS(D558)+0.000000000001,0,1)</f>
        <v>0</v>
      </c>
    </row>
    <row r="559" customFormat="false" ht="15" hidden="false" customHeight="false" outlineLevel="0" collapsed="false">
      <c r="A559" s="62" t="s">
        <v>24</v>
      </c>
      <c r="B559" s="62" t="s">
        <v>3263</v>
      </c>
      <c r="C559" s="97" t="n">
        <f aca="false">Tech_Registry!F8</f>
        <v>1</v>
      </c>
      <c r="D559" s="61" t="n">
        <v>1</v>
      </c>
      <c r="E559" s="105" t="n">
        <f aca="false">IF(ABS(C559-D559)&lt;=0.000000001*ABS(D559)+0.000000000001,0,1)</f>
        <v>0</v>
      </c>
    </row>
    <row r="560" customFormat="false" ht="15" hidden="false" customHeight="false" outlineLevel="0" collapsed="false">
      <c r="A560" s="62" t="s">
        <v>24</v>
      </c>
      <c r="B560" s="62" t="s">
        <v>3174</v>
      </c>
      <c r="C560" s="97" t="n">
        <f aca="false">Tech_Registry!G8</f>
        <v>1</v>
      </c>
      <c r="D560" s="61" t="n">
        <v>1</v>
      </c>
      <c r="E560" s="105" t="n">
        <f aca="false">IF(ABS(C560-D560)&lt;=0.000000001*ABS(D560)+0.000000000001,0,1)</f>
        <v>0</v>
      </c>
    </row>
    <row r="561" customFormat="false" ht="15" hidden="false" customHeight="false" outlineLevel="0" collapsed="false">
      <c r="A561" s="62" t="s">
        <v>24</v>
      </c>
      <c r="B561" s="62" t="s">
        <v>3264</v>
      </c>
      <c r="C561" s="90" t="n">
        <f aca="false">Tech_Registry!H8</f>
        <v>2</v>
      </c>
      <c r="D561" s="61" t="n">
        <v>2</v>
      </c>
      <c r="E561" s="105" t="n">
        <f aca="false">IF(ABS(C561-D561)&lt;=0.000000001*ABS(D561)+0.000000000001,0,1)</f>
        <v>0</v>
      </c>
    </row>
    <row r="562" customFormat="false" ht="15" hidden="false" customHeight="false" outlineLevel="0" collapsed="false">
      <c r="A562" s="62" t="s">
        <v>24</v>
      </c>
      <c r="B562" s="62" t="s">
        <v>3265</v>
      </c>
      <c r="C562" s="66" t="n">
        <f aca="false">Tech_Registry!N8</f>
        <v>1</v>
      </c>
      <c r="D562" s="61" t="n">
        <v>1</v>
      </c>
      <c r="E562" s="105" t="n">
        <f aca="false">IF(ABS(C562-D562)&lt;=0.000000001*ABS(D562)+0.000000000001,0,1)</f>
        <v>0</v>
      </c>
    </row>
    <row r="563" customFormat="false" ht="15" hidden="false" customHeight="false" outlineLevel="0" collapsed="false">
      <c r="A563" s="62" t="s">
        <v>24</v>
      </c>
      <c r="B563" s="62" t="s">
        <v>3266</v>
      </c>
      <c r="C563" s="90" t="n">
        <f aca="false">Tech_Registry!O8</f>
        <v>1</v>
      </c>
      <c r="D563" s="61" t="n">
        <v>1</v>
      </c>
      <c r="E563" s="105" t="n">
        <f aca="false">IF(ABS(C563-D563)&lt;=0.000000001*ABS(D563)+0.000000000001,0,1)</f>
        <v>0</v>
      </c>
    </row>
    <row r="564" customFormat="false" ht="15" hidden="false" customHeight="false" outlineLevel="0" collapsed="false">
      <c r="A564" s="62" t="s">
        <v>24</v>
      </c>
      <c r="B564" s="62" t="s">
        <v>3112</v>
      </c>
      <c r="C564" s="97" t="n">
        <f aca="false">Tech_Registry!E9</f>
        <v>1</v>
      </c>
      <c r="D564" s="61" t="n">
        <v>1</v>
      </c>
      <c r="E564" s="105" t="n">
        <f aca="false">IF(ABS(C564-D564)&lt;=0.000000001*ABS(D564)+0.000000000001,0,1)</f>
        <v>0</v>
      </c>
    </row>
    <row r="565" customFormat="false" ht="15" hidden="false" customHeight="false" outlineLevel="0" collapsed="false">
      <c r="A565" s="62" t="s">
        <v>24</v>
      </c>
      <c r="B565" s="62" t="s">
        <v>3113</v>
      </c>
      <c r="C565" s="97" t="n">
        <f aca="false">Tech_Registry!F9</f>
        <v>1</v>
      </c>
      <c r="D565" s="61" t="n">
        <v>1</v>
      </c>
      <c r="E565" s="105" t="n">
        <f aca="false">IF(ABS(C565-D565)&lt;=0.000000001*ABS(D565)+0.000000000001,0,1)</f>
        <v>0</v>
      </c>
    </row>
    <row r="566" customFormat="false" ht="15" hidden="false" customHeight="false" outlineLevel="0" collapsed="false">
      <c r="A566" s="62" t="s">
        <v>24</v>
      </c>
      <c r="B566" s="62" t="s">
        <v>3176</v>
      </c>
      <c r="C566" s="97" t="n">
        <f aca="false">Tech_Registry!G9</f>
        <v>1</v>
      </c>
      <c r="D566" s="61" t="n">
        <v>1</v>
      </c>
      <c r="E566" s="105" t="n">
        <f aca="false">IF(ABS(C566-D566)&lt;=0.000000001*ABS(D566)+0.000000000001,0,1)</f>
        <v>0</v>
      </c>
    </row>
    <row r="567" customFormat="false" ht="15" hidden="false" customHeight="false" outlineLevel="0" collapsed="false">
      <c r="A567" s="62" t="s">
        <v>24</v>
      </c>
      <c r="B567" s="62" t="s">
        <v>3267</v>
      </c>
      <c r="C567" s="90" t="n">
        <f aca="false">Tech_Registry!H9</f>
        <v>2</v>
      </c>
      <c r="D567" s="61" t="n">
        <v>2</v>
      </c>
      <c r="E567" s="105" t="n">
        <f aca="false">IF(ABS(C567-D567)&lt;=0.000000001*ABS(D567)+0.000000000001,0,1)</f>
        <v>0</v>
      </c>
    </row>
    <row r="568" customFormat="false" ht="15" hidden="false" customHeight="false" outlineLevel="0" collapsed="false">
      <c r="A568" s="62" t="s">
        <v>24</v>
      </c>
      <c r="B568" s="62" t="s">
        <v>3268</v>
      </c>
      <c r="C568" s="66" t="n">
        <f aca="false">Tech_Registry!N9</f>
        <v>1</v>
      </c>
      <c r="D568" s="61" t="n">
        <v>1</v>
      </c>
      <c r="E568" s="105" t="n">
        <f aca="false">IF(ABS(C568-D568)&lt;=0.000000001*ABS(D568)+0.000000000001,0,1)</f>
        <v>0</v>
      </c>
    </row>
    <row r="569" customFormat="false" ht="15" hidden="false" customHeight="false" outlineLevel="0" collapsed="false">
      <c r="A569" s="62" t="s">
        <v>24</v>
      </c>
      <c r="B569" s="62" t="s">
        <v>3269</v>
      </c>
      <c r="C569" s="90" t="n">
        <f aca="false">Tech_Registry!O9</f>
        <v>1</v>
      </c>
      <c r="D569" s="61" t="n">
        <v>1</v>
      </c>
      <c r="E569" s="105" t="n">
        <f aca="false">IF(ABS(C569-D569)&lt;=0.000000001*ABS(D569)+0.000000000001,0,1)</f>
        <v>0</v>
      </c>
    </row>
    <row r="570" customFormat="false" ht="15" hidden="false" customHeight="false" outlineLevel="0" collapsed="false">
      <c r="A570" s="62" t="s">
        <v>24</v>
      </c>
      <c r="B570" s="62" t="s">
        <v>3115</v>
      </c>
      <c r="C570" s="97" t="n">
        <f aca="false">Tech_Registry!E10</f>
        <v>0.7</v>
      </c>
      <c r="D570" s="61" t="n">
        <v>0.7</v>
      </c>
      <c r="E570" s="105" t="n">
        <f aca="false">IF(ABS(C570-D570)&lt;=0.000000001*ABS(D570)+0.000000000001,0,1)</f>
        <v>0</v>
      </c>
    </row>
    <row r="571" customFormat="false" ht="15" hidden="false" customHeight="false" outlineLevel="0" collapsed="false">
      <c r="A571" s="62" t="s">
        <v>24</v>
      </c>
      <c r="B571" s="62" t="s">
        <v>3116</v>
      </c>
      <c r="C571" s="97" t="n">
        <f aca="false">Tech_Registry!F10</f>
        <v>0.85</v>
      </c>
      <c r="D571" s="61" t="n">
        <v>0.85</v>
      </c>
      <c r="E571" s="105" t="n">
        <f aca="false">IF(ABS(C571-D571)&lt;=0.000000001*ABS(D571)+0.000000000001,0,1)</f>
        <v>0</v>
      </c>
    </row>
    <row r="572" customFormat="false" ht="15" hidden="false" customHeight="false" outlineLevel="0" collapsed="false">
      <c r="A572" s="62" t="s">
        <v>24</v>
      </c>
      <c r="B572" s="62" t="s">
        <v>3178</v>
      </c>
      <c r="C572" s="97" t="n">
        <f aca="false">Tech_Registry!G10</f>
        <v>1</v>
      </c>
      <c r="D572" s="61" t="n">
        <v>1</v>
      </c>
      <c r="E572" s="105" t="n">
        <f aca="false">IF(ABS(C572-D572)&lt;=0.000000001*ABS(D572)+0.000000000001,0,1)</f>
        <v>0</v>
      </c>
    </row>
    <row r="573" customFormat="false" ht="15" hidden="false" customHeight="false" outlineLevel="0" collapsed="false">
      <c r="A573" s="62" t="s">
        <v>24</v>
      </c>
      <c r="B573" s="62" t="s">
        <v>3270</v>
      </c>
      <c r="C573" s="90" t="n">
        <f aca="false">Tech_Registry!H10</f>
        <v>2</v>
      </c>
      <c r="D573" s="61" t="n">
        <v>2</v>
      </c>
      <c r="E573" s="105" t="n">
        <f aca="false">IF(ABS(C573-D573)&lt;=0.000000001*ABS(D573)+0.000000000001,0,1)</f>
        <v>0</v>
      </c>
    </row>
    <row r="574" customFormat="false" ht="15" hidden="false" customHeight="false" outlineLevel="0" collapsed="false">
      <c r="A574" s="62" t="s">
        <v>24</v>
      </c>
      <c r="B574" s="62" t="s">
        <v>3271</v>
      </c>
      <c r="C574" s="66" t="n">
        <f aca="false">Tech_Registry!N10</f>
        <v>1</v>
      </c>
      <c r="D574" s="61" t="n">
        <v>1</v>
      </c>
      <c r="E574" s="105" t="n">
        <f aca="false">IF(ABS(C574-D574)&lt;=0.000000001*ABS(D574)+0.000000000001,0,1)</f>
        <v>0</v>
      </c>
    </row>
    <row r="575" customFormat="false" ht="15" hidden="false" customHeight="false" outlineLevel="0" collapsed="false">
      <c r="A575" s="62" t="s">
        <v>24</v>
      </c>
      <c r="B575" s="62" t="s">
        <v>3272</v>
      </c>
      <c r="C575" s="90" t="n">
        <f aca="false">Tech_Registry!O10</f>
        <v>0</v>
      </c>
      <c r="D575" s="61" t="n">
        <v>0</v>
      </c>
      <c r="E575" s="105" t="n">
        <f aca="false">IF(ABS(C575-D575)&lt;=0.000000001*ABS(D575)+0.000000000001,0,1)</f>
        <v>0</v>
      </c>
    </row>
    <row r="576" customFormat="false" ht="15" hidden="false" customHeight="false" outlineLevel="0" collapsed="false">
      <c r="A576" s="62" t="s">
        <v>24</v>
      </c>
      <c r="B576" s="62" t="s">
        <v>3118</v>
      </c>
      <c r="C576" s="97" t="n">
        <f aca="false">Tech_Registry!E11</f>
        <v>1.5</v>
      </c>
      <c r="D576" s="61" t="n">
        <v>1.5</v>
      </c>
      <c r="E576" s="105" t="n">
        <f aca="false">IF(ABS(C576-D576)&lt;=0.000000001*ABS(D576)+0.000000000001,0,1)</f>
        <v>0</v>
      </c>
    </row>
    <row r="577" customFormat="false" ht="15" hidden="false" customHeight="false" outlineLevel="0" collapsed="false">
      <c r="A577" s="62" t="s">
        <v>24</v>
      </c>
      <c r="B577" s="62" t="s">
        <v>3119</v>
      </c>
      <c r="C577" s="97" t="n">
        <f aca="false">Tech_Registry!F11</f>
        <v>2</v>
      </c>
      <c r="D577" s="61" t="n">
        <v>2</v>
      </c>
      <c r="E577" s="105" t="n">
        <f aca="false">IF(ABS(C577-D577)&lt;=0.000000001*ABS(D577)+0.000000000001,0,1)</f>
        <v>0</v>
      </c>
    </row>
    <row r="578" customFormat="false" ht="15" hidden="false" customHeight="false" outlineLevel="0" collapsed="false">
      <c r="A578" s="62" t="s">
        <v>24</v>
      </c>
      <c r="B578" s="62" t="s">
        <v>3273</v>
      </c>
      <c r="C578" s="97" t="n">
        <f aca="false">Tech_Registry!G11</f>
        <v>3</v>
      </c>
      <c r="D578" s="61" t="n">
        <v>3</v>
      </c>
      <c r="E578" s="105" t="n">
        <f aca="false">IF(ABS(C578-D578)&lt;=0.000000001*ABS(D578)+0.000000000001,0,1)</f>
        <v>0</v>
      </c>
    </row>
    <row r="579" customFormat="false" ht="15" hidden="false" customHeight="false" outlineLevel="0" collapsed="false">
      <c r="A579" s="62" t="s">
        <v>24</v>
      </c>
      <c r="B579" s="62" t="s">
        <v>3274</v>
      </c>
      <c r="C579" s="90" t="n">
        <f aca="false">Tech_Registry!H11</f>
        <v>2</v>
      </c>
      <c r="D579" s="61" t="n">
        <v>2</v>
      </c>
      <c r="E579" s="105" t="n">
        <f aca="false">IF(ABS(C579-D579)&lt;=0.000000001*ABS(D579)+0.000000000001,0,1)</f>
        <v>0</v>
      </c>
    </row>
    <row r="580" customFormat="false" ht="15" hidden="false" customHeight="false" outlineLevel="0" collapsed="false">
      <c r="A580" s="62" t="s">
        <v>24</v>
      </c>
      <c r="B580" s="62" t="s">
        <v>3275</v>
      </c>
      <c r="C580" s="66" t="n">
        <f aca="false">Tech_Registry!N11</f>
        <v>1</v>
      </c>
      <c r="D580" s="61" t="n">
        <v>1</v>
      </c>
      <c r="E580" s="105" t="n">
        <f aca="false">IF(ABS(C580-D580)&lt;=0.000000001*ABS(D580)+0.000000000001,0,1)</f>
        <v>0</v>
      </c>
    </row>
    <row r="581" customFormat="false" ht="15" hidden="false" customHeight="false" outlineLevel="0" collapsed="false">
      <c r="A581" s="62" t="s">
        <v>24</v>
      </c>
      <c r="B581" s="62" t="s">
        <v>3276</v>
      </c>
      <c r="C581" s="90" t="n">
        <f aca="false">Tech_Registry!O11</f>
        <v>0</v>
      </c>
      <c r="D581" s="61" t="n">
        <v>0</v>
      </c>
      <c r="E581" s="105" t="n">
        <f aca="false">IF(ABS(C581-D581)&lt;=0.000000001*ABS(D581)+0.000000000001,0,1)</f>
        <v>0</v>
      </c>
    </row>
    <row r="582" customFormat="false" ht="15" hidden="false" customHeight="false" outlineLevel="0" collapsed="false">
      <c r="A582" s="62" t="s">
        <v>24</v>
      </c>
      <c r="B582" s="62" t="s">
        <v>3182</v>
      </c>
      <c r="C582" s="97" t="n">
        <f aca="false">Tech_Registry!E12</f>
        <v>1.5</v>
      </c>
      <c r="D582" s="61" t="n">
        <v>1.5</v>
      </c>
      <c r="E582" s="105" t="n">
        <f aca="false">IF(ABS(C582-D582)&lt;=0.000000001*ABS(D582)+0.000000000001,0,1)</f>
        <v>0</v>
      </c>
    </row>
    <row r="583" customFormat="false" ht="15" hidden="false" customHeight="false" outlineLevel="0" collapsed="false">
      <c r="A583" s="62" t="s">
        <v>24</v>
      </c>
      <c r="B583" s="62" t="s">
        <v>3183</v>
      </c>
      <c r="C583" s="97" t="n">
        <f aca="false">Tech_Registry!F12</f>
        <v>2</v>
      </c>
      <c r="D583" s="61" t="n">
        <v>2</v>
      </c>
      <c r="E583" s="105" t="n">
        <f aca="false">IF(ABS(C583-D583)&lt;=0.000000001*ABS(D583)+0.000000000001,0,1)</f>
        <v>0</v>
      </c>
    </row>
    <row r="584" customFormat="false" ht="15" hidden="false" customHeight="false" outlineLevel="0" collapsed="false">
      <c r="A584" s="62" t="s">
        <v>24</v>
      </c>
      <c r="B584" s="62" t="s">
        <v>3277</v>
      </c>
      <c r="C584" s="97" t="n">
        <f aca="false">Tech_Registry!G12</f>
        <v>4</v>
      </c>
      <c r="D584" s="61" t="n">
        <v>4</v>
      </c>
      <c r="E584" s="105" t="n">
        <f aca="false">IF(ABS(C584-D584)&lt;=0.000000001*ABS(D584)+0.000000000001,0,1)</f>
        <v>0</v>
      </c>
    </row>
    <row r="585" customFormat="false" ht="15" hidden="false" customHeight="false" outlineLevel="0" collapsed="false">
      <c r="A585" s="62" t="s">
        <v>24</v>
      </c>
      <c r="B585" s="62" t="s">
        <v>3278</v>
      </c>
      <c r="C585" s="90" t="n">
        <f aca="false">Tech_Registry!H12</f>
        <v>2</v>
      </c>
      <c r="D585" s="61" t="n">
        <v>2</v>
      </c>
      <c r="E585" s="105" t="n">
        <f aca="false">IF(ABS(C585-D585)&lt;=0.000000001*ABS(D585)+0.000000000001,0,1)</f>
        <v>0</v>
      </c>
    </row>
    <row r="586" customFormat="false" ht="15" hidden="false" customHeight="false" outlineLevel="0" collapsed="false">
      <c r="A586" s="62" t="s">
        <v>24</v>
      </c>
      <c r="B586" s="62" t="s">
        <v>3279</v>
      </c>
      <c r="C586" s="66" t="n">
        <f aca="false">Tech_Registry!N12</f>
        <v>1</v>
      </c>
      <c r="D586" s="61" t="n">
        <v>1</v>
      </c>
      <c r="E586" s="105" t="n">
        <f aca="false">IF(ABS(C586-D586)&lt;=0.000000001*ABS(D586)+0.000000000001,0,1)</f>
        <v>0</v>
      </c>
    </row>
    <row r="587" customFormat="false" ht="15" hidden="false" customHeight="false" outlineLevel="0" collapsed="false">
      <c r="A587" s="62" t="s">
        <v>24</v>
      </c>
      <c r="B587" s="62" t="s">
        <v>3280</v>
      </c>
      <c r="C587" s="90" t="n">
        <f aca="false">Tech_Registry!O12</f>
        <v>0</v>
      </c>
      <c r="D587" s="61" t="n">
        <v>0</v>
      </c>
      <c r="E587" s="105" t="n">
        <f aca="false">IF(ABS(C587-D587)&lt;=0.000000001*ABS(D587)+0.000000000001,0,1)</f>
        <v>0</v>
      </c>
    </row>
    <row r="588" customFormat="false" ht="15" hidden="false" customHeight="false" outlineLevel="0" collapsed="false">
      <c r="A588" s="62" t="s">
        <v>24</v>
      </c>
      <c r="B588" s="62" t="s">
        <v>3121</v>
      </c>
      <c r="C588" s="97" t="n">
        <f aca="false">Tech_Registry!E13</f>
        <v>1.5</v>
      </c>
      <c r="D588" s="61" t="n">
        <v>1.5</v>
      </c>
      <c r="E588" s="105" t="n">
        <f aca="false">IF(ABS(C588-D588)&lt;=0.000000001*ABS(D588)+0.000000000001,0,1)</f>
        <v>0</v>
      </c>
    </row>
    <row r="589" customFormat="false" ht="15" hidden="false" customHeight="false" outlineLevel="0" collapsed="false">
      <c r="A589" s="62" t="s">
        <v>24</v>
      </c>
      <c r="B589" s="62" t="s">
        <v>3185</v>
      </c>
      <c r="C589" s="97" t="n">
        <f aca="false">Tech_Registry!F13</f>
        <v>2</v>
      </c>
      <c r="D589" s="61" t="n">
        <v>2</v>
      </c>
      <c r="E589" s="105" t="n">
        <f aca="false">IF(ABS(C589-D589)&lt;=0.000000001*ABS(D589)+0.000000000001,0,1)</f>
        <v>0</v>
      </c>
    </row>
    <row r="590" customFormat="false" ht="15" hidden="false" customHeight="false" outlineLevel="0" collapsed="false">
      <c r="A590" s="62" t="s">
        <v>24</v>
      </c>
      <c r="B590" s="62" t="s">
        <v>3281</v>
      </c>
      <c r="C590" s="97" t="n">
        <f aca="false">Tech_Registry!G13</f>
        <v>4</v>
      </c>
      <c r="D590" s="61" t="n">
        <v>4</v>
      </c>
      <c r="E590" s="105" t="n">
        <f aca="false">IF(ABS(C590-D590)&lt;=0.000000001*ABS(D590)+0.000000000001,0,1)</f>
        <v>0</v>
      </c>
    </row>
    <row r="591" customFormat="false" ht="15" hidden="false" customHeight="false" outlineLevel="0" collapsed="false">
      <c r="A591" s="62" t="s">
        <v>24</v>
      </c>
      <c r="B591" s="62" t="s">
        <v>3282</v>
      </c>
      <c r="C591" s="90" t="n">
        <f aca="false">Tech_Registry!H13</f>
        <v>2</v>
      </c>
      <c r="D591" s="61" t="n">
        <v>2</v>
      </c>
      <c r="E591" s="105" t="n">
        <f aca="false">IF(ABS(C591-D591)&lt;=0.000000001*ABS(D591)+0.000000000001,0,1)</f>
        <v>0</v>
      </c>
    </row>
    <row r="592" customFormat="false" ht="15" hidden="false" customHeight="false" outlineLevel="0" collapsed="false">
      <c r="A592" s="62" t="s">
        <v>24</v>
      </c>
      <c r="B592" s="62" t="s">
        <v>3283</v>
      </c>
      <c r="C592" s="66" t="n">
        <f aca="false">Tech_Registry!N13</f>
        <v>1</v>
      </c>
      <c r="D592" s="61" t="n">
        <v>1</v>
      </c>
      <c r="E592" s="105" t="n">
        <f aca="false">IF(ABS(C592-D592)&lt;=0.000000001*ABS(D592)+0.000000000001,0,1)</f>
        <v>0</v>
      </c>
    </row>
    <row r="593" customFormat="false" ht="15" hidden="false" customHeight="false" outlineLevel="0" collapsed="false">
      <c r="A593" s="62" t="s">
        <v>24</v>
      </c>
      <c r="B593" s="62" t="s">
        <v>3284</v>
      </c>
      <c r="C593" s="90" t="n">
        <f aca="false">Tech_Registry!O13</f>
        <v>0</v>
      </c>
      <c r="D593" s="61" t="n">
        <v>0</v>
      </c>
      <c r="E593" s="105" t="n">
        <f aca="false">IF(ABS(C593-D593)&lt;=0.000000001*ABS(D593)+0.000000000001,0,1)</f>
        <v>0</v>
      </c>
    </row>
    <row r="594" customFormat="false" ht="15" hidden="false" customHeight="false" outlineLevel="0" collapsed="false">
      <c r="A594" s="62" t="s">
        <v>24</v>
      </c>
      <c r="B594" s="62" t="s">
        <v>3123</v>
      </c>
      <c r="C594" s="97" t="n">
        <f aca="false">Tech_Registry!E14</f>
        <v>1.2</v>
      </c>
      <c r="D594" s="61" t="n">
        <v>1.2</v>
      </c>
      <c r="E594" s="105" t="n">
        <f aca="false">IF(ABS(C594-D594)&lt;=0.000000001*ABS(D594)+0.000000000001,0,1)</f>
        <v>0</v>
      </c>
    </row>
    <row r="595" customFormat="false" ht="15" hidden="false" customHeight="false" outlineLevel="0" collapsed="false">
      <c r="A595" s="62" t="s">
        <v>24</v>
      </c>
      <c r="B595" s="62" t="s">
        <v>3124</v>
      </c>
      <c r="C595" s="97" t="n">
        <f aca="false">Tech_Registry!F14</f>
        <v>1.4</v>
      </c>
      <c r="D595" s="61" t="n">
        <v>1.4</v>
      </c>
      <c r="E595" s="105" t="n">
        <f aca="false">IF(ABS(C595-D595)&lt;=0.000000001*ABS(D595)+0.000000000001,0,1)</f>
        <v>0</v>
      </c>
    </row>
    <row r="596" customFormat="false" ht="15" hidden="false" customHeight="false" outlineLevel="0" collapsed="false">
      <c r="A596" s="62" t="s">
        <v>24</v>
      </c>
      <c r="B596" s="62" t="s">
        <v>3285</v>
      </c>
      <c r="C596" s="97" t="n">
        <f aca="false">Tech_Registry!G14</f>
        <v>1.6</v>
      </c>
      <c r="D596" s="61" t="n">
        <v>1.6</v>
      </c>
      <c r="E596" s="105" t="n">
        <f aca="false">IF(ABS(C596-D596)&lt;=0.000000001*ABS(D596)+0.000000000001,0,1)</f>
        <v>0</v>
      </c>
    </row>
    <row r="597" customFormat="false" ht="15" hidden="false" customHeight="false" outlineLevel="0" collapsed="false">
      <c r="A597" s="62" t="s">
        <v>24</v>
      </c>
      <c r="B597" s="62" t="s">
        <v>3286</v>
      </c>
      <c r="C597" s="90" t="n">
        <f aca="false">Tech_Registry!H14</f>
        <v>2</v>
      </c>
      <c r="D597" s="61" t="n">
        <v>2</v>
      </c>
      <c r="E597" s="105" t="n">
        <f aca="false">IF(ABS(C597-D597)&lt;=0.000000001*ABS(D597)+0.000000000001,0,1)</f>
        <v>0</v>
      </c>
    </row>
    <row r="598" customFormat="false" ht="15" hidden="false" customHeight="false" outlineLevel="0" collapsed="false">
      <c r="A598" s="62" t="s">
        <v>24</v>
      </c>
      <c r="B598" s="62" t="s">
        <v>3287</v>
      </c>
      <c r="C598" s="66" t="n">
        <f aca="false">Tech_Registry!N14</f>
        <v>1</v>
      </c>
      <c r="D598" s="61" t="n">
        <v>1</v>
      </c>
      <c r="E598" s="105" t="n">
        <f aca="false">IF(ABS(C598-D598)&lt;=0.000000001*ABS(D598)+0.000000000001,0,1)</f>
        <v>0</v>
      </c>
    </row>
    <row r="599" customFormat="false" ht="15" hidden="false" customHeight="false" outlineLevel="0" collapsed="false">
      <c r="A599" s="62" t="s">
        <v>24</v>
      </c>
      <c r="B599" s="62" t="s">
        <v>3288</v>
      </c>
      <c r="C599" s="90" t="n">
        <f aca="false">Tech_Registry!O14</f>
        <v>0</v>
      </c>
      <c r="D599" s="61" t="n">
        <v>0</v>
      </c>
      <c r="E599" s="105" t="n">
        <f aca="false">IF(ABS(C599-D599)&lt;=0.000000001*ABS(D599)+0.000000000001,0,1)</f>
        <v>0</v>
      </c>
    </row>
    <row r="600" customFormat="false" ht="15" hidden="false" customHeight="false" outlineLevel="0" collapsed="false">
      <c r="A600" s="62" t="s">
        <v>24</v>
      </c>
      <c r="B600" s="62" t="s">
        <v>3289</v>
      </c>
      <c r="C600" s="97" t="n">
        <f aca="false">Tech_Registry!E15</f>
        <v>0.5</v>
      </c>
      <c r="D600" s="61" t="n">
        <v>0.5</v>
      </c>
      <c r="E600" s="105" t="n">
        <f aca="false">IF(ABS(C600-D600)&lt;=0.000000001*ABS(D600)+0.000000000001,0,1)</f>
        <v>0</v>
      </c>
    </row>
    <row r="601" customFormat="false" ht="15" hidden="false" customHeight="false" outlineLevel="0" collapsed="false">
      <c r="A601" s="62" t="s">
        <v>24</v>
      </c>
      <c r="B601" s="62" t="s">
        <v>3290</v>
      </c>
      <c r="C601" s="97" t="n">
        <f aca="false">Tech_Registry!F15</f>
        <v>0.5</v>
      </c>
      <c r="D601" s="61" t="n">
        <v>0.5</v>
      </c>
      <c r="E601" s="105" t="n">
        <f aca="false">IF(ABS(C601-D601)&lt;=0.000000001*ABS(D601)+0.000000000001,0,1)</f>
        <v>0</v>
      </c>
    </row>
    <row r="602" customFormat="false" ht="15" hidden="false" customHeight="false" outlineLevel="0" collapsed="false">
      <c r="A602" s="62" t="s">
        <v>24</v>
      </c>
      <c r="B602" s="62" t="s">
        <v>3291</v>
      </c>
      <c r="C602" s="97" t="n">
        <f aca="false">Tech_Registry!G15</f>
        <v>0.75</v>
      </c>
      <c r="D602" s="61" t="n">
        <v>0.75</v>
      </c>
      <c r="E602" s="105" t="n">
        <f aca="false">IF(ABS(C602-D602)&lt;=0.000000001*ABS(D602)+0.000000000001,0,1)</f>
        <v>0</v>
      </c>
    </row>
    <row r="603" customFormat="false" ht="15" hidden="false" customHeight="false" outlineLevel="0" collapsed="false">
      <c r="A603" s="62" t="s">
        <v>24</v>
      </c>
      <c r="B603" s="62" t="s">
        <v>3292</v>
      </c>
      <c r="C603" s="90" t="n">
        <f aca="false">Tech_Registry!H15</f>
        <v>2</v>
      </c>
      <c r="D603" s="61" t="n">
        <v>2</v>
      </c>
      <c r="E603" s="105" t="n">
        <f aca="false">IF(ABS(C603-D603)&lt;=0.000000001*ABS(D603)+0.000000000001,0,1)</f>
        <v>0</v>
      </c>
    </row>
    <row r="604" customFormat="false" ht="15" hidden="false" customHeight="false" outlineLevel="0" collapsed="false">
      <c r="A604" s="62" t="s">
        <v>24</v>
      </c>
      <c r="B604" s="62" t="s">
        <v>3293</v>
      </c>
      <c r="C604" s="66" t="n">
        <f aca="false">Tech_Registry!N15</f>
        <v>1</v>
      </c>
      <c r="D604" s="61" t="n">
        <v>1</v>
      </c>
      <c r="E604" s="105" t="n">
        <f aca="false">IF(ABS(C604-D604)&lt;=0.000000001*ABS(D604)+0.000000000001,0,1)</f>
        <v>0</v>
      </c>
    </row>
    <row r="605" customFormat="false" ht="15" hidden="false" customHeight="false" outlineLevel="0" collapsed="false">
      <c r="A605" s="62" t="s">
        <v>24</v>
      </c>
      <c r="B605" s="62" t="s">
        <v>3294</v>
      </c>
      <c r="C605" s="90" t="n">
        <f aca="false">Tech_Registry!O15</f>
        <v>0</v>
      </c>
      <c r="D605" s="61" t="n">
        <v>0</v>
      </c>
      <c r="E605" s="105" t="n">
        <f aca="false">IF(ABS(C605-D605)&lt;=0.000000001*ABS(D605)+0.000000000001,0,1)</f>
        <v>0</v>
      </c>
    </row>
    <row r="606" customFormat="false" ht="15" hidden="false" customHeight="false" outlineLevel="0" collapsed="false">
      <c r="A606" s="62" t="s">
        <v>24</v>
      </c>
      <c r="B606" s="62" t="s">
        <v>3126</v>
      </c>
      <c r="C606" s="97" t="n">
        <f aca="false">Tech_Registry!E16</f>
        <v>1</v>
      </c>
      <c r="D606" s="61" t="n">
        <v>1</v>
      </c>
      <c r="E606" s="105" t="n">
        <f aca="false">IF(ABS(C606-D606)&lt;=0.000000001*ABS(D606)+0.000000000001,0,1)</f>
        <v>0</v>
      </c>
    </row>
    <row r="607" customFormat="false" ht="15" hidden="false" customHeight="false" outlineLevel="0" collapsed="false">
      <c r="A607" s="62" t="s">
        <v>24</v>
      </c>
      <c r="B607" s="62" t="s">
        <v>3127</v>
      </c>
      <c r="C607" s="97" t="n">
        <f aca="false">Tech_Registry!F16</f>
        <v>1</v>
      </c>
      <c r="D607" s="61" t="n">
        <v>1</v>
      </c>
      <c r="E607" s="105" t="n">
        <f aca="false">IF(ABS(C607-D607)&lt;=0.000000001*ABS(D607)+0.000000000001,0,1)</f>
        <v>0</v>
      </c>
    </row>
    <row r="608" customFormat="false" ht="15" hidden="false" customHeight="false" outlineLevel="0" collapsed="false">
      <c r="A608" s="62" t="s">
        <v>24</v>
      </c>
      <c r="B608" s="62" t="s">
        <v>3295</v>
      </c>
      <c r="C608" s="97" t="n">
        <f aca="false">Tech_Registry!G16</f>
        <v>1</v>
      </c>
      <c r="D608" s="61" t="n">
        <v>1</v>
      </c>
      <c r="E608" s="105" t="n">
        <f aca="false">IF(ABS(C608-D608)&lt;=0.000000001*ABS(D608)+0.000000000001,0,1)</f>
        <v>0</v>
      </c>
    </row>
    <row r="609" customFormat="false" ht="15" hidden="false" customHeight="false" outlineLevel="0" collapsed="false">
      <c r="A609" s="62" t="s">
        <v>24</v>
      </c>
      <c r="B609" s="62" t="s">
        <v>3296</v>
      </c>
      <c r="C609" s="90" t="n">
        <f aca="false">Tech_Registry!H16</f>
        <v>2</v>
      </c>
      <c r="D609" s="61" t="n">
        <v>2</v>
      </c>
      <c r="E609" s="105" t="n">
        <f aca="false">IF(ABS(C609-D609)&lt;=0.000000001*ABS(D609)+0.000000000001,0,1)</f>
        <v>0</v>
      </c>
    </row>
    <row r="610" customFormat="false" ht="15" hidden="false" customHeight="false" outlineLevel="0" collapsed="false">
      <c r="A610" s="62" t="s">
        <v>24</v>
      </c>
      <c r="B610" s="62" t="s">
        <v>3297</v>
      </c>
      <c r="C610" s="66" t="n">
        <f aca="false">Tech_Registry!N16</f>
        <v>1</v>
      </c>
      <c r="D610" s="61" t="n">
        <v>1</v>
      </c>
      <c r="E610" s="105" t="n">
        <f aca="false">IF(ABS(C610-D610)&lt;=0.000000001*ABS(D610)+0.000000000001,0,1)</f>
        <v>0</v>
      </c>
    </row>
    <row r="611" customFormat="false" ht="15" hidden="false" customHeight="false" outlineLevel="0" collapsed="false">
      <c r="A611" s="62" t="s">
        <v>24</v>
      </c>
      <c r="B611" s="62" t="s">
        <v>3298</v>
      </c>
      <c r="C611" s="90" t="n">
        <f aca="false">Tech_Registry!O16</f>
        <v>0</v>
      </c>
      <c r="D611" s="61" t="n">
        <v>0</v>
      </c>
      <c r="E611" s="105" t="n">
        <f aca="false">IF(ABS(C611-D611)&lt;=0.000000001*ABS(D611)+0.000000000001,0,1)</f>
        <v>0</v>
      </c>
    </row>
    <row r="612" customFormat="false" ht="15" hidden="false" customHeight="false" outlineLevel="0" collapsed="false">
      <c r="A612" s="62" t="s">
        <v>3299</v>
      </c>
      <c r="B612" s="62" t="s">
        <v>3172</v>
      </c>
      <c r="C612" s="90" t="n">
        <f aca="false">Perf!C6</f>
        <v>1</v>
      </c>
      <c r="D612" s="61" t="n">
        <v>1</v>
      </c>
      <c r="E612" s="105" t="n">
        <f aca="false">IF(ABS(C612-D612)&lt;=0.000000001*ABS(D612)+0.000000000001,0,1)</f>
        <v>0</v>
      </c>
    </row>
    <row r="613" customFormat="false" ht="15" hidden="false" customHeight="false" outlineLevel="0" collapsed="false">
      <c r="A613" s="62" t="s">
        <v>3299</v>
      </c>
      <c r="B613" s="62" t="s">
        <v>3300</v>
      </c>
      <c r="C613" s="90" t="n">
        <f aca="false">Perf!D6</f>
        <v>1</v>
      </c>
      <c r="D613" s="61" t="n">
        <v>1</v>
      </c>
      <c r="E613" s="105" t="n">
        <f aca="false">IF(ABS(C613-D613)&lt;=0.000000001*ABS(D613)+0.000000000001,0,1)</f>
        <v>0</v>
      </c>
    </row>
    <row r="614" customFormat="false" ht="15" hidden="false" customHeight="false" outlineLevel="0" collapsed="false">
      <c r="A614" s="62" t="s">
        <v>3299</v>
      </c>
      <c r="B614" s="62" t="s">
        <v>3109</v>
      </c>
      <c r="C614" s="90" t="n">
        <f aca="false">Perf!E6</f>
        <v>1</v>
      </c>
      <c r="D614" s="61" t="n">
        <v>1</v>
      </c>
      <c r="E614" s="105" t="n">
        <f aca="false">IF(ABS(C614-D614)&lt;=0.000000001*ABS(D614)+0.000000000001,0,1)</f>
        <v>0</v>
      </c>
    </row>
    <row r="615" customFormat="false" ht="15" hidden="false" customHeight="false" outlineLevel="0" collapsed="false">
      <c r="A615" s="62" t="s">
        <v>3299</v>
      </c>
      <c r="B615" s="62" t="s">
        <v>3253</v>
      </c>
      <c r="C615" s="90" t="n">
        <f aca="false">Perf!F6</f>
        <v>2</v>
      </c>
      <c r="D615" s="61" t="n">
        <v>2</v>
      </c>
      <c r="E615" s="105" t="n">
        <f aca="false">IF(ABS(C615-D615)&lt;=0.000000001*ABS(D615)+0.000000000001,0,1)</f>
        <v>0</v>
      </c>
    </row>
    <row r="616" customFormat="false" ht="15" hidden="false" customHeight="false" outlineLevel="0" collapsed="false">
      <c r="A616" s="62" t="s">
        <v>3299</v>
      </c>
      <c r="B616" s="62" t="s">
        <v>3254</v>
      </c>
      <c r="C616" s="90" t="n">
        <f aca="false">Perf!G6</f>
        <v>2</v>
      </c>
      <c r="D616" s="61" t="n">
        <v>2</v>
      </c>
      <c r="E616" s="105" t="n">
        <f aca="false">IF(ABS(C616-D616)&lt;=0.000000001*ABS(D616)+0.000000000001,0,1)</f>
        <v>0</v>
      </c>
    </row>
    <row r="617" customFormat="false" ht="15" hidden="false" customHeight="false" outlineLevel="0" collapsed="false">
      <c r="A617" s="62" t="s">
        <v>3299</v>
      </c>
      <c r="B617" s="62" t="s">
        <v>3255</v>
      </c>
      <c r="C617" s="90" t="n">
        <f aca="false">Perf!H6</f>
        <v>2</v>
      </c>
      <c r="D617" s="61" t="n">
        <v>2</v>
      </c>
      <c r="E617" s="105" t="n">
        <f aca="false">IF(ABS(C617-D617)&lt;=0.000000001*ABS(D617)+0.000000000001,0,1)</f>
        <v>0</v>
      </c>
    </row>
    <row r="618" customFormat="false" ht="15" hidden="false" customHeight="false" outlineLevel="0" collapsed="false">
      <c r="A618" s="62" t="s">
        <v>3299</v>
      </c>
      <c r="B618" s="62" t="s">
        <v>3301</v>
      </c>
      <c r="C618" s="90" t="n">
        <f aca="false">Perf!I6</f>
        <v>3</v>
      </c>
      <c r="D618" s="61" t="n">
        <v>3</v>
      </c>
      <c r="E618" s="105" t="n">
        <f aca="false">IF(ABS(C618-D618)&lt;=0.000000001*ABS(D618)+0.000000000001,0,1)</f>
        <v>0</v>
      </c>
    </row>
    <row r="619" customFormat="false" ht="15" hidden="false" customHeight="false" outlineLevel="0" collapsed="false">
      <c r="A619" s="62" t="s">
        <v>3299</v>
      </c>
      <c r="B619" s="62" t="s">
        <v>3302</v>
      </c>
      <c r="C619" s="90" t="n">
        <f aca="false">Perf!J6</f>
        <v>3</v>
      </c>
      <c r="D619" s="61" t="n">
        <v>3</v>
      </c>
      <c r="E619" s="105" t="n">
        <f aca="false">IF(ABS(C619-D619)&lt;=0.000000001*ABS(D619)+0.000000000001,0,1)</f>
        <v>0</v>
      </c>
    </row>
    <row r="620" customFormat="false" ht="15" hidden="false" customHeight="false" outlineLevel="0" collapsed="false">
      <c r="A620" s="62" t="s">
        <v>3299</v>
      </c>
      <c r="B620" s="62" t="s">
        <v>3303</v>
      </c>
      <c r="C620" s="90" t="n">
        <f aca="false">Perf!K6</f>
        <v>3</v>
      </c>
      <c r="D620" s="61" t="n">
        <v>3</v>
      </c>
      <c r="E620" s="105" t="n">
        <f aca="false">IF(ABS(C620-D620)&lt;=0.000000001*ABS(D620)+0.000000000001,0,1)</f>
        <v>0</v>
      </c>
    </row>
    <row r="621" customFormat="false" ht="15" hidden="false" customHeight="false" outlineLevel="0" collapsed="false">
      <c r="A621" s="62" t="s">
        <v>3299</v>
      </c>
      <c r="B621" s="62" t="s">
        <v>3304</v>
      </c>
      <c r="C621" s="90" t="n">
        <f aca="false">Perf!L6</f>
        <v>4</v>
      </c>
      <c r="D621" s="61" t="n">
        <v>4</v>
      </c>
      <c r="E621" s="105" t="n">
        <f aca="false">IF(ABS(C621-D621)&lt;=0.000000001*ABS(D621)+0.000000000001,0,1)</f>
        <v>0</v>
      </c>
    </row>
    <row r="622" customFormat="false" ht="15" hidden="false" customHeight="false" outlineLevel="0" collapsed="false">
      <c r="A622" s="62" t="s">
        <v>3299</v>
      </c>
      <c r="B622" s="62" t="s">
        <v>3305</v>
      </c>
      <c r="C622" s="90" t="n">
        <f aca="false">Perf!M6</f>
        <v>4</v>
      </c>
      <c r="D622" s="61" t="n">
        <v>4</v>
      </c>
      <c r="E622" s="105" t="n">
        <f aca="false">IF(ABS(C622-D622)&lt;=0.000000001*ABS(D622)+0.000000000001,0,1)</f>
        <v>0</v>
      </c>
    </row>
    <row r="623" customFormat="false" ht="15" hidden="false" customHeight="false" outlineLevel="0" collapsed="false">
      <c r="A623" s="62" t="s">
        <v>3299</v>
      </c>
      <c r="B623" s="62" t="s">
        <v>3256</v>
      </c>
      <c r="C623" s="90" t="n">
        <f aca="false">Perf!N6</f>
        <v>4</v>
      </c>
      <c r="D623" s="61" t="n">
        <v>4</v>
      </c>
      <c r="E623" s="105" t="n">
        <f aca="false">IF(ABS(C623-D623)&lt;=0.000000001*ABS(D623)+0.000000000001,0,1)</f>
        <v>0</v>
      </c>
    </row>
    <row r="624" customFormat="false" ht="15" hidden="false" customHeight="false" outlineLevel="0" collapsed="false">
      <c r="A624" s="62" t="s">
        <v>3299</v>
      </c>
      <c r="B624" s="62" t="s">
        <v>3257</v>
      </c>
      <c r="C624" s="90" t="n">
        <f aca="false">Perf!O6</f>
        <v>5</v>
      </c>
      <c r="D624" s="61" t="n">
        <v>5</v>
      </c>
      <c r="E624" s="105" t="n">
        <f aca="false">IF(ABS(C624-D624)&lt;=0.000000001*ABS(D624)+0.000000000001,0,1)</f>
        <v>0</v>
      </c>
    </row>
    <row r="625" customFormat="false" ht="15" hidden="false" customHeight="false" outlineLevel="0" collapsed="false">
      <c r="A625" s="62" t="s">
        <v>3299</v>
      </c>
      <c r="B625" s="62" t="s">
        <v>3306</v>
      </c>
      <c r="C625" s="90" t="n">
        <f aca="false">Perf!P6</f>
        <v>5</v>
      </c>
      <c r="D625" s="61" t="n">
        <v>5</v>
      </c>
      <c r="E625" s="105" t="n">
        <f aca="false">IF(ABS(C625-D625)&lt;=0.000000001*ABS(D625)+0.000000000001,0,1)</f>
        <v>0</v>
      </c>
    </row>
    <row r="626" customFormat="false" ht="15" hidden="false" customHeight="false" outlineLevel="0" collapsed="false">
      <c r="A626" s="62" t="s">
        <v>3299</v>
      </c>
      <c r="B626" s="62" t="s">
        <v>3307</v>
      </c>
      <c r="C626" s="90" t="n">
        <f aca="false">Perf!Q6</f>
        <v>5</v>
      </c>
      <c r="D626" s="61" t="n">
        <v>5</v>
      </c>
      <c r="E626" s="105" t="n">
        <f aca="false">IF(ABS(C626-D626)&lt;=0.000000001*ABS(D626)+0.000000000001,0,1)</f>
        <v>0</v>
      </c>
    </row>
    <row r="627" customFormat="false" ht="15" hidden="false" customHeight="false" outlineLevel="0" collapsed="false">
      <c r="A627" s="62" t="s">
        <v>3299</v>
      </c>
      <c r="B627" s="62" t="s">
        <v>3308</v>
      </c>
      <c r="C627" s="90" t="n">
        <f aca="false">Perf!C7</f>
        <v>1</v>
      </c>
      <c r="D627" s="61" t="n">
        <v>1</v>
      </c>
      <c r="E627" s="105" t="n">
        <f aca="false">IF(ABS(C627-D627)&lt;=0.000000001*ABS(D627)+0.000000000001,0,1)</f>
        <v>0</v>
      </c>
    </row>
    <row r="628" customFormat="false" ht="15" hidden="false" customHeight="false" outlineLevel="0" collapsed="false">
      <c r="A628" s="62" t="s">
        <v>3299</v>
      </c>
      <c r="B628" s="62" t="s">
        <v>3309</v>
      </c>
      <c r="C628" s="90" t="n">
        <f aca="false">Perf!D7</f>
        <v>2</v>
      </c>
      <c r="D628" s="61" t="n">
        <v>2</v>
      </c>
      <c r="E628" s="105" t="n">
        <f aca="false">IF(ABS(C628-D628)&lt;=0.000000001*ABS(D628)+0.000000000001,0,1)</f>
        <v>0</v>
      </c>
    </row>
    <row r="629" customFormat="false" ht="15" hidden="false" customHeight="false" outlineLevel="0" collapsed="false">
      <c r="A629" s="62" t="s">
        <v>3299</v>
      </c>
      <c r="B629" s="62" t="s">
        <v>3209</v>
      </c>
      <c r="C629" s="90" t="n">
        <f aca="false">Perf!E7</f>
        <v>3</v>
      </c>
      <c r="D629" s="61" t="n">
        <v>3</v>
      </c>
      <c r="E629" s="105" t="n">
        <f aca="false">IF(ABS(C629-D629)&lt;=0.000000001*ABS(D629)+0.000000000001,0,1)</f>
        <v>0</v>
      </c>
    </row>
    <row r="630" customFormat="false" ht="15" hidden="false" customHeight="false" outlineLevel="0" collapsed="false">
      <c r="A630" s="62" t="s">
        <v>3299</v>
      </c>
      <c r="B630" s="62" t="s">
        <v>3258</v>
      </c>
      <c r="C630" s="90" t="n">
        <f aca="false">Perf!F7</f>
        <v>1</v>
      </c>
      <c r="D630" s="61" t="n">
        <v>1</v>
      </c>
      <c r="E630" s="105" t="n">
        <f aca="false">IF(ABS(C630-D630)&lt;=0.000000001*ABS(D630)+0.000000000001,0,1)</f>
        <v>0</v>
      </c>
    </row>
    <row r="631" customFormat="false" ht="15" hidden="false" customHeight="false" outlineLevel="0" collapsed="false">
      <c r="A631" s="62" t="s">
        <v>3299</v>
      </c>
      <c r="B631" s="62" t="s">
        <v>3259</v>
      </c>
      <c r="C631" s="90" t="n">
        <f aca="false">Perf!G7</f>
        <v>2</v>
      </c>
      <c r="D631" s="61" t="n">
        <v>2</v>
      </c>
      <c r="E631" s="105" t="n">
        <f aca="false">IF(ABS(C631-D631)&lt;=0.000000001*ABS(D631)+0.000000000001,0,1)</f>
        <v>0</v>
      </c>
    </row>
    <row r="632" customFormat="false" ht="15" hidden="false" customHeight="false" outlineLevel="0" collapsed="false">
      <c r="A632" s="62" t="s">
        <v>3299</v>
      </c>
      <c r="B632" s="62" t="s">
        <v>3260</v>
      </c>
      <c r="C632" s="90" t="n">
        <f aca="false">Perf!H7</f>
        <v>3</v>
      </c>
      <c r="D632" s="61" t="n">
        <v>3</v>
      </c>
      <c r="E632" s="105" t="n">
        <f aca="false">IF(ABS(C632-D632)&lt;=0.000000001*ABS(D632)+0.000000000001,0,1)</f>
        <v>0</v>
      </c>
    </row>
    <row r="633" customFormat="false" ht="15" hidden="false" customHeight="false" outlineLevel="0" collapsed="false">
      <c r="A633" s="62" t="s">
        <v>3299</v>
      </c>
      <c r="B633" s="62" t="s">
        <v>3310</v>
      </c>
      <c r="C633" s="90" t="n">
        <f aca="false">Perf!I7</f>
        <v>1</v>
      </c>
      <c r="D633" s="61" t="n">
        <v>1</v>
      </c>
      <c r="E633" s="105" t="n">
        <f aca="false">IF(ABS(C633-D633)&lt;=0.000000001*ABS(D633)+0.000000000001,0,1)</f>
        <v>0</v>
      </c>
    </row>
    <row r="634" customFormat="false" ht="15" hidden="false" customHeight="false" outlineLevel="0" collapsed="false">
      <c r="A634" s="62" t="s">
        <v>3299</v>
      </c>
      <c r="B634" s="62" t="s">
        <v>3311</v>
      </c>
      <c r="C634" s="90" t="n">
        <f aca="false">Perf!J7</f>
        <v>2</v>
      </c>
      <c r="D634" s="61" t="n">
        <v>2</v>
      </c>
      <c r="E634" s="105" t="n">
        <f aca="false">IF(ABS(C634-D634)&lt;=0.000000001*ABS(D634)+0.000000000001,0,1)</f>
        <v>0</v>
      </c>
    </row>
    <row r="635" customFormat="false" ht="15" hidden="false" customHeight="false" outlineLevel="0" collapsed="false">
      <c r="A635" s="62" t="s">
        <v>3299</v>
      </c>
      <c r="B635" s="62" t="s">
        <v>3312</v>
      </c>
      <c r="C635" s="90" t="n">
        <f aca="false">Perf!K7</f>
        <v>3</v>
      </c>
      <c r="D635" s="61" t="n">
        <v>3</v>
      </c>
      <c r="E635" s="105" t="n">
        <f aca="false">IF(ABS(C635-D635)&lt;=0.000000001*ABS(D635)+0.000000000001,0,1)</f>
        <v>0</v>
      </c>
    </row>
    <row r="636" customFormat="false" ht="15" hidden="false" customHeight="false" outlineLevel="0" collapsed="false">
      <c r="A636" s="62" t="s">
        <v>3299</v>
      </c>
      <c r="B636" s="62" t="s">
        <v>3313</v>
      </c>
      <c r="C636" s="90" t="n">
        <f aca="false">Perf!L7</f>
        <v>1</v>
      </c>
      <c r="D636" s="61" t="n">
        <v>1</v>
      </c>
      <c r="E636" s="105" t="n">
        <f aca="false">IF(ABS(C636-D636)&lt;=0.000000001*ABS(D636)+0.000000000001,0,1)</f>
        <v>0</v>
      </c>
    </row>
    <row r="637" customFormat="false" ht="15" hidden="false" customHeight="false" outlineLevel="0" collapsed="false">
      <c r="A637" s="62" t="s">
        <v>3299</v>
      </c>
      <c r="B637" s="62" t="s">
        <v>3314</v>
      </c>
      <c r="C637" s="90" t="n">
        <f aca="false">Perf!M7</f>
        <v>2</v>
      </c>
      <c r="D637" s="61" t="n">
        <v>2</v>
      </c>
      <c r="E637" s="105" t="n">
        <f aca="false">IF(ABS(C637-D637)&lt;=0.000000001*ABS(D637)+0.000000000001,0,1)</f>
        <v>0</v>
      </c>
    </row>
    <row r="638" customFormat="false" ht="15" hidden="false" customHeight="false" outlineLevel="0" collapsed="false">
      <c r="A638" s="62" t="s">
        <v>3299</v>
      </c>
      <c r="B638" s="62" t="s">
        <v>3261</v>
      </c>
      <c r="C638" s="90" t="n">
        <f aca="false">Perf!N7</f>
        <v>3</v>
      </c>
      <c r="D638" s="61" t="n">
        <v>3</v>
      </c>
      <c r="E638" s="105" t="n">
        <f aca="false">IF(ABS(C638-D638)&lt;=0.000000001*ABS(D638)+0.000000000001,0,1)</f>
        <v>0</v>
      </c>
    </row>
    <row r="639" customFormat="false" ht="15" hidden="false" customHeight="false" outlineLevel="0" collapsed="false">
      <c r="A639" s="62" t="s">
        <v>3299</v>
      </c>
      <c r="B639" s="62" t="s">
        <v>3262</v>
      </c>
      <c r="C639" s="90" t="n">
        <f aca="false">Perf!O7</f>
        <v>1</v>
      </c>
      <c r="D639" s="61" t="n">
        <v>1</v>
      </c>
      <c r="E639" s="105" t="n">
        <f aca="false">IF(ABS(C639-D639)&lt;=0.000000001*ABS(D639)+0.000000000001,0,1)</f>
        <v>0</v>
      </c>
    </row>
    <row r="640" customFormat="false" ht="15" hidden="false" customHeight="false" outlineLevel="0" collapsed="false">
      <c r="A640" s="62" t="s">
        <v>3299</v>
      </c>
      <c r="B640" s="62" t="s">
        <v>3315</v>
      </c>
      <c r="C640" s="90" t="n">
        <f aca="false">Perf!P7</f>
        <v>2</v>
      </c>
      <c r="D640" s="61" t="n">
        <v>2</v>
      </c>
      <c r="E640" s="105" t="n">
        <f aca="false">IF(ABS(C640-D640)&lt;=0.000000001*ABS(D640)+0.000000000001,0,1)</f>
        <v>0</v>
      </c>
    </row>
    <row r="641" customFormat="false" ht="15" hidden="false" customHeight="false" outlineLevel="0" collapsed="false">
      <c r="A641" s="62" t="s">
        <v>3299</v>
      </c>
      <c r="B641" s="62" t="s">
        <v>3316</v>
      </c>
      <c r="C641" s="90" t="n">
        <f aca="false">Perf!Q7</f>
        <v>3</v>
      </c>
      <c r="D641" s="61" t="n">
        <v>3</v>
      </c>
      <c r="E641" s="105" t="n">
        <f aca="false">IF(ABS(C641-D641)&lt;=0.000000001*ABS(D641)+0.000000000001,0,1)</f>
        <v>0</v>
      </c>
    </row>
    <row r="642" customFormat="false" ht="15" hidden="false" customHeight="false" outlineLevel="0" collapsed="false">
      <c r="A642" s="62" t="s">
        <v>3317</v>
      </c>
      <c r="B642" s="62" t="s">
        <v>3172</v>
      </c>
      <c r="C642" s="90" t="n">
        <f aca="false">Unit_Cost!C6</f>
        <v>1</v>
      </c>
      <c r="D642" s="61" t="n">
        <v>1</v>
      </c>
      <c r="E642" s="105" t="n">
        <f aca="false">IF(ABS(C642-D642)&lt;=0.000000001*ABS(D642)+0.000000000001,0,1)</f>
        <v>0</v>
      </c>
    </row>
    <row r="643" customFormat="false" ht="15" hidden="false" customHeight="false" outlineLevel="0" collapsed="false">
      <c r="A643" s="62" t="s">
        <v>3317</v>
      </c>
      <c r="B643" s="62" t="s">
        <v>3300</v>
      </c>
      <c r="C643" s="90" t="n">
        <f aca="false">Unit_Cost!D6</f>
        <v>1</v>
      </c>
      <c r="D643" s="61" t="n">
        <v>1</v>
      </c>
      <c r="E643" s="105" t="n">
        <f aca="false">IF(ABS(C643-D643)&lt;=0.000000001*ABS(D643)+0.000000000001,0,1)</f>
        <v>0</v>
      </c>
    </row>
    <row r="644" customFormat="false" ht="15" hidden="false" customHeight="false" outlineLevel="0" collapsed="false">
      <c r="A644" s="62" t="s">
        <v>3317</v>
      </c>
      <c r="B644" s="62" t="s">
        <v>3109</v>
      </c>
      <c r="C644" s="90" t="n">
        <f aca="false">Unit_Cost!E6</f>
        <v>1</v>
      </c>
      <c r="D644" s="61" t="n">
        <v>1</v>
      </c>
      <c r="E644" s="105" t="n">
        <f aca="false">IF(ABS(C644-D644)&lt;=0.000000001*ABS(D644)+0.000000000001,0,1)</f>
        <v>0</v>
      </c>
    </row>
    <row r="645" customFormat="false" ht="15" hidden="false" customHeight="false" outlineLevel="0" collapsed="false">
      <c r="A645" s="62" t="s">
        <v>3317</v>
      </c>
      <c r="B645" s="62" t="s">
        <v>3253</v>
      </c>
      <c r="C645" s="90" t="n">
        <f aca="false">Unit_Cost!F6</f>
        <v>2</v>
      </c>
      <c r="D645" s="61" t="n">
        <v>2</v>
      </c>
      <c r="E645" s="105" t="n">
        <f aca="false">IF(ABS(C645-D645)&lt;=0.000000001*ABS(D645)+0.000000000001,0,1)</f>
        <v>0</v>
      </c>
    </row>
    <row r="646" customFormat="false" ht="15" hidden="false" customHeight="false" outlineLevel="0" collapsed="false">
      <c r="A646" s="62" t="s">
        <v>3317</v>
      </c>
      <c r="B646" s="62" t="s">
        <v>3254</v>
      </c>
      <c r="C646" s="90" t="n">
        <f aca="false">Unit_Cost!G6</f>
        <v>2</v>
      </c>
      <c r="D646" s="61" t="n">
        <v>2</v>
      </c>
      <c r="E646" s="105" t="n">
        <f aca="false">IF(ABS(C646-D646)&lt;=0.000000001*ABS(D646)+0.000000000001,0,1)</f>
        <v>0</v>
      </c>
    </row>
    <row r="647" customFormat="false" ht="15" hidden="false" customHeight="false" outlineLevel="0" collapsed="false">
      <c r="A647" s="62" t="s">
        <v>3317</v>
      </c>
      <c r="B647" s="62" t="s">
        <v>3255</v>
      </c>
      <c r="C647" s="90" t="n">
        <f aca="false">Unit_Cost!H6</f>
        <v>2</v>
      </c>
      <c r="D647" s="61" t="n">
        <v>2</v>
      </c>
      <c r="E647" s="105" t="n">
        <f aca="false">IF(ABS(C647-D647)&lt;=0.000000001*ABS(D647)+0.000000000001,0,1)</f>
        <v>0</v>
      </c>
    </row>
    <row r="648" customFormat="false" ht="15" hidden="false" customHeight="false" outlineLevel="0" collapsed="false">
      <c r="A648" s="62" t="s">
        <v>3317</v>
      </c>
      <c r="B648" s="62" t="s">
        <v>3301</v>
      </c>
      <c r="C648" s="90" t="n">
        <f aca="false">Unit_Cost!I6</f>
        <v>3</v>
      </c>
      <c r="D648" s="61" t="n">
        <v>3</v>
      </c>
      <c r="E648" s="105" t="n">
        <f aca="false">IF(ABS(C648-D648)&lt;=0.000000001*ABS(D648)+0.000000000001,0,1)</f>
        <v>0</v>
      </c>
    </row>
    <row r="649" customFormat="false" ht="15" hidden="false" customHeight="false" outlineLevel="0" collapsed="false">
      <c r="A649" s="62" t="s">
        <v>3317</v>
      </c>
      <c r="B649" s="62" t="s">
        <v>3302</v>
      </c>
      <c r="C649" s="90" t="n">
        <f aca="false">Unit_Cost!J6</f>
        <v>3</v>
      </c>
      <c r="D649" s="61" t="n">
        <v>3</v>
      </c>
      <c r="E649" s="105" t="n">
        <f aca="false">IF(ABS(C649-D649)&lt;=0.000000001*ABS(D649)+0.000000000001,0,1)</f>
        <v>0</v>
      </c>
    </row>
    <row r="650" customFormat="false" ht="15" hidden="false" customHeight="false" outlineLevel="0" collapsed="false">
      <c r="A650" s="62" t="s">
        <v>3317</v>
      </c>
      <c r="B650" s="62" t="s">
        <v>3303</v>
      </c>
      <c r="C650" s="90" t="n">
        <f aca="false">Unit_Cost!K6</f>
        <v>3</v>
      </c>
      <c r="D650" s="61" t="n">
        <v>3</v>
      </c>
      <c r="E650" s="105" t="n">
        <f aca="false">IF(ABS(C650-D650)&lt;=0.000000001*ABS(D650)+0.000000000001,0,1)</f>
        <v>0</v>
      </c>
    </row>
    <row r="651" customFormat="false" ht="15" hidden="false" customHeight="false" outlineLevel="0" collapsed="false">
      <c r="A651" s="62" t="s">
        <v>3317</v>
      </c>
      <c r="B651" s="62" t="s">
        <v>3304</v>
      </c>
      <c r="C651" s="90" t="n">
        <f aca="false">Unit_Cost!L6</f>
        <v>4</v>
      </c>
      <c r="D651" s="61" t="n">
        <v>4</v>
      </c>
      <c r="E651" s="105" t="n">
        <f aca="false">IF(ABS(C651-D651)&lt;=0.000000001*ABS(D651)+0.000000000001,0,1)</f>
        <v>0</v>
      </c>
    </row>
    <row r="652" customFormat="false" ht="15" hidden="false" customHeight="false" outlineLevel="0" collapsed="false">
      <c r="A652" s="62" t="s">
        <v>3317</v>
      </c>
      <c r="B652" s="62" t="s">
        <v>3305</v>
      </c>
      <c r="C652" s="90" t="n">
        <f aca="false">Unit_Cost!M6</f>
        <v>4</v>
      </c>
      <c r="D652" s="61" t="n">
        <v>4</v>
      </c>
      <c r="E652" s="105" t="n">
        <f aca="false">IF(ABS(C652-D652)&lt;=0.000000001*ABS(D652)+0.000000000001,0,1)</f>
        <v>0</v>
      </c>
    </row>
    <row r="653" customFormat="false" ht="15" hidden="false" customHeight="false" outlineLevel="0" collapsed="false">
      <c r="A653" s="62" t="s">
        <v>3317</v>
      </c>
      <c r="B653" s="62" t="s">
        <v>3256</v>
      </c>
      <c r="C653" s="90" t="n">
        <f aca="false">Unit_Cost!N6</f>
        <v>4</v>
      </c>
      <c r="D653" s="61" t="n">
        <v>4</v>
      </c>
      <c r="E653" s="105" t="n">
        <f aca="false">IF(ABS(C653-D653)&lt;=0.000000001*ABS(D653)+0.000000000001,0,1)</f>
        <v>0</v>
      </c>
    </row>
    <row r="654" customFormat="false" ht="15" hidden="false" customHeight="false" outlineLevel="0" collapsed="false">
      <c r="A654" s="62" t="s">
        <v>3317</v>
      </c>
      <c r="B654" s="62" t="s">
        <v>3257</v>
      </c>
      <c r="C654" s="90" t="n">
        <f aca="false">Unit_Cost!O6</f>
        <v>5</v>
      </c>
      <c r="D654" s="61" t="n">
        <v>5</v>
      </c>
      <c r="E654" s="105" t="n">
        <f aca="false">IF(ABS(C654-D654)&lt;=0.000000001*ABS(D654)+0.000000000001,0,1)</f>
        <v>0</v>
      </c>
    </row>
    <row r="655" customFormat="false" ht="15" hidden="false" customHeight="false" outlineLevel="0" collapsed="false">
      <c r="A655" s="62" t="s">
        <v>3317</v>
      </c>
      <c r="B655" s="62" t="s">
        <v>3306</v>
      </c>
      <c r="C655" s="90" t="n">
        <f aca="false">Unit_Cost!P6</f>
        <v>5</v>
      </c>
      <c r="D655" s="61" t="n">
        <v>5</v>
      </c>
      <c r="E655" s="105" t="n">
        <f aca="false">IF(ABS(C655-D655)&lt;=0.000000001*ABS(D655)+0.000000000001,0,1)</f>
        <v>0</v>
      </c>
    </row>
    <row r="656" customFormat="false" ht="15" hidden="false" customHeight="false" outlineLevel="0" collapsed="false">
      <c r="A656" s="62" t="s">
        <v>3317</v>
      </c>
      <c r="B656" s="62" t="s">
        <v>3307</v>
      </c>
      <c r="C656" s="90" t="n">
        <f aca="false">Unit_Cost!Q6</f>
        <v>5</v>
      </c>
      <c r="D656" s="61" t="n">
        <v>5</v>
      </c>
      <c r="E656" s="105" t="n">
        <f aca="false">IF(ABS(C656-D656)&lt;=0.000000001*ABS(D656)+0.000000000001,0,1)</f>
        <v>0</v>
      </c>
    </row>
    <row r="657" customFormat="false" ht="15" hidden="false" customHeight="false" outlineLevel="0" collapsed="false">
      <c r="A657" s="62" t="s">
        <v>3318</v>
      </c>
      <c r="B657" s="62" t="s">
        <v>3172</v>
      </c>
      <c r="C657" s="66" t="n">
        <f aca="false">Train_In!C6</f>
        <v>0.25</v>
      </c>
      <c r="D657" s="61" t="n">
        <v>0.25</v>
      </c>
      <c r="E657" s="105" t="n">
        <f aca="false">IF(ABS(C657-D657)&lt;=0.000000001*ABS(D657)+0.000000000001,0,1)</f>
        <v>0</v>
      </c>
    </row>
    <row r="658" customFormat="false" ht="15" hidden="false" customHeight="false" outlineLevel="0" collapsed="false">
      <c r="A658" s="62" t="s">
        <v>3318</v>
      </c>
      <c r="B658" s="62" t="s">
        <v>3308</v>
      </c>
      <c r="C658" s="66" t="n">
        <f aca="false">Train_In!C7</f>
        <v>0.9</v>
      </c>
      <c r="D658" s="61" t="n">
        <v>0.9</v>
      </c>
      <c r="E658" s="105" t="n">
        <f aca="false">IF(ABS(C658-D658)&lt;=0.000000001*ABS(D658)+0.000000000001,0,1)</f>
        <v>0</v>
      </c>
    </row>
    <row r="659" customFormat="false" ht="15" hidden="false" customHeight="false" outlineLevel="0" collapsed="false">
      <c r="A659" s="62" t="s">
        <v>3318</v>
      </c>
      <c r="B659" s="62" t="s">
        <v>3173</v>
      </c>
      <c r="C659" s="97" t="n">
        <f aca="false">Train_In!C8</f>
        <v>0.8</v>
      </c>
      <c r="D659" s="61" t="n">
        <v>0.8</v>
      </c>
      <c r="E659" s="105" t="n">
        <f aca="false">IF(ABS(C659-D659)&lt;=0.000000001*ABS(D659)+0.000000000001,0,1)</f>
        <v>0</v>
      </c>
    </row>
    <row r="660" customFormat="false" ht="15" hidden="false" customHeight="false" outlineLevel="0" collapsed="false">
      <c r="A660" s="62" t="s">
        <v>3318</v>
      </c>
      <c r="B660" s="62" t="s">
        <v>3175</v>
      </c>
      <c r="C660" s="97" t="n">
        <f aca="false">Train_In!C9</f>
        <v>0.6</v>
      </c>
      <c r="D660" s="61" t="n">
        <v>0.6</v>
      </c>
      <c r="E660" s="105" t="n">
        <f aca="false">IF(ABS(C660-D660)&lt;=0.000000001*ABS(D660)+0.000000000001,0,1)</f>
        <v>0</v>
      </c>
    </row>
    <row r="661" customFormat="false" ht="15" hidden="false" customHeight="false" outlineLevel="0" collapsed="false">
      <c r="A661" s="62" t="s">
        <v>3318</v>
      </c>
      <c r="B661" s="62" t="s">
        <v>3177</v>
      </c>
      <c r="C661" s="90" t="n">
        <f aca="false">Train_In!C10</f>
        <v>0</v>
      </c>
      <c r="D661" s="61" t="n">
        <v>0</v>
      </c>
      <c r="E661" s="105" t="n">
        <f aca="false">IF(ABS(C661-D661)&lt;=0.000000001*ABS(D661)+0.000000000001,0,1)</f>
        <v>0</v>
      </c>
    </row>
    <row r="662" customFormat="false" ht="15" hidden="false" customHeight="false" outlineLevel="0" collapsed="false">
      <c r="A662" s="62" t="s">
        <v>3318</v>
      </c>
      <c r="B662" s="62" t="s">
        <v>3179</v>
      </c>
      <c r="C662" s="66" t="n">
        <f aca="false">Train_In!C11</f>
        <v>0.85</v>
      </c>
      <c r="D662" s="61" t="n">
        <v>0.85</v>
      </c>
      <c r="E662" s="105" t="n">
        <f aca="false">IF(ABS(C662-D662)&lt;=0.000000001*ABS(D662)+0.000000000001,0,1)</f>
        <v>0</v>
      </c>
    </row>
    <row r="663" customFormat="false" ht="15" hidden="false" customHeight="false" outlineLevel="0" collapsed="false">
      <c r="A663" s="62" t="s">
        <v>3318</v>
      </c>
      <c r="B663" s="62" t="s">
        <v>3180</v>
      </c>
      <c r="C663" s="90" t="n">
        <f aca="false">Train_In!C12</f>
        <v>16</v>
      </c>
      <c r="D663" s="61" t="n">
        <v>16</v>
      </c>
      <c r="E663" s="105" t="n">
        <f aca="false">IF(ABS(C663-D663)&lt;=0.000000001*ABS(D663)+0.000000000001,0,1)</f>
        <v>0</v>
      </c>
    </row>
    <row r="664" customFormat="false" ht="15" hidden="false" customHeight="false" outlineLevel="0" collapsed="false">
      <c r="A664" s="62" t="s">
        <v>3318</v>
      </c>
      <c r="B664" s="62" t="s">
        <v>3184</v>
      </c>
      <c r="C664" s="111" t="n">
        <f aca="false">Train_In!C13</f>
        <v>8</v>
      </c>
      <c r="D664" s="61" t="n">
        <v>8</v>
      </c>
      <c r="E664" s="105" t="n">
        <f aca="false">IF(ABS(C664-D664)&lt;=0.000000001*ABS(D664)+0.000000000001,0,1)</f>
        <v>0</v>
      </c>
    </row>
    <row r="665" customFormat="false" ht="15" hidden="false" customHeight="false" outlineLevel="0" collapsed="false">
      <c r="A665" s="62" t="s">
        <v>3318</v>
      </c>
      <c r="B665" s="62" t="s">
        <v>3214</v>
      </c>
      <c r="C665" s="90" t="n">
        <f aca="false">Train_In!C15</f>
        <v>3</v>
      </c>
      <c r="D665" s="61" t="n">
        <v>3</v>
      </c>
      <c r="E665" s="105" t="n">
        <f aca="false">IF(ABS(C665-D665)&lt;=0.000000001*ABS(D665)+0.000000000001,0,1)</f>
        <v>0</v>
      </c>
    </row>
    <row r="666" customFormat="false" ht="15" hidden="false" customHeight="false" outlineLevel="0" collapsed="false">
      <c r="A666" s="62" t="s">
        <v>3318</v>
      </c>
      <c r="B666" s="62" t="s">
        <v>3319</v>
      </c>
      <c r="C666" s="97" t="n">
        <f aca="false">Train_In!C21</f>
        <v>1</v>
      </c>
      <c r="D666" s="61" t="n">
        <v>1</v>
      </c>
      <c r="E666" s="105" t="n">
        <f aca="false">IF(ABS(C666-D666)&lt;=0.000000001*ABS(D666)+0.000000000001,0,1)</f>
        <v>0</v>
      </c>
    </row>
    <row r="667" customFormat="false" ht="15" hidden="false" customHeight="false" outlineLevel="0" collapsed="false">
      <c r="A667" s="62" t="s">
        <v>3318</v>
      </c>
      <c r="B667" s="62" t="s">
        <v>3140</v>
      </c>
      <c r="C667" s="97" t="n">
        <f aca="false">Train_In!D21</f>
        <v>1</v>
      </c>
      <c r="D667" s="61" t="n">
        <v>1</v>
      </c>
      <c r="E667" s="105" t="n">
        <f aca="false">IF(ABS(C667-D667)&lt;=0.000000001*ABS(D667)+0.000000000001,0,1)</f>
        <v>0</v>
      </c>
    </row>
    <row r="668" customFormat="false" ht="15" hidden="false" customHeight="false" outlineLevel="0" collapsed="false">
      <c r="A668" s="62" t="s">
        <v>3318</v>
      </c>
      <c r="B668" s="62" t="s">
        <v>3141</v>
      </c>
      <c r="C668" s="97" t="n">
        <f aca="false">Train_In!E21</f>
        <v>1</v>
      </c>
      <c r="D668" s="61" t="n">
        <v>1</v>
      </c>
      <c r="E668" s="105" t="n">
        <f aca="false">IF(ABS(C668-D668)&lt;=0.000000001*ABS(D668)+0.000000000001,0,1)</f>
        <v>0</v>
      </c>
    </row>
    <row r="669" customFormat="false" ht="15" hidden="false" customHeight="false" outlineLevel="0" collapsed="false">
      <c r="A669" s="62" t="s">
        <v>3318</v>
      </c>
      <c r="B669" s="62" t="s">
        <v>3142</v>
      </c>
      <c r="C669" s="97" t="n">
        <f aca="false">Train_In!F21</f>
        <v>0.9</v>
      </c>
      <c r="D669" s="61" t="n">
        <v>0.9</v>
      </c>
      <c r="E669" s="105" t="n">
        <f aca="false">IF(ABS(C669-D669)&lt;=0.000000001*ABS(D669)+0.000000000001,0,1)</f>
        <v>0</v>
      </c>
    </row>
    <row r="670" customFormat="false" ht="15" hidden="false" customHeight="false" outlineLevel="0" collapsed="false">
      <c r="A670" s="62" t="s">
        <v>3318</v>
      </c>
      <c r="B670" s="62" t="s">
        <v>3320</v>
      </c>
      <c r="C670" s="97" t="n">
        <f aca="false">Train_In!G21</f>
        <v>0.9</v>
      </c>
      <c r="D670" s="61" t="n">
        <v>0.9</v>
      </c>
      <c r="E670" s="105" t="n">
        <f aca="false">IF(ABS(C670-D670)&lt;=0.000000001*ABS(D670)+0.000000000001,0,1)</f>
        <v>0</v>
      </c>
    </row>
    <row r="671" customFormat="false" ht="15" hidden="false" customHeight="false" outlineLevel="0" collapsed="false">
      <c r="A671" s="62" t="s">
        <v>3318</v>
      </c>
      <c r="B671" s="62" t="s">
        <v>3144</v>
      </c>
      <c r="C671" s="98" t="n">
        <f aca="false">Train_In!E25</f>
        <v>60</v>
      </c>
      <c r="D671" s="61" t="n">
        <v>60</v>
      </c>
      <c r="E671" s="105" t="n">
        <f aca="false">IF(ABS(C671-D671)&lt;=0.000000001*ABS(D671)+0.000000000001,0,1)</f>
        <v>0</v>
      </c>
    </row>
    <row r="672" customFormat="false" ht="15" hidden="false" customHeight="false" outlineLevel="0" collapsed="false">
      <c r="A672" s="62" t="s">
        <v>3318</v>
      </c>
      <c r="B672" s="62" t="s">
        <v>3145</v>
      </c>
      <c r="C672" s="63" t="n">
        <f aca="false">Train_In!E26</f>
        <v>8192</v>
      </c>
      <c r="D672" s="61" t="n">
        <v>8192</v>
      </c>
      <c r="E672" s="105" t="n">
        <f aca="false">IF(ABS(C672-D672)&lt;=0.000000001*ABS(D672)+0.000000000001,0,1)</f>
        <v>0</v>
      </c>
    </row>
    <row r="673" customFormat="false" ht="15" hidden="false" customHeight="false" outlineLevel="0" collapsed="false">
      <c r="A673" s="62" t="s">
        <v>3318</v>
      </c>
      <c r="B673" s="62" t="s">
        <v>3321</v>
      </c>
      <c r="C673" s="98" t="n">
        <f aca="false">Train_In!C27</f>
        <v>1</v>
      </c>
      <c r="D673" s="61" t="n">
        <v>1</v>
      </c>
      <c r="E673" s="105" t="n">
        <f aca="false">IF(ABS(C673-D673)&lt;=0.000000001*ABS(D673)+0.000000000001,0,1)</f>
        <v>0</v>
      </c>
    </row>
    <row r="674" customFormat="false" ht="15" hidden="false" customHeight="false" outlineLevel="0" collapsed="false">
      <c r="A674" s="62" t="s">
        <v>3318</v>
      </c>
      <c r="B674" s="62" t="s">
        <v>3322</v>
      </c>
      <c r="C674" s="98" t="n">
        <f aca="false">Train_In!D27</f>
        <v>1</v>
      </c>
      <c r="D674" s="61" t="n">
        <v>1</v>
      </c>
      <c r="E674" s="105" t="n">
        <f aca="false">IF(ABS(C674-D674)&lt;=0.000000001*ABS(D674)+0.000000000001,0,1)</f>
        <v>0</v>
      </c>
    </row>
    <row r="675" customFormat="false" ht="15" hidden="false" customHeight="false" outlineLevel="0" collapsed="false">
      <c r="A675" s="62" t="s">
        <v>3318</v>
      </c>
      <c r="B675" s="62" t="s">
        <v>3146</v>
      </c>
      <c r="C675" s="98" t="n">
        <f aca="false">Train_In!E27</f>
        <v>2</v>
      </c>
      <c r="D675" s="61" t="n">
        <v>2</v>
      </c>
      <c r="E675" s="105" t="n">
        <f aca="false">IF(ABS(C675-D675)&lt;=0.000000001*ABS(D675)+0.000000000001,0,1)</f>
        <v>0</v>
      </c>
    </row>
    <row r="676" customFormat="false" ht="15" hidden="false" customHeight="false" outlineLevel="0" collapsed="false">
      <c r="A676" s="62" t="s">
        <v>3318</v>
      </c>
      <c r="B676" s="62" t="s">
        <v>3226</v>
      </c>
      <c r="C676" s="63" t="n">
        <f aca="false">Train_In!C28</f>
        <v>131072</v>
      </c>
      <c r="D676" s="61" t="n">
        <v>131072</v>
      </c>
      <c r="E676" s="105" t="n">
        <f aca="false">IF(ABS(C676-D676)&lt;=0.000000001*ABS(D676)+0.000000000001,0,1)</f>
        <v>0</v>
      </c>
    </row>
    <row r="677" customFormat="false" ht="15" hidden="false" customHeight="false" outlineLevel="0" collapsed="false">
      <c r="A677" s="62" t="s">
        <v>3318</v>
      </c>
      <c r="B677" s="62" t="s">
        <v>3147</v>
      </c>
      <c r="C677" s="63" t="n">
        <f aca="false">Train_In!D28</f>
        <v>131072</v>
      </c>
      <c r="D677" s="61" t="n">
        <v>131072</v>
      </c>
      <c r="E677" s="105" t="n">
        <f aca="false">IF(ABS(C677-D677)&lt;=0.000000001*ABS(D677)+0.000000000001,0,1)</f>
        <v>0</v>
      </c>
    </row>
    <row r="678" customFormat="false" ht="15" hidden="false" customHeight="false" outlineLevel="0" collapsed="false">
      <c r="A678" s="62" t="s">
        <v>3318</v>
      </c>
      <c r="B678" s="62" t="s">
        <v>3148</v>
      </c>
      <c r="C678" s="63" t="n">
        <f aca="false">Train_In!E28</f>
        <v>131072</v>
      </c>
      <c r="D678" s="61" t="n">
        <v>131072</v>
      </c>
      <c r="E678" s="105" t="n">
        <f aca="false">IF(ABS(C678-D678)&lt;=0.000000001*ABS(D678)+0.000000000001,0,1)</f>
        <v>0</v>
      </c>
    </row>
    <row r="679" customFormat="false" ht="15" hidden="false" customHeight="false" outlineLevel="0" collapsed="false">
      <c r="A679" s="62" t="s">
        <v>3318</v>
      </c>
      <c r="B679" s="62" t="s">
        <v>3192</v>
      </c>
      <c r="C679" s="95" t="n">
        <f aca="false">Train_In!C29</f>
        <v>0.05</v>
      </c>
      <c r="D679" s="61" t="n">
        <v>0.05</v>
      </c>
      <c r="E679" s="105" t="n">
        <f aca="false">IF(ABS(C679-D679)&lt;=0.000000001*ABS(D679)+0.000000000001,0,1)</f>
        <v>0</v>
      </c>
    </row>
    <row r="680" customFormat="false" ht="15" hidden="false" customHeight="false" outlineLevel="0" collapsed="false">
      <c r="A680" s="62" t="s">
        <v>3318</v>
      </c>
      <c r="B680" s="62" t="s">
        <v>3193</v>
      </c>
      <c r="C680" s="95" t="n">
        <f aca="false">Train_In!D29</f>
        <v>0.05</v>
      </c>
      <c r="D680" s="61" t="n">
        <v>0.05</v>
      </c>
      <c r="E680" s="105" t="n">
        <f aca="false">IF(ABS(C680-D680)&lt;=0.000000001*ABS(D680)+0.000000000001,0,1)</f>
        <v>0</v>
      </c>
    </row>
    <row r="681" customFormat="false" ht="15" hidden="false" customHeight="false" outlineLevel="0" collapsed="false">
      <c r="A681" s="62" t="s">
        <v>3318</v>
      </c>
      <c r="B681" s="62" t="s">
        <v>3323</v>
      </c>
      <c r="C681" s="95" t="n">
        <f aca="false">Train_In!E29</f>
        <v>0.1</v>
      </c>
      <c r="D681" s="61" t="n">
        <v>0.1</v>
      </c>
      <c r="E681" s="105" t="n">
        <f aca="false">IF(ABS(C681-D681)&lt;=0.000000001*ABS(D681)+0.000000000001,0,1)</f>
        <v>0</v>
      </c>
    </row>
    <row r="682" customFormat="false" ht="15" hidden="false" customHeight="false" outlineLevel="0" collapsed="false">
      <c r="A682" s="62" t="s">
        <v>3318</v>
      </c>
      <c r="B682" s="62" t="s">
        <v>3324</v>
      </c>
      <c r="C682" s="63" t="n">
        <f aca="false">Train_In!C30</f>
        <v>16384</v>
      </c>
      <c r="D682" s="61" t="n">
        <v>16384</v>
      </c>
      <c r="E682" s="105" t="n">
        <f aca="false">IF(ABS(C682-D682)&lt;=0.000000001*ABS(D682)+0.000000000001,0,1)</f>
        <v>0</v>
      </c>
    </row>
    <row r="683" customFormat="false" ht="15" hidden="false" customHeight="false" outlineLevel="0" collapsed="false">
      <c r="A683" s="62" t="s">
        <v>3318</v>
      </c>
      <c r="B683" s="62" t="s">
        <v>3325</v>
      </c>
      <c r="C683" s="63" t="n">
        <f aca="false">Train_In!D30</f>
        <v>16384</v>
      </c>
      <c r="D683" s="61" t="n">
        <v>16384</v>
      </c>
      <c r="E683" s="105" t="n">
        <f aca="false">IF(ABS(C683-D683)&lt;=0.000000001*ABS(D683)+0.000000000001,0,1)</f>
        <v>0</v>
      </c>
    </row>
    <row r="684" customFormat="false" ht="15" hidden="false" customHeight="false" outlineLevel="0" collapsed="false">
      <c r="A684" s="62" t="s">
        <v>3318</v>
      </c>
      <c r="B684" s="62" t="s">
        <v>3326</v>
      </c>
      <c r="C684" s="63" t="n">
        <f aca="false">Train_In!E30</f>
        <v>16384</v>
      </c>
      <c r="D684" s="61" t="n">
        <v>16384</v>
      </c>
      <c r="E684" s="105" t="n">
        <f aca="false">IF(ABS(C684-D684)&lt;=0.000000001*ABS(D684)+0.000000000001,0,1)</f>
        <v>0</v>
      </c>
    </row>
    <row r="685" customFormat="false" ht="15" hidden="false" customHeight="false" outlineLevel="0" collapsed="false">
      <c r="A685" s="62" t="s">
        <v>3318</v>
      </c>
      <c r="B685" s="62" t="s">
        <v>3196</v>
      </c>
      <c r="C685" s="63" t="n">
        <f aca="false">Train_In!C31</f>
        <v>20</v>
      </c>
      <c r="D685" s="61" t="n">
        <v>20</v>
      </c>
      <c r="E685" s="105" t="n">
        <f aca="false">IF(ABS(C685-D685)&lt;=0.000000001*ABS(D685)+0.000000000001,0,1)</f>
        <v>0</v>
      </c>
    </row>
    <row r="686" customFormat="false" ht="15" hidden="false" customHeight="false" outlineLevel="0" collapsed="false">
      <c r="A686" s="62" t="s">
        <v>3318</v>
      </c>
      <c r="B686" s="62" t="s">
        <v>3150</v>
      </c>
      <c r="C686" s="63" t="n">
        <f aca="false">Train_In!D31</f>
        <v>20</v>
      </c>
      <c r="D686" s="61" t="n">
        <v>20</v>
      </c>
      <c r="E686" s="105" t="n">
        <f aca="false">IF(ABS(C686-D686)&lt;=0.000000001*ABS(D686)+0.000000000001,0,1)</f>
        <v>0</v>
      </c>
    </row>
    <row r="687" customFormat="false" ht="15" hidden="false" customHeight="false" outlineLevel="0" collapsed="false">
      <c r="A687" s="62" t="s">
        <v>3318</v>
      </c>
      <c r="B687" s="62" t="s">
        <v>3151</v>
      </c>
      <c r="C687" s="63" t="n">
        <f aca="false">Train_In!E31</f>
        <v>20</v>
      </c>
      <c r="D687" s="61" t="n">
        <v>20</v>
      </c>
      <c r="E687" s="105" t="n">
        <f aca="false">IF(ABS(C687-D687)&lt;=0.000000001*ABS(D687)+0.000000000001,0,1)</f>
        <v>0</v>
      </c>
    </row>
    <row r="688" customFormat="false" ht="15" hidden="false" customHeight="false" outlineLevel="0" collapsed="false">
      <c r="A688" s="62" t="s">
        <v>3318</v>
      </c>
      <c r="B688" s="62" t="s">
        <v>3198</v>
      </c>
      <c r="C688" s="63" t="n">
        <f aca="false">Train_In!C32</f>
        <v>4096</v>
      </c>
      <c r="D688" s="61" t="n">
        <v>4096</v>
      </c>
      <c r="E688" s="105" t="n">
        <f aca="false">IF(ABS(C688-D688)&lt;=0.000000001*ABS(D688)+0.000000000001,0,1)</f>
        <v>0</v>
      </c>
    </row>
    <row r="689" customFormat="false" ht="15" hidden="false" customHeight="false" outlineLevel="0" collapsed="false">
      <c r="A689" s="62" t="s">
        <v>3318</v>
      </c>
      <c r="B689" s="62" t="s">
        <v>3153</v>
      </c>
      <c r="C689" s="63" t="n">
        <f aca="false">Train_In!D32</f>
        <v>8192</v>
      </c>
      <c r="D689" s="61" t="n">
        <v>8192</v>
      </c>
      <c r="E689" s="105" t="n">
        <f aca="false">IF(ABS(C689-D689)&lt;=0.000000001*ABS(D689)+0.000000000001,0,1)</f>
        <v>0</v>
      </c>
    </row>
    <row r="690" customFormat="false" ht="15" hidden="false" customHeight="false" outlineLevel="0" collapsed="false">
      <c r="A690" s="62" t="s">
        <v>3318</v>
      </c>
      <c r="B690" s="62" t="s">
        <v>3154</v>
      </c>
      <c r="C690" s="63" t="n">
        <f aca="false">Train_In!E32</f>
        <v>16384</v>
      </c>
      <c r="D690" s="61" t="n">
        <v>16384</v>
      </c>
      <c r="E690" s="105" t="n">
        <f aca="false">IF(ABS(C690-D690)&lt;=0.000000001*ABS(D690)+0.000000000001,0,1)</f>
        <v>0</v>
      </c>
    </row>
    <row r="691" customFormat="false" ht="15" hidden="false" customHeight="false" outlineLevel="0" collapsed="false">
      <c r="A691" s="62" t="s">
        <v>3318</v>
      </c>
      <c r="B691" s="62" t="s">
        <v>3327</v>
      </c>
      <c r="C691" s="63" t="n">
        <f aca="false">Train_In!C33</f>
        <v>8192</v>
      </c>
      <c r="D691" s="61" t="n">
        <v>8192</v>
      </c>
      <c r="E691" s="105" t="n">
        <f aca="false">IF(ABS(C691-D691)&lt;=0.000000001*ABS(D691)+0.000000000001,0,1)</f>
        <v>0</v>
      </c>
    </row>
    <row r="692" customFormat="false" ht="15" hidden="false" customHeight="false" outlineLevel="0" collapsed="false">
      <c r="A692" s="62" t="s">
        <v>3318</v>
      </c>
      <c r="B692" s="62" t="s">
        <v>3156</v>
      </c>
      <c r="C692" s="63" t="n">
        <f aca="false">Train_In!D33</f>
        <v>16384</v>
      </c>
      <c r="D692" s="61" t="n">
        <v>16384</v>
      </c>
      <c r="E692" s="105" t="n">
        <f aca="false">IF(ABS(C692-D692)&lt;=0.000000001*ABS(D692)+0.000000000001,0,1)</f>
        <v>0</v>
      </c>
    </row>
    <row r="693" customFormat="false" ht="15" hidden="false" customHeight="false" outlineLevel="0" collapsed="false">
      <c r="A693" s="62" t="s">
        <v>3318</v>
      </c>
      <c r="B693" s="62" t="s">
        <v>3157</v>
      </c>
      <c r="C693" s="63" t="n">
        <f aca="false">Train_In!E33</f>
        <v>32768</v>
      </c>
      <c r="D693" s="61" t="n">
        <v>32768</v>
      </c>
      <c r="E693" s="105" t="n">
        <f aca="false">IF(ABS(C693-D693)&lt;=0.000000001*ABS(D693)+0.000000000001,0,1)</f>
        <v>0</v>
      </c>
    </row>
    <row r="694" customFormat="false" ht="15" hidden="false" customHeight="false" outlineLevel="0" collapsed="false">
      <c r="A694" s="62" t="s">
        <v>3318</v>
      </c>
      <c r="B694" s="62" t="s">
        <v>3210</v>
      </c>
      <c r="C694" s="95" t="n">
        <f aca="false">Train_In!C34</f>
        <v>2.36</v>
      </c>
      <c r="D694" s="61" t="n">
        <v>2.36</v>
      </c>
      <c r="E694" s="105" t="n">
        <f aca="false">IF(ABS(C694-D694)&lt;=0.000000001*ABS(D694)+0.000000000001,0,1)</f>
        <v>0</v>
      </c>
    </row>
    <row r="695" customFormat="false" ht="15" hidden="false" customHeight="false" outlineLevel="0" collapsed="false">
      <c r="A695" s="62" t="s">
        <v>3318</v>
      </c>
      <c r="B695" s="62" t="s">
        <v>3159</v>
      </c>
      <c r="C695" s="95" t="n">
        <f aca="false">Train_In!D34</f>
        <v>2.36</v>
      </c>
      <c r="D695" s="61" t="n">
        <v>2.36</v>
      </c>
      <c r="E695" s="105" t="n">
        <f aca="false">IF(ABS(C695-D695)&lt;=0.000000001*ABS(D695)+0.000000000001,0,1)</f>
        <v>0</v>
      </c>
    </row>
    <row r="696" customFormat="false" ht="15" hidden="false" customHeight="false" outlineLevel="0" collapsed="false">
      <c r="A696" s="62" t="s">
        <v>3318</v>
      </c>
      <c r="B696" s="62" t="s">
        <v>3160</v>
      </c>
      <c r="C696" s="95" t="n">
        <f aca="false">Train_In!E34</f>
        <v>9.6</v>
      </c>
      <c r="D696" s="61" t="n">
        <v>9.6</v>
      </c>
      <c r="E696" s="105" t="n">
        <f aca="false">IF(ABS(C696-D696)&lt;=0.000000001*ABS(D696)+0.000000000001,0,1)</f>
        <v>0</v>
      </c>
    </row>
    <row r="697" customFormat="false" ht="15" hidden="false" customHeight="false" outlineLevel="0" collapsed="false">
      <c r="A697" s="62" t="s">
        <v>3318</v>
      </c>
      <c r="B697" s="62" t="s">
        <v>3328</v>
      </c>
      <c r="C697" s="95" t="n">
        <f aca="false">Train_In!C35</f>
        <v>0.2</v>
      </c>
      <c r="D697" s="61" t="n">
        <v>0.2</v>
      </c>
      <c r="E697" s="105" t="n">
        <f aca="false">IF(ABS(C697-D697)&lt;=0.000000001*ABS(D697)+0.000000000001,0,1)</f>
        <v>0</v>
      </c>
    </row>
    <row r="698" customFormat="false" ht="15" hidden="false" customHeight="false" outlineLevel="0" collapsed="false">
      <c r="A698" s="62" t="s">
        <v>3318</v>
      </c>
      <c r="B698" s="62" t="s">
        <v>3162</v>
      </c>
      <c r="C698" s="95" t="n">
        <f aca="false">Train_In!D35</f>
        <v>0.2</v>
      </c>
      <c r="D698" s="61" t="n">
        <v>0.2</v>
      </c>
      <c r="E698" s="105" t="n">
        <f aca="false">IF(ABS(C698-D698)&lt;=0.000000001*ABS(D698)+0.000000000001,0,1)</f>
        <v>0</v>
      </c>
    </row>
    <row r="699" customFormat="false" ht="15" hidden="false" customHeight="false" outlineLevel="0" collapsed="false">
      <c r="A699" s="62" t="s">
        <v>3318</v>
      </c>
      <c r="B699" s="62" t="s">
        <v>3163</v>
      </c>
      <c r="C699" s="95" t="n">
        <f aca="false">Train_In!E35</f>
        <v>0.2</v>
      </c>
      <c r="D699" s="61" t="n">
        <v>0.2</v>
      </c>
      <c r="E699" s="105" t="n">
        <f aca="false">IF(ABS(C699-D699)&lt;=0.000000001*ABS(D699)+0.000000000001,0,1)</f>
        <v>0</v>
      </c>
    </row>
    <row r="700" customFormat="false" ht="15" hidden="false" customHeight="false" outlineLevel="0" collapsed="false">
      <c r="A700" s="62" t="s">
        <v>3318</v>
      </c>
      <c r="B700" s="62" t="s">
        <v>3329</v>
      </c>
      <c r="C700" s="90" t="n">
        <f aca="false">Train_In!C36</f>
        <v>1</v>
      </c>
      <c r="D700" s="61" t="n">
        <v>1</v>
      </c>
      <c r="E700" s="105" t="n">
        <f aca="false">IF(ABS(C700-D700)&lt;=0.000000001*ABS(D700)+0.000000000001,0,1)</f>
        <v>0</v>
      </c>
    </row>
    <row r="701" customFormat="false" ht="15" hidden="false" customHeight="false" outlineLevel="0" collapsed="false">
      <c r="A701" s="62" t="s">
        <v>3318</v>
      </c>
      <c r="B701" s="62" t="s">
        <v>3330</v>
      </c>
      <c r="C701" s="90" t="n">
        <f aca="false">Train_In!D36</f>
        <v>2</v>
      </c>
      <c r="D701" s="61" t="n">
        <v>2</v>
      </c>
      <c r="E701" s="105" t="n">
        <f aca="false">IF(ABS(C701-D701)&lt;=0.000000001*ABS(D701)+0.000000000001,0,1)</f>
        <v>0</v>
      </c>
    </row>
    <row r="702" customFormat="false" ht="15" hidden="false" customHeight="false" outlineLevel="0" collapsed="false">
      <c r="A702" s="62" t="s">
        <v>3318</v>
      </c>
      <c r="B702" s="62" t="s">
        <v>3211</v>
      </c>
      <c r="C702" s="90" t="n">
        <f aca="false">Train_In!E36</f>
        <v>3</v>
      </c>
      <c r="D702" s="61" t="n">
        <v>3</v>
      </c>
      <c r="E702" s="105" t="n">
        <f aca="false">IF(ABS(C702-D702)&lt;=0.000000001*ABS(D702)+0.000000000001,0,1)</f>
        <v>0</v>
      </c>
    </row>
    <row r="703" customFormat="false" ht="15" hidden="false" customHeight="false" outlineLevel="0" collapsed="false">
      <c r="A703" s="62" t="s">
        <v>3318</v>
      </c>
      <c r="B703" s="62" t="s">
        <v>3331</v>
      </c>
      <c r="C703" s="98" t="n">
        <f aca="false">Train_In!C37</f>
        <v>1</v>
      </c>
      <c r="D703" s="61" t="n">
        <v>1</v>
      </c>
      <c r="E703" s="105" t="n">
        <f aca="false">IF(ABS(C703-D703)&lt;=0.000000001*ABS(D703)+0.000000000001,0,1)</f>
        <v>0</v>
      </c>
    </row>
    <row r="704" customFormat="false" ht="15" hidden="false" customHeight="false" outlineLevel="0" collapsed="false">
      <c r="A704" s="62" t="s">
        <v>3318</v>
      </c>
      <c r="B704" s="62" t="s">
        <v>3165</v>
      </c>
      <c r="C704" s="98" t="n">
        <f aca="false">Train_In!D37</f>
        <v>2</v>
      </c>
      <c r="D704" s="61" t="n">
        <v>2</v>
      </c>
      <c r="E704" s="105" t="n">
        <f aca="false">IF(ABS(C704-D704)&lt;=0.000000001*ABS(D704)+0.000000000001,0,1)</f>
        <v>0</v>
      </c>
    </row>
    <row r="705" customFormat="false" ht="15" hidden="false" customHeight="false" outlineLevel="0" collapsed="false">
      <c r="A705" s="62" t="s">
        <v>3318</v>
      </c>
      <c r="B705" s="62" t="s">
        <v>3166</v>
      </c>
      <c r="C705" s="98" t="n">
        <f aca="false">Train_In!E37</f>
        <v>3</v>
      </c>
      <c r="D705" s="61" t="n">
        <v>3</v>
      </c>
      <c r="E705" s="105" t="n">
        <f aca="false">IF(ABS(C705-D705)&lt;=0.000000001*ABS(D705)+0.000000000001,0,1)</f>
        <v>0</v>
      </c>
    </row>
    <row r="706" customFormat="false" ht="15" hidden="false" customHeight="false" outlineLevel="0" collapsed="false">
      <c r="A706" s="62" t="s">
        <v>3318</v>
      </c>
      <c r="B706" s="62" t="s">
        <v>3332</v>
      </c>
      <c r="C706" s="95" t="n">
        <f aca="false">Train_In!C38</f>
        <v>0.02</v>
      </c>
      <c r="D706" s="61" t="n">
        <v>0.02</v>
      </c>
      <c r="E706" s="105" t="n">
        <f aca="false">IF(ABS(C706-D706)&lt;=0.000000001*ABS(D706)+0.000000000001,0,1)</f>
        <v>0</v>
      </c>
    </row>
    <row r="707" customFormat="false" ht="15" hidden="false" customHeight="false" outlineLevel="0" collapsed="false">
      <c r="A707" s="62" t="s">
        <v>3318</v>
      </c>
      <c r="B707" s="62" t="s">
        <v>3168</v>
      </c>
      <c r="C707" s="95" t="n">
        <f aca="false">Train_In!D38</f>
        <v>0.05</v>
      </c>
      <c r="D707" s="61" t="n">
        <v>0.05</v>
      </c>
      <c r="E707" s="105" t="n">
        <f aca="false">IF(ABS(C707-D707)&lt;=0.000000001*ABS(D707)+0.000000000001,0,1)</f>
        <v>0</v>
      </c>
    </row>
    <row r="708" customFormat="false" ht="15" hidden="false" customHeight="false" outlineLevel="0" collapsed="false">
      <c r="A708" s="62" t="s">
        <v>3318</v>
      </c>
      <c r="B708" s="62" t="s">
        <v>3169</v>
      </c>
      <c r="C708" s="95" t="n">
        <f aca="false">Train_In!E38</f>
        <v>0.1</v>
      </c>
      <c r="D708" s="61" t="n">
        <v>0.1</v>
      </c>
      <c r="E708" s="105" t="n">
        <f aca="false">IF(ABS(C708-D708)&lt;=0.000000001*ABS(D708)+0.000000000001,0,1)</f>
        <v>0</v>
      </c>
    </row>
    <row r="709" customFormat="false" ht="15" hidden="false" customHeight="false" outlineLevel="0" collapsed="false">
      <c r="A709" s="62" t="s">
        <v>3333</v>
      </c>
      <c r="B709" s="62" t="s">
        <v>3172</v>
      </c>
      <c r="C709" s="90" t="n">
        <f aca="false">Perf_Batch!C6</f>
        <v>1</v>
      </c>
      <c r="D709" s="61" t="n">
        <v>1</v>
      </c>
      <c r="E709" s="105" t="n">
        <f aca="false">IF(ABS(C709-D709)&lt;=0.000000001*ABS(D709)+0.000000000001,0,1)</f>
        <v>0</v>
      </c>
    </row>
    <row r="710" customFormat="false" ht="15" hidden="false" customHeight="false" outlineLevel="0" collapsed="false">
      <c r="A710" s="62" t="s">
        <v>3333</v>
      </c>
      <c r="B710" s="62" t="s">
        <v>3300</v>
      </c>
      <c r="C710" s="90" t="n">
        <f aca="false">Perf_Batch!D6</f>
        <v>1</v>
      </c>
      <c r="D710" s="61" t="n">
        <v>1</v>
      </c>
      <c r="E710" s="105" t="n">
        <f aca="false">IF(ABS(C710-D710)&lt;=0.000000001*ABS(D710)+0.000000000001,0,1)</f>
        <v>0</v>
      </c>
    </row>
    <row r="711" customFormat="false" ht="15" hidden="false" customHeight="false" outlineLevel="0" collapsed="false">
      <c r="A711" s="62" t="s">
        <v>3333</v>
      </c>
      <c r="B711" s="62" t="s">
        <v>3109</v>
      </c>
      <c r="C711" s="90" t="n">
        <f aca="false">Perf_Batch!E6</f>
        <v>1</v>
      </c>
      <c r="D711" s="61" t="n">
        <v>1</v>
      </c>
      <c r="E711" s="105" t="n">
        <f aca="false">IF(ABS(C711-D711)&lt;=0.000000001*ABS(D711)+0.000000000001,0,1)</f>
        <v>0</v>
      </c>
    </row>
    <row r="712" customFormat="false" ht="15" hidden="false" customHeight="false" outlineLevel="0" collapsed="false">
      <c r="A712" s="62" t="s">
        <v>3333</v>
      </c>
      <c r="B712" s="62" t="s">
        <v>3253</v>
      </c>
      <c r="C712" s="90" t="n">
        <f aca="false">Perf_Batch!F6</f>
        <v>2</v>
      </c>
      <c r="D712" s="61" t="n">
        <v>2</v>
      </c>
      <c r="E712" s="105" t="n">
        <f aca="false">IF(ABS(C712-D712)&lt;=0.000000001*ABS(D712)+0.000000000001,0,1)</f>
        <v>0</v>
      </c>
    </row>
    <row r="713" customFormat="false" ht="15" hidden="false" customHeight="false" outlineLevel="0" collapsed="false">
      <c r="A713" s="62" t="s">
        <v>3333</v>
      </c>
      <c r="B713" s="62" t="s">
        <v>3254</v>
      </c>
      <c r="C713" s="90" t="n">
        <f aca="false">Perf_Batch!G6</f>
        <v>2</v>
      </c>
      <c r="D713" s="61" t="n">
        <v>2</v>
      </c>
      <c r="E713" s="105" t="n">
        <f aca="false">IF(ABS(C713-D713)&lt;=0.000000001*ABS(D713)+0.000000000001,0,1)</f>
        <v>0</v>
      </c>
    </row>
    <row r="714" customFormat="false" ht="15" hidden="false" customHeight="false" outlineLevel="0" collapsed="false">
      <c r="A714" s="62" t="s">
        <v>3333</v>
      </c>
      <c r="B714" s="62" t="s">
        <v>3255</v>
      </c>
      <c r="C714" s="90" t="n">
        <f aca="false">Perf_Batch!H6</f>
        <v>2</v>
      </c>
      <c r="D714" s="61" t="n">
        <v>2</v>
      </c>
      <c r="E714" s="105" t="n">
        <f aca="false">IF(ABS(C714-D714)&lt;=0.000000001*ABS(D714)+0.000000000001,0,1)</f>
        <v>0</v>
      </c>
    </row>
    <row r="715" customFormat="false" ht="15" hidden="false" customHeight="false" outlineLevel="0" collapsed="false">
      <c r="A715" s="62" t="s">
        <v>3333</v>
      </c>
      <c r="B715" s="62" t="s">
        <v>3301</v>
      </c>
      <c r="C715" s="90" t="n">
        <f aca="false">Perf_Batch!I6</f>
        <v>3</v>
      </c>
      <c r="D715" s="61" t="n">
        <v>3</v>
      </c>
      <c r="E715" s="105" t="n">
        <f aca="false">IF(ABS(C715-D715)&lt;=0.000000001*ABS(D715)+0.000000000001,0,1)</f>
        <v>0</v>
      </c>
    </row>
    <row r="716" customFormat="false" ht="15" hidden="false" customHeight="false" outlineLevel="0" collapsed="false">
      <c r="A716" s="62" t="s">
        <v>3333</v>
      </c>
      <c r="B716" s="62" t="s">
        <v>3302</v>
      </c>
      <c r="C716" s="90" t="n">
        <f aca="false">Perf_Batch!J6</f>
        <v>3</v>
      </c>
      <c r="D716" s="61" t="n">
        <v>3</v>
      </c>
      <c r="E716" s="105" t="n">
        <f aca="false">IF(ABS(C716-D716)&lt;=0.000000001*ABS(D716)+0.000000000001,0,1)</f>
        <v>0</v>
      </c>
    </row>
    <row r="717" customFormat="false" ht="15" hidden="false" customHeight="false" outlineLevel="0" collapsed="false">
      <c r="A717" s="62" t="s">
        <v>3333</v>
      </c>
      <c r="B717" s="62" t="s">
        <v>3303</v>
      </c>
      <c r="C717" s="90" t="n">
        <f aca="false">Perf_Batch!K6</f>
        <v>3</v>
      </c>
      <c r="D717" s="61" t="n">
        <v>3</v>
      </c>
      <c r="E717" s="105" t="n">
        <f aca="false">IF(ABS(C717-D717)&lt;=0.000000001*ABS(D717)+0.000000000001,0,1)</f>
        <v>0</v>
      </c>
    </row>
    <row r="718" customFormat="false" ht="15" hidden="false" customHeight="false" outlineLevel="0" collapsed="false">
      <c r="A718" s="62" t="s">
        <v>3333</v>
      </c>
      <c r="B718" s="62" t="s">
        <v>3304</v>
      </c>
      <c r="C718" s="90" t="n">
        <f aca="false">Perf_Batch!L6</f>
        <v>4</v>
      </c>
      <c r="D718" s="61" t="n">
        <v>4</v>
      </c>
      <c r="E718" s="105" t="n">
        <f aca="false">IF(ABS(C718-D718)&lt;=0.000000001*ABS(D718)+0.000000000001,0,1)</f>
        <v>0</v>
      </c>
    </row>
    <row r="719" customFormat="false" ht="15" hidden="false" customHeight="false" outlineLevel="0" collapsed="false">
      <c r="A719" s="62" t="s">
        <v>3333</v>
      </c>
      <c r="B719" s="62" t="s">
        <v>3305</v>
      </c>
      <c r="C719" s="90" t="n">
        <f aca="false">Perf_Batch!M6</f>
        <v>4</v>
      </c>
      <c r="D719" s="61" t="n">
        <v>4</v>
      </c>
      <c r="E719" s="105" t="n">
        <f aca="false">IF(ABS(C719-D719)&lt;=0.000000001*ABS(D719)+0.000000000001,0,1)</f>
        <v>0</v>
      </c>
    </row>
    <row r="720" customFormat="false" ht="15" hidden="false" customHeight="false" outlineLevel="0" collapsed="false">
      <c r="A720" s="62" t="s">
        <v>3333</v>
      </c>
      <c r="B720" s="62" t="s">
        <v>3256</v>
      </c>
      <c r="C720" s="90" t="n">
        <f aca="false">Perf_Batch!N6</f>
        <v>4</v>
      </c>
      <c r="D720" s="61" t="n">
        <v>4</v>
      </c>
      <c r="E720" s="105" t="n">
        <f aca="false">IF(ABS(C720-D720)&lt;=0.000000001*ABS(D720)+0.000000000001,0,1)</f>
        <v>0</v>
      </c>
    </row>
    <row r="721" customFormat="false" ht="15" hidden="false" customHeight="false" outlineLevel="0" collapsed="false">
      <c r="A721" s="62" t="s">
        <v>3333</v>
      </c>
      <c r="B721" s="62" t="s">
        <v>3257</v>
      </c>
      <c r="C721" s="90" t="n">
        <f aca="false">Perf_Batch!O6</f>
        <v>5</v>
      </c>
      <c r="D721" s="61" t="n">
        <v>5</v>
      </c>
      <c r="E721" s="105" t="n">
        <f aca="false">IF(ABS(C721-D721)&lt;=0.000000001*ABS(D721)+0.000000000001,0,1)</f>
        <v>0</v>
      </c>
    </row>
    <row r="722" customFormat="false" ht="15" hidden="false" customHeight="false" outlineLevel="0" collapsed="false">
      <c r="A722" s="62" t="s">
        <v>3333</v>
      </c>
      <c r="B722" s="62" t="s">
        <v>3306</v>
      </c>
      <c r="C722" s="90" t="n">
        <f aca="false">Perf_Batch!P6</f>
        <v>5</v>
      </c>
      <c r="D722" s="61" t="n">
        <v>5</v>
      </c>
      <c r="E722" s="105" t="n">
        <f aca="false">IF(ABS(C722-D722)&lt;=0.000000001*ABS(D722)+0.000000000001,0,1)</f>
        <v>0</v>
      </c>
    </row>
    <row r="723" customFormat="false" ht="15" hidden="false" customHeight="false" outlineLevel="0" collapsed="false">
      <c r="A723" s="62" t="s">
        <v>3333</v>
      </c>
      <c r="B723" s="62" t="s">
        <v>3307</v>
      </c>
      <c r="C723" s="90" t="n">
        <f aca="false">Perf_Batch!Q6</f>
        <v>5</v>
      </c>
      <c r="D723" s="61" t="n">
        <v>5</v>
      </c>
      <c r="E723" s="105" t="n">
        <f aca="false">IF(ABS(C723-D723)&lt;=0.000000001*ABS(D723)+0.000000000001,0,1)</f>
        <v>0</v>
      </c>
    </row>
    <row r="724" customFormat="false" ht="15" hidden="false" customHeight="false" outlineLevel="0" collapsed="false">
      <c r="A724" s="62" t="s">
        <v>3333</v>
      </c>
      <c r="B724" s="62" t="s">
        <v>3308</v>
      </c>
      <c r="C724" s="90" t="n">
        <f aca="false">Perf_Batch!C7</f>
        <v>1</v>
      </c>
      <c r="D724" s="61" t="n">
        <v>1</v>
      </c>
      <c r="E724" s="105" t="n">
        <f aca="false">IF(ABS(C724-D724)&lt;=0.000000001*ABS(D724)+0.000000000001,0,1)</f>
        <v>0</v>
      </c>
    </row>
    <row r="725" customFormat="false" ht="15" hidden="false" customHeight="false" outlineLevel="0" collapsed="false">
      <c r="A725" s="62" t="s">
        <v>3333</v>
      </c>
      <c r="B725" s="62" t="s">
        <v>3309</v>
      </c>
      <c r="C725" s="90" t="n">
        <f aca="false">Perf_Batch!D7</f>
        <v>2</v>
      </c>
      <c r="D725" s="61" t="n">
        <v>2</v>
      </c>
      <c r="E725" s="105" t="n">
        <f aca="false">IF(ABS(C725-D725)&lt;=0.000000001*ABS(D725)+0.000000000001,0,1)</f>
        <v>0</v>
      </c>
    </row>
    <row r="726" customFormat="false" ht="15" hidden="false" customHeight="false" outlineLevel="0" collapsed="false">
      <c r="A726" s="62" t="s">
        <v>3333</v>
      </c>
      <c r="B726" s="62" t="s">
        <v>3209</v>
      </c>
      <c r="C726" s="90" t="n">
        <f aca="false">Perf_Batch!E7</f>
        <v>3</v>
      </c>
      <c r="D726" s="61" t="n">
        <v>3</v>
      </c>
      <c r="E726" s="105" t="n">
        <f aca="false">IF(ABS(C726-D726)&lt;=0.000000001*ABS(D726)+0.000000000001,0,1)</f>
        <v>0</v>
      </c>
    </row>
    <row r="727" customFormat="false" ht="15" hidden="false" customHeight="false" outlineLevel="0" collapsed="false">
      <c r="A727" s="62" t="s">
        <v>3333</v>
      </c>
      <c r="B727" s="62" t="s">
        <v>3258</v>
      </c>
      <c r="C727" s="90" t="n">
        <f aca="false">Perf_Batch!F7</f>
        <v>1</v>
      </c>
      <c r="D727" s="61" t="n">
        <v>1</v>
      </c>
      <c r="E727" s="105" t="n">
        <f aca="false">IF(ABS(C727-D727)&lt;=0.000000001*ABS(D727)+0.000000000001,0,1)</f>
        <v>0</v>
      </c>
    </row>
    <row r="728" customFormat="false" ht="15" hidden="false" customHeight="false" outlineLevel="0" collapsed="false">
      <c r="A728" s="62" t="s">
        <v>3333</v>
      </c>
      <c r="B728" s="62" t="s">
        <v>3259</v>
      </c>
      <c r="C728" s="90" t="n">
        <f aca="false">Perf_Batch!G7</f>
        <v>2</v>
      </c>
      <c r="D728" s="61" t="n">
        <v>2</v>
      </c>
      <c r="E728" s="105" t="n">
        <f aca="false">IF(ABS(C728-D728)&lt;=0.000000001*ABS(D728)+0.000000000001,0,1)</f>
        <v>0</v>
      </c>
    </row>
    <row r="729" customFormat="false" ht="15" hidden="false" customHeight="false" outlineLevel="0" collapsed="false">
      <c r="A729" s="62" t="s">
        <v>3333</v>
      </c>
      <c r="B729" s="62" t="s">
        <v>3260</v>
      </c>
      <c r="C729" s="90" t="n">
        <f aca="false">Perf_Batch!H7</f>
        <v>3</v>
      </c>
      <c r="D729" s="61" t="n">
        <v>3</v>
      </c>
      <c r="E729" s="105" t="n">
        <f aca="false">IF(ABS(C729-D729)&lt;=0.000000001*ABS(D729)+0.000000000001,0,1)</f>
        <v>0</v>
      </c>
    </row>
    <row r="730" customFormat="false" ht="15" hidden="false" customHeight="false" outlineLevel="0" collapsed="false">
      <c r="A730" s="62" t="s">
        <v>3333</v>
      </c>
      <c r="B730" s="62" t="s">
        <v>3310</v>
      </c>
      <c r="C730" s="90" t="n">
        <f aca="false">Perf_Batch!I7</f>
        <v>1</v>
      </c>
      <c r="D730" s="61" t="n">
        <v>1</v>
      </c>
      <c r="E730" s="105" t="n">
        <f aca="false">IF(ABS(C730-D730)&lt;=0.000000001*ABS(D730)+0.000000000001,0,1)</f>
        <v>0</v>
      </c>
    </row>
    <row r="731" customFormat="false" ht="15" hidden="false" customHeight="false" outlineLevel="0" collapsed="false">
      <c r="A731" s="62" t="s">
        <v>3333</v>
      </c>
      <c r="B731" s="62" t="s">
        <v>3311</v>
      </c>
      <c r="C731" s="90" t="n">
        <f aca="false">Perf_Batch!J7</f>
        <v>2</v>
      </c>
      <c r="D731" s="61" t="n">
        <v>2</v>
      </c>
      <c r="E731" s="105" t="n">
        <f aca="false">IF(ABS(C731-D731)&lt;=0.000000001*ABS(D731)+0.000000000001,0,1)</f>
        <v>0</v>
      </c>
    </row>
    <row r="732" customFormat="false" ht="15" hidden="false" customHeight="false" outlineLevel="0" collapsed="false">
      <c r="A732" s="62" t="s">
        <v>3333</v>
      </c>
      <c r="B732" s="62" t="s">
        <v>3312</v>
      </c>
      <c r="C732" s="90" t="n">
        <f aca="false">Perf_Batch!K7</f>
        <v>3</v>
      </c>
      <c r="D732" s="61" t="n">
        <v>3</v>
      </c>
      <c r="E732" s="105" t="n">
        <f aca="false">IF(ABS(C732-D732)&lt;=0.000000001*ABS(D732)+0.000000000001,0,1)</f>
        <v>0</v>
      </c>
    </row>
    <row r="733" customFormat="false" ht="15" hidden="false" customHeight="false" outlineLevel="0" collapsed="false">
      <c r="A733" s="62" t="s">
        <v>3333</v>
      </c>
      <c r="B733" s="62" t="s">
        <v>3313</v>
      </c>
      <c r="C733" s="90" t="n">
        <f aca="false">Perf_Batch!L7</f>
        <v>1</v>
      </c>
      <c r="D733" s="61" t="n">
        <v>1</v>
      </c>
      <c r="E733" s="105" t="n">
        <f aca="false">IF(ABS(C733-D733)&lt;=0.000000001*ABS(D733)+0.000000000001,0,1)</f>
        <v>0</v>
      </c>
    </row>
    <row r="734" customFormat="false" ht="15" hidden="false" customHeight="false" outlineLevel="0" collapsed="false">
      <c r="A734" s="62" t="s">
        <v>3333</v>
      </c>
      <c r="B734" s="62" t="s">
        <v>3314</v>
      </c>
      <c r="C734" s="90" t="n">
        <f aca="false">Perf_Batch!M7</f>
        <v>2</v>
      </c>
      <c r="D734" s="61" t="n">
        <v>2</v>
      </c>
      <c r="E734" s="105" t="n">
        <f aca="false">IF(ABS(C734-D734)&lt;=0.000000001*ABS(D734)+0.000000000001,0,1)</f>
        <v>0</v>
      </c>
    </row>
    <row r="735" customFormat="false" ht="15" hidden="false" customHeight="false" outlineLevel="0" collapsed="false">
      <c r="A735" s="62" t="s">
        <v>3333</v>
      </c>
      <c r="B735" s="62" t="s">
        <v>3261</v>
      </c>
      <c r="C735" s="90" t="n">
        <f aca="false">Perf_Batch!N7</f>
        <v>3</v>
      </c>
      <c r="D735" s="61" t="n">
        <v>3</v>
      </c>
      <c r="E735" s="105" t="n">
        <f aca="false">IF(ABS(C735-D735)&lt;=0.000000001*ABS(D735)+0.000000000001,0,1)</f>
        <v>0</v>
      </c>
    </row>
    <row r="736" customFormat="false" ht="15" hidden="false" customHeight="false" outlineLevel="0" collapsed="false">
      <c r="A736" s="62" t="s">
        <v>3333</v>
      </c>
      <c r="B736" s="62" t="s">
        <v>3262</v>
      </c>
      <c r="C736" s="90" t="n">
        <f aca="false">Perf_Batch!O7</f>
        <v>1</v>
      </c>
      <c r="D736" s="61" t="n">
        <v>1</v>
      </c>
      <c r="E736" s="105" t="n">
        <f aca="false">IF(ABS(C736-D736)&lt;=0.000000001*ABS(D736)+0.000000000001,0,1)</f>
        <v>0</v>
      </c>
    </row>
    <row r="737" customFormat="false" ht="15" hidden="false" customHeight="false" outlineLevel="0" collapsed="false">
      <c r="A737" s="62" t="s">
        <v>3333</v>
      </c>
      <c r="B737" s="62" t="s">
        <v>3315</v>
      </c>
      <c r="C737" s="90" t="n">
        <f aca="false">Perf_Batch!P7</f>
        <v>2</v>
      </c>
      <c r="D737" s="61" t="n">
        <v>2</v>
      </c>
      <c r="E737" s="105" t="n">
        <f aca="false">IF(ABS(C737-D737)&lt;=0.000000001*ABS(D737)+0.000000000001,0,1)</f>
        <v>0</v>
      </c>
    </row>
    <row r="738" customFormat="false" ht="15" hidden="false" customHeight="false" outlineLevel="0" collapsed="false">
      <c r="A738" s="62" t="s">
        <v>3333</v>
      </c>
      <c r="B738" s="62" t="s">
        <v>3316</v>
      </c>
      <c r="C738" s="90" t="n">
        <f aca="false">Perf_Batch!Q7</f>
        <v>3</v>
      </c>
      <c r="D738" s="61" t="n">
        <v>3</v>
      </c>
      <c r="E738" s="105" t="n">
        <f aca="false">IF(ABS(C738-D738)&lt;=0.000000001*ABS(D738)+0.000000000001,0,1)</f>
        <v>0</v>
      </c>
    </row>
    <row r="739" customFormat="false" ht="15" hidden="false" customHeight="false" outlineLevel="0" collapsed="false">
      <c r="A739" s="62" t="s">
        <v>3334</v>
      </c>
      <c r="B739" s="62" t="s">
        <v>3172</v>
      </c>
      <c r="C739" s="90" t="n">
        <f aca="false">Training!C6</f>
        <v>1</v>
      </c>
      <c r="D739" s="61" t="n">
        <v>1</v>
      </c>
      <c r="E739" s="105" t="n">
        <f aca="false">IF(ABS(C739-D739)&lt;=0.000000001*ABS(D739)+0.000000000001,0,1)</f>
        <v>0</v>
      </c>
    </row>
    <row r="740" customFormat="false" ht="15" hidden="false" customHeight="false" outlineLevel="0" collapsed="false">
      <c r="A740" s="62" t="s">
        <v>3334</v>
      </c>
      <c r="B740" s="62" t="s">
        <v>3300</v>
      </c>
      <c r="C740" s="90" t="n">
        <f aca="false">Training!D6</f>
        <v>1</v>
      </c>
      <c r="D740" s="61" t="n">
        <v>1</v>
      </c>
      <c r="E740" s="105" t="n">
        <f aca="false">IF(ABS(C740-D740)&lt;=0.000000001*ABS(D740)+0.000000000001,0,1)</f>
        <v>0</v>
      </c>
    </row>
    <row r="741" customFormat="false" ht="15" hidden="false" customHeight="false" outlineLevel="0" collapsed="false">
      <c r="A741" s="62" t="s">
        <v>3334</v>
      </c>
      <c r="B741" s="62" t="s">
        <v>3109</v>
      </c>
      <c r="C741" s="90" t="n">
        <f aca="false">Training!E6</f>
        <v>1</v>
      </c>
      <c r="D741" s="61" t="n">
        <v>1</v>
      </c>
      <c r="E741" s="105" t="n">
        <f aca="false">IF(ABS(C741-D741)&lt;=0.000000001*ABS(D741)+0.000000000001,0,1)</f>
        <v>0</v>
      </c>
    </row>
    <row r="742" customFormat="false" ht="15" hidden="false" customHeight="false" outlineLevel="0" collapsed="false">
      <c r="A742" s="62" t="s">
        <v>3334</v>
      </c>
      <c r="B742" s="62" t="s">
        <v>3253</v>
      </c>
      <c r="C742" s="90" t="n">
        <f aca="false">Training!F6</f>
        <v>2</v>
      </c>
      <c r="D742" s="61" t="n">
        <v>2</v>
      </c>
      <c r="E742" s="105" t="n">
        <f aca="false">IF(ABS(C742-D742)&lt;=0.000000001*ABS(D742)+0.000000000001,0,1)</f>
        <v>0</v>
      </c>
    </row>
    <row r="743" customFormat="false" ht="15" hidden="false" customHeight="false" outlineLevel="0" collapsed="false">
      <c r="A743" s="62" t="s">
        <v>3334</v>
      </c>
      <c r="B743" s="62" t="s">
        <v>3254</v>
      </c>
      <c r="C743" s="90" t="n">
        <f aca="false">Training!G6</f>
        <v>2</v>
      </c>
      <c r="D743" s="61" t="n">
        <v>2</v>
      </c>
      <c r="E743" s="105" t="n">
        <f aca="false">IF(ABS(C743-D743)&lt;=0.000000001*ABS(D743)+0.000000000001,0,1)</f>
        <v>0</v>
      </c>
    </row>
    <row r="744" customFormat="false" ht="15" hidden="false" customHeight="false" outlineLevel="0" collapsed="false">
      <c r="A744" s="62" t="s">
        <v>3334</v>
      </c>
      <c r="B744" s="62" t="s">
        <v>3255</v>
      </c>
      <c r="C744" s="90" t="n">
        <f aca="false">Training!H6</f>
        <v>2</v>
      </c>
      <c r="D744" s="61" t="n">
        <v>2</v>
      </c>
      <c r="E744" s="105" t="n">
        <f aca="false">IF(ABS(C744-D744)&lt;=0.000000001*ABS(D744)+0.000000000001,0,1)</f>
        <v>0</v>
      </c>
    </row>
    <row r="745" customFormat="false" ht="15" hidden="false" customHeight="false" outlineLevel="0" collapsed="false">
      <c r="A745" s="62" t="s">
        <v>3334</v>
      </c>
      <c r="B745" s="62" t="s">
        <v>3301</v>
      </c>
      <c r="C745" s="90" t="n">
        <f aca="false">Training!I6</f>
        <v>3</v>
      </c>
      <c r="D745" s="61" t="n">
        <v>3</v>
      </c>
      <c r="E745" s="105" t="n">
        <f aca="false">IF(ABS(C745-D745)&lt;=0.000000001*ABS(D745)+0.000000000001,0,1)</f>
        <v>0</v>
      </c>
    </row>
    <row r="746" customFormat="false" ht="15" hidden="false" customHeight="false" outlineLevel="0" collapsed="false">
      <c r="A746" s="62" t="s">
        <v>3334</v>
      </c>
      <c r="B746" s="62" t="s">
        <v>3302</v>
      </c>
      <c r="C746" s="90" t="n">
        <f aca="false">Training!J6</f>
        <v>3</v>
      </c>
      <c r="D746" s="61" t="n">
        <v>3</v>
      </c>
      <c r="E746" s="105" t="n">
        <f aca="false">IF(ABS(C746-D746)&lt;=0.000000001*ABS(D746)+0.000000000001,0,1)</f>
        <v>0</v>
      </c>
    </row>
    <row r="747" customFormat="false" ht="15" hidden="false" customHeight="false" outlineLevel="0" collapsed="false">
      <c r="A747" s="62" t="s">
        <v>3334</v>
      </c>
      <c r="B747" s="62" t="s">
        <v>3303</v>
      </c>
      <c r="C747" s="90" t="n">
        <f aca="false">Training!K6</f>
        <v>3</v>
      </c>
      <c r="D747" s="61" t="n">
        <v>3</v>
      </c>
      <c r="E747" s="105" t="n">
        <f aca="false">IF(ABS(C747-D747)&lt;=0.000000001*ABS(D747)+0.000000000001,0,1)</f>
        <v>0</v>
      </c>
    </row>
    <row r="748" customFormat="false" ht="15" hidden="false" customHeight="false" outlineLevel="0" collapsed="false">
      <c r="A748" s="62" t="s">
        <v>3334</v>
      </c>
      <c r="B748" s="62" t="s">
        <v>3304</v>
      </c>
      <c r="C748" s="90" t="n">
        <f aca="false">Training!L6</f>
        <v>4</v>
      </c>
      <c r="D748" s="61" t="n">
        <v>4</v>
      </c>
      <c r="E748" s="105" t="n">
        <f aca="false">IF(ABS(C748-D748)&lt;=0.000000001*ABS(D748)+0.000000000001,0,1)</f>
        <v>0</v>
      </c>
    </row>
    <row r="749" customFormat="false" ht="15" hidden="false" customHeight="false" outlineLevel="0" collapsed="false">
      <c r="A749" s="62" t="s">
        <v>3334</v>
      </c>
      <c r="B749" s="62" t="s">
        <v>3305</v>
      </c>
      <c r="C749" s="90" t="n">
        <f aca="false">Training!M6</f>
        <v>4</v>
      </c>
      <c r="D749" s="61" t="n">
        <v>4</v>
      </c>
      <c r="E749" s="105" t="n">
        <f aca="false">IF(ABS(C749-D749)&lt;=0.000000001*ABS(D749)+0.000000000001,0,1)</f>
        <v>0</v>
      </c>
    </row>
    <row r="750" customFormat="false" ht="15" hidden="false" customHeight="false" outlineLevel="0" collapsed="false">
      <c r="A750" s="62" t="s">
        <v>3334</v>
      </c>
      <c r="B750" s="62" t="s">
        <v>3256</v>
      </c>
      <c r="C750" s="90" t="n">
        <f aca="false">Training!N6</f>
        <v>4</v>
      </c>
      <c r="D750" s="61" t="n">
        <v>4</v>
      </c>
      <c r="E750" s="105" t="n">
        <f aca="false">IF(ABS(C750-D750)&lt;=0.000000001*ABS(D750)+0.000000000001,0,1)</f>
        <v>0</v>
      </c>
    </row>
    <row r="751" customFormat="false" ht="15" hidden="false" customHeight="false" outlineLevel="0" collapsed="false">
      <c r="A751" s="62" t="s">
        <v>3334</v>
      </c>
      <c r="B751" s="62" t="s">
        <v>3257</v>
      </c>
      <c r="C751" s="90" t="n">
        <f aca="false">Training!O6</f>
        <v>5</v>
      </c>
      <c r="D751" s="61" t="n">
        <v>5</v>
      </c>
      <c r="E751" s="105" t="n">
        <f aca="false">IF(ABS(C751-D751)&lt;=0.000000001*ABS(D751)+0.000000000001,0,1)</f>
        <v>0</v>
      </c>
    </row>
    <row r="752" customFormat="false" ht="15" hidden="false" customHeight="false" outlineLevel="0" collapsed="false">
      <c r="A752" s="62" t="s">
        <v>3334</v>
      </c>
      <c r="B752" s="62" t="s">
        <v>3306</v>
      </c>
      <c r="C752" s="90" t="n">
        <f aca="false">Training!P6</f>
        <v>5</v>
      </c>
      <c r="D752" s="61" t="n">
        <v>5</v>
      </c>
      <c r="E752" s="105" t="n">
        <f aca="false">IF(ABS(C752-D752)&lt;=0.000000001*ABS(D752)+0.000000000001,0,1)</f>
        <v>0</v>
      </c>
    </row>
    <row r="753" customFormat="false" ht="15" hidden="false" customHeight="false" outlineLevel="0" collapsed="false">
      <c r="A753" s="62" t="s">
        <v>3334</v>
      </c>
      <c r="B753" s="62" t="s">
        <v>3307</v>
      </c>
      <c r="C753" s="90" t="n">
        <f aca="false">Training!Q6</f>
        <v>5</v>
      </c>
      <c r="D753" s="61" t="n">
        <v>5</v>
      </c>
      <c r="E753" s="105" t="n">
        <f aca="false">IF(ABS(C753-D753)&lt;=0.000000001*ABS(D753)+0.000000000001,0,1)</f>
        <v>0</v>
      </c>
    </row>
    <row r="754" customFormat="false" ht="15" hidden="false" customHeight="false" outlineLevel="0" collapsed="false">
      <c r="A754" s="62" t="s">
        <v>3334</v>
      </c>
      <c r="B754" s="62" t="s">
        <v>3308</v>
      </c>
      <c r="C754" s="90" t="n">
        <f aca="false">Training!C7</f>
        <v>1</v>
      </c>
      <c r="D754" s="61" t="n">
        <v>1</v>
      </c>
      <c r="E754" s="105" t="n">
        <f aca="false">IF(ABS(C754-D754)&lt;=0.000000001*ABS(D754)+0.000000000001,0,1)</f>
        <v>0</v>
      </c>
    </row>
    <row r="755" customFormat="false" ht="15" hidden="false" customHeight="false" outlineLevel="0" collapsed="false">
      <c r="A755" s="62" t="s">
        <v>3334</v>
      </c>
      <c r="B755" s="62" t="s">
        <v>3309</v>
      </c>
      <c r="C755" s="90" t="n">
        <f aca="false">Training!D7</f>
        <v>2</v>
      </c>
      <c r="D755" s="61" t="n">
        <v>2</v>
      </c>
      <c r="E755" s="105" t="n">
        <f aca="false">IF(ABS(C755-D755)&lt;=0.000000001*ABS(D755)+0.000000000001,0,1)</f>
        <v>0</v>
      </c>
    </row>
    <row r="756" customFormat="false" ht="15" hidden="false" customHeight="false" outlineLevel="0" collapsed="false">
      <c r="A756" s="62" t="s">
        <v>3334</v>
      </c>
      <c r="B756" s="62" t="s">
        <v>3209</v>
      </c>
      <c r="C756" s="90" t="n">
        <f aca="false">Training!E7</f>
        <v>3</v>
      </c>
      <c r="D756" s="61" t="n">
        <v>3</v>
      </c>
      <c r="E756" s="105" t="n">
        <f aca="false">IF(ABS(C756-D756)&lt;=0.000000001*ABS(D756)+0.000000000001,0,1)</f>
        <v>0</v>
      </c>
    </row>
    <row r="757" customFormat="false" ht="15" hidden="false" customHeight="false" outlineLevel="0" collapsed="false">
      <c r="A757" s="62" t="s">
        <v>3334</v>
      </c>
      <c r="B757" s="62" t="s">
        <v>3258</v>
      </c>
      <c r="C757" s="90" t="n">
        <f aca="false">Training!F7</f>
        <v>1</v>
      </c>
      <c r="D757" s="61" t="n">
        <v>1</v>
      </c>
      <c r="E757" s="105" t="n">
        <f aca="false">IF(ABS(C757-D757)&lt;=0.000000001*ABS(D757)+0.000000000001,0,1)</f>
        <v>0</v>
      </c>
    </row>
    <row r="758" customFormat="false" ht="15" hidden="false" customHeight="false" outlineLevel="0" collapsed="false">
      <c r="A758" s="62" t="s">
        <v>3334</v>
      </c>
      <c r="B758" s="62" t="s">
        <v>3259</v>
      </c>
      <c r="C758" s="90" t="n">
        <f aca="false">Training!G7</f>
        <v>2</v>
      </c>
      <c r="D758" s="61" t="n">
        <v>2</v>
      </c>
      <c r="E758" s="105" t="n">
        <f aca="false">IF(ABS(C758-D758)&lt;=0.000000001*ABS(D758)+0.000000000001,0,1)</f>
        <v>0</v>
      </c>
    </row>
    <row r="759" customFormat="false" ht="15" hidden="false" customHeight="false" outlineLevel="0" collapsed="false">
      <c r="A759" s="62" t="s">
        <v>3334</v>
      </c>
      <c r="B759" s="62" t="s">
        <v>3260</v>
      </c>
      <c r="C759" s="90" t="n">
        <f aca="false">Training!H7</f>
        <v>3</v>
      </c>
      <c r="D759" s="61" t="n">
        <v>3</v>
      </c>
      <c r="E759" s="105" t="n">
        <f aca="false">IF(ABS(C759-D759)&lt;=0.000000001*ABS(D759)+0.000000000001,0,1)</f>
        <v>0</v>
      </c>
    </row>
    <row r="760" customFormat="false" ht="15" hidden="false" customHeight="false" outlineLevel="0" collapsed="false">
      <c r="A760" s="62" t="s">
        <v>3334</v>
      </c>
      <c r="B760" s="62" t="s">
        <v>3310</v>
      </c>
      <c r="C760" s="90" t="n">
        <f aca="false">Training!I7</f>
        <v>1</v>
      </c>
      <c r="D760" s="61" t="n">
        <v>1</v>
      </c>
      <c r="E760" s="105" t="n">
        <f aca="false">IF(ABS(C760-D760)&lt;=0.000000001*ABS(D760)+0.000000000001,0,1)</f>
        <v>0</v>
      </c>
    </row>
    <row r="761" customFormat="false" ht="15" hidden="false" customHeight="false" outlineLevel="0" collapsed="false">
      <c r="A761" s="62" t="s">
        <v>3334</v>
      </c>
      <c r="B761" s="62" t="s">
        <v>3311</v>
      </c>
      <c r="C761" s="90" t="n">
        <f aca="false">Training!J7</f>
        <v>2</v>
      </c>
      <c r="D761" s="61" t="n">
        <v>2</v>
      </c>
      <c r="E761" s="105" t="n">
        <f aca="false">IF(ABS(C761-D761)&lt;=0.000000001*ABS(D761)+0.000000000001,0,1)</f>
        <v>0</v>
      </c>
    </row>
    <row r="762" customFormat="false" ht="15" hidden="false" customHeight="false" outlineLevel="0" collapsed="false">
      <c r="A762" s="62" t="s">
        <v>3334</v>
      </c>
      <c r="B762" s="62" t="s">
        <v>3312</v>
      </c>
      <c r="C762" s="90" t="n">
        <f aca="false">Training!K7</f>
        <v>3</v>
      </c>
      <c r="D762" s="61" t="n">
        <v>3</v>
      </c>
      <c r="E762" s="105" t="n">
        <f aca="false">IF(ABS(C762-D762)&lt;=0.000000001*ABS(D762)+0.000000000001,0,1)</f>
        <v>0</v>
      </c>
    </row>
    <row r="763" customFormat="false" ht="15" hidden="false" customHeight="false" outlineLevel="0" collapsed="false">
      <c r="A763" s="62" t="s">
        <v>3334</v>
      </c>
      <c r="B763" s="62" t="s">
        <v>3313</v>
      </c>
      <c r="C763" s="90" t="n">
        <f aca="false">Training!L7</f>
        <v>1</v>
      </c>
      <c r="D763" s="61" t="n">
        <v>1</v>
      </c>
      <c r="E763" s="105" t="n">
        <f aca="false">IF(ABS(C763-D763)&lt;=0.000000001*ABS(D763)+0.000000000001,0,1)</f>
        <v>0</v>
      </c>
    </row>
    <row r="764" customFormat="false" ht="15" hidden="false" customHeight="false" outlineLevel="0" collapsed="false">
      <c r="A764" s="62" t="s">
        <v>3334</v>
      </c>
      <c r="B764" s="62" t="s">
        <v>3314</v>
      </c>
      <c r="C764" s="90" t="n">
        <f aca="false">Training!M7</f>
        <v>2</v>
      </c>
      <c r="D764" s="61" t="n">
        <v>2</v>
      </c>
      <c r="E764" s="105" t="n">
        <f aca="false">IF(ABS(C764-D764)&lt;=0.000000001*ABS(D764)+0.000000000001,0,1)</f>
        <v>0</v>
      </c>
    </row>
    <row r="765" customFormat="false" ht="15" hidden="false" customHeight="false" outlineLevel="0" collapsed="false">
      <c r="A765" s="62" t="s">
        <v>3334</v>
      </c>
      <c r="B765" s="62" t="s">
        <v>3261</v>
      </c>
      <c r="C765" s="90" t="n">
        <f aca="false">Training!N7</f>
        <v>3</v>
      </c>
      <c r="D765" s="61" t="n">
        <v>3</v>
      </c>
      <c r="E765" s="105" t="n">
        <f aca="false">IF(ABS(C765-D765)&lt;=0.000000001*ABS(D765)+0.000000000001,0,1)</f>
        <v>0</v>
      </c>
    </row>
    <row r="766" customFormat="false" ht="15" hidden="false" customHeight="false" outlineLevel="0" collapsed="false">
      <c r="A766" s="62" t="s">
        <v>3334</v>
      </c>
      <c r="B766" s="62" t="s">
        <v>3262</v>
      </c>
      <c r="C766" s="90" t="n">
        <f aca="false">Training!O7</f>
        <v>1</v>
      </c>
      <c r="D766" s="61" t="n">
        <v>1</v>
      </c>
      <c r="E766" s="105" t="n">
        <f aca="false">IF(ABS(C766-D766)&lt;=0.000000001*ABS(D766)+0.000000000001,0,1)</f>
        <v>0</v>
      </c>
    </row>
    <row r="767" customFormat="false" ht="15" hidden="false" customHeight="false" outlineLevel="0" collapsed="false">
      <c r="A767" s="62" t="s">
        <v>3334</v>
      </c>
      <c r="B767" s="62" t="s">
        <v>3315</v>
      </c>
      <c r="C767" s="90" t="n">
        <f aca="false">Training!P7</f>
        <v>2</v>
      </c>
      <c r="D767" s="61" t="n">
        <v>2</v>
      </c>
      <c r="E767" s="105" t="n">
        <f aca="false">IF(ABS(C767-D767)&lt;=0.000000001*ABS(D767)+0.000000000001,0,1)</f>
        <v>0</v>
      </c>
    </row>
    <row r="768" customFormat="false" ht="15" hidden="false" customHeight="false" outlineLevel="0" collapsed="false">
      <c r="A768" s="62" t="s">
        <v>3334</v>
      </c>
      <c r="B768" s="62" t="s">
        <v>3316</v>
      </c>
      <c r="C768" s="90" t="n">
        <f aca="false">Training!Q7</f>
        <v>3</v>
      </c>
      <c r="D768" s="61" t="n">
        <v>3</v>
      </c>
      <c r="E768" s="105" t="n">
        <f aca="false">IF(ABS(C768-D768)&lt;=0.000000001*ABS(D768)+0.000000000001,0,1)</f>
        <v>0</v>
      </c>
    </row>
    <row r="769" customFormat="false" ht="15" hidden="false" customHeight="false" outlineLevel="0" collapsed="false">
      <c r="A769" s="62" t="s">
        <v>3335</v>
      </c>
      <c r="B769" s="62" t="s">
        <v>3180</v>
      </c>
      <c r="C769" s="66" t="n">
        <f aca="false">Cap_In!C12</f>
        <v>0.2</v>
      </c>
      <c r="D769" s="61" t="n">
        <v>0.2</v>
      </c>
      <c r="E769" s="105" t="n">
        <f aca="false">IF(ABS(C769-D769)&lt;=0.000000001*ABS(D769)+0.000000000001,0,1)</f>
        <v>0</v>
      </c>
    </row>
    <row r="770" customFormat="false" ht="15" hidden="false" customHeight="false" outlineLevel="0" collapsed="false">
      <c r="A770" s="62" t="s">
        <v>3335</v>
      </c>
      <c r="B770" s="62" t="s">
        <v>3184</v>
      </c>
      <c r="C770" s="66" t="n">
        <f aca="false">Cap_In!C13</f>
        <v>0.55</v>
      </c>
      <c r="D770" s="61" t="n">
        <v>0.55</v>
      </c>
      <c r="E770" s="105" t="n">
        <f aca="false">IF(ABS(C770-D770)&lt;=0.000000001*ABS(D770)+0.000000000001,0,1)</f>
        <v>0</v>
      </c>
    </row>
    <row r="771" customFormat="false" ht="15" hidden="false" customHeight="false" outlineLevel="0" collapsed="false">
      <c r="A771" s="62" t="s">
        <v>3335</v>
      </c>
      <c r="B771" s="62" t="s">
        <v>3213</v>
      </c>
      <c r="C771" s="97" t="n">
        <f aca="false">Cap_In!C14</f>
        <v>0</v>
      </c>
      <c r="D771" s="61" t="n">
        <v>0</v>
      </c>
      <c r="E771" s="105" t="n">
        <f aca="false">IF(ABS(C771-D771)&lt;=0.000000001*ABS(D771)+0.000000000001,0,1)</f>
        <v>0</v>
      </c>
    </row>
    <row r="772" customFormat="false" ht="15" hidden="false" customHeight="false" outlineLevel="0" collapsed="false">
      <c r="A772" s="62" t="s">
        <v>3335</v>
      </c>
      <c r="B772" s="62" t="s">
        <v>3214</v>
      </c>
      <c r="C772" s="97" t="n">
        <f aca="false">Cap_In!C15</f>
        <v>1</v>
      </c>
      <c r="D772" s="61" t="n">
        <v>1</v>
      </c>
      <c r="E772" s="105" t="n">
        <f aca="false">IF(ABS(C772-D772)&lt;=0.000000001*ABS(D772)+0.000000000001,0,1)</f>
        <v>0</v>
      </c>
    </row>
    <row r="773" customFormat="false" ht="15" hidden="false" customHeight="false" outlineLevel="0" collapsed="false">
      <c r="A773" s="62" t="s">
        <v>3335</v>
      </c>
      <c r="B773" s="62" t="s">
        <v>3218</v>
      </c>
      <c r="C773" s="90" t="n">
        <f aca="false">Cap_In!C22</f>
        <v>12</v>
      </c>
      <c r="D773" s="61" t="n">
        <v>12</v>
      </c>
      <c r="E773" s="105" t="n">
        <f aca="false">IF(ABS(C773-D773)&lt;=0.000000001*ABS(D773)+0.000000000001,0,1)</f>
        <v>0</v>
      </c>
    </row>
    <row r="774" customFormat="false" ht="15" hidden="false" customHeight="false" outlineLevel="0" collapsed="false">
      <c r="A774" s="62" t="s">
        <v>3335</v>
      </c>
      <c r="B774" s="62" t="s">
        <v>3219</v>
      </c>
      <c r="C774" s="90" t="n">
        <f aca="false">Cap_In!D22</f>
        <v>12</v>
      </c>
      <c r="D774" s="61" t="n">
        <v>12</v>
      </c>
      <c r="E774" s="105" t="n">
        <f aca="false">IF(ABS(C774-D774)&lt;=0.000000001*ABS(D774)+0.000000000001,0,1)</f>
        <v>0</v>
      </c>
    </row>
    <row r="775" customFormat="false" ht="15" hidden="false" customHeight="false" outlineLevel="0" collapsed="false">
      <c r="A775" s="62" t="s">
        <v>3335</v>
      </c>
      <c r="B775" s="62" t="s">
        <v>3220</v>
      </c>
      <c r="C775" s="90" t="n">
        <f aca="false">Cap_In!E22</f>
        <v>9</v>
      </c>
      <c r="D775" s="61" t="n">
        <v>9</v>
      </c>
      <c r="E775" s="105" t="n">
        <f aca="false">IF(ABS(C775-D775)&lt;=0.000000001*ABS(D775)+0.000000000001,0,1)</f>
        <v>0</v>
      </c>
    </row>
    <row r="776" customFormat="false" ht="15" hidden="false" customHeight="false" outlineLevel="0" collapsed="false">
      <c r="A776" s="62" t="s">
        <v>3335</v>
      </c>
      <c r="B776" s="62" t="s">
        <v>3226</v>
      </c>
      <c r="C776" s="66" t="n">
        <f aca="false">Cap_In!C28</f>
        <v>0.41</v>
      </c>
      <c r="D776" s="61" t="n">
        <v>0.41</v>
      </c>
      <c r="E776" s="105" t="n">
        <f aca="false">IF(ABS(C776-D776)&lt;=0.000000001*ABS(D776)+0.000000000001,0,1)</f>
        <v>0</v>
      </c>
    </row>
    <row r="777" customFormat="false" ht="15" hidden="false" customHeight="false" outlineLevel="0" collapsed="false">
      <c r="A777" s="62" t="s">
        <v>3335</v>
      </c>
      <c r="B777" s="62" t="s">
        <v>3192</v>
      </c>
      <c r="C777" s="66" t="n">
        <f aca="false">Cap_In!C29</f>
        <v>0.46</v>
      </c>
      <c r="D777" s="61" t="n">
        <v>0.46</v>
      </c>
      <c r="E777" s="105" t="n">
        <f aca="false">IF(ABS(C777-D777)&lt;=0.000000001*ABS(D777)+0.000000000001,0,1)</f>
        <v>0</v>
      </c>
    </row>
    <row r="778" customFormat="false" ht="15" hidden="false" customHeight="false" outlineLevel="0" collapsed="false">
      <c r="A778" s="62" t="s">
        <v>3335</v>
      </c>
      <c r="B778" s="62" t="s">
        <v>3196</v>
      </c>
      <c r="C778" s="66" t="n">
        <f aca="false">Cap_In!C31</f>
        <v>0.4</v>
      </c>
      <c r="D778" s="61" t="n">
        <v>0.4</v>
      </c>
      <c r="E778" s="105" t="n">
        <f aca="false">IF(ABS(C778-D778)&lt;=0.000000001*ABS(D778)+0.000000000001,0,1)</f>
        <v>0</v>
      </c>
    </row>
    <row r="779" customFormat="false" ht="15" hidden="false" customHeight="false" outlineLevel="0" collapsed="false">
      <c r="A779" s="62" t="s">
        <v>3335</v>
      </c>
      <c r="B779" s="62" t="s">
        <v>3150</v>
      </c>
      <c r="C779" s="66" t="n">
        <f aca="false">Cap_In!D31</f>
        <v>0.45</v>
      </c>
      <c r="D779" s="61" t="n">
        <v>0.45</v>
      </c>
      <c r="E779" s="105" t="n">
        <f aca="false">IF(ABS(C779-D779)&lt;=0.000000001*ABS(D779)+0.000000000001,0,1)</f>
        <v>0</v>
      </c>
    </row>
    <row r="780" customFormat="false" ht="15" hidden="false" customHeight="false" outlineLevel="0" collapsed="false">
      <c r="A780" s="62" t="s">
        <v>3335</v>
      </c>
      <c r="B780" s="62" t="s">
        <v>3151</v>
      </c>
      <c r="C780" s="66" t="n">
        <f aca="false">Cap_In!E31</f>
        <v>0.15</v>
      </c>
      <c r="D780" s="61" t="n">
        <v>0.15</v>
      </c>
      <c r="E780" s="105" t="n">
        <f aca="false">IF(ABS(C780-D780)&lt;=0.000000001*ABS(D780)+0.000000000001,0,1)</f>
        <v>0</v>
      </c>
    </row>
    <row r="781" customFormat="false" ht="15" hidden="false" customHeight="false" outlineLevel="0" collapsed="false">
      <c r="A781" s="62" t="s">
        <v>3335</v>
      </c>
      <c r="B781" s="62" t="s">
        <v>3198</v>
      </c>
      <c r="C781" s="66" t="n">
        <f aca="false">Cap_In!C32</f>
        <v>0.9</v>
      </c>
      <c r="D781" s="61" t="n">
        <v>0.9</v>
      </c>
      <c r="E781" s="105" t="n">
        <f aca="false">IF(ABS(C781-D781)&lt;=0.000000001*ABS(D781)+0.000000000001,0,1)</f>
        <v>0</v>
      </c>
    </row>
    <row r="782" customFormat="false" ht="15" hidden="false" customHeight="false" outlineLevel="0" collapsed="false">
      <c r="A782" s="62" t="s">
        <v>3335</v>
      </c>
      <c r="B782" s="62" t="s">
        <v>3153</v>
      </c>
      <c r="C782" s="66" t="n">
        <f aca="false">Cap_In!D32</f>
        <v>0.1</v>
      </c>
      <c r="D782" s="61" t="n">
        <v>0.1</v>
      </c>
      <c r="E782" s="105" t="n">
        <f aca="false">IF(ABS(C782-D782)&lt;=0.000000001*ABS(D782)+0.000000000001,0,1)</f>
        <v>0</v>
      </c>
    </row>
    <row r="783" customFormat="false" ht="15" hidden="false" customHeight="false" outlineLevel="0" collapsed="false">
      <c r="A783" s="62" t="s">
        <v>3335</v>
      </c>
      <c r="B783" s="62" t="s">
        <v>3154</v>
      </c>
      <c r="C783" s="66" t="n">
        <f aca="false">Cap_In!E32</f>
        <v>0</v>
      </c>
      <c r="D783" s="61" t="n">
        <v>0</v>
      </c>
      <c r="E783" s="105" t="n">
        <f aca="false">IF(ABS(C783-D783)&lt;=0.000000001*ABS(D783)+0.000000000001,0,1)</f>
        <v>0</v>
      </c>
    </row>
    <row r="784" customFormat="false" ht="15" hidden="false" customHeight="false" outlineLevel="0" collapsed="false">
      <c r="A784" s="62" t="s">
        <v>3335</v>
      </c>
      <c r="B784" s="62" t="s">
        <v>3329</v>
      </c>
      <c r="C784" s="90" t="n">
        <f aca="false">Cap_In!C36</f>
        <v>2</v>
      </c>
      <c r="D784" s="61" t="n">
        <v>2</v>
      </c>
      <c r="E784" s="105" t="n">
        <f aca="false">IF(ABS(C784-D784)&lt;=0.000000001*ABS(D784)+0.000000000001,0,1)</f>
        <v>0</v>
      </c>
    </row>
    <row r="785" customFormat="false" ht="15" hidden="false" customHeight="false" outlineLevel="0" collapsed="false">
      <c r="A785" s="62" t="s">
        <v>3335</v>
      </c>
      <c r="B785" s="62" t="s">
        <v>3331</v>
      </c>
      <c r="C785" s="108" t="n">
        <f aca="false">Cap_In!C37</f>
        <v>0.0833333333333333</v>
      </c>
      <c r="D785" s="61" t="n">
        <v>0.0833333333333333</v>
      </c>
      <c r="E785" s="105" t="n">
        <f aca="false">IF(ABS(C785-D785)&lt;=0.000000001*ABS(D785)+0.000000000001,0,1)</f>
        <v>0</v>
      </c>
    </row>
    <row r="786" customFormat="false" ht="15" hidden="false" customHeight="false" outlineLevel="0" collapsed="false">
      <c r="A786" s="62" t="s">
        <v>3335</v>
      </c>
      <c r="B786" s="62" t="s">
        <v>3332</v>
      </c>
      <c r="C786" s="90" t="n">
        <f aca="false">Cap_In!C38</f>
        <v>5</v>
      </c>
      <c r="D786" s="61" t="n">
        <v>5</v>
      </c>
      <c r="E786" s="105" t="n">
        <f aca="false">IF(ABS(C786-D786)&lt;=0.000000001*ABS(D786)+0.000000000001,0,1)</f>
        <v>0</v>
      </c>
    </row>
    <row r="787" customFormat="false" ht="15" hidden="false" customHeight="false" outlineLevel="0" collapsed="false">
      <c r="A787" s="62" t="s">
        <v>3335</v>
      </c>
      <c r="B787" s="62" t="s">
        <v>3336</v>
      </c>
      <c r="C787" s="97" t="n">
        <f aca="false">Cap_In!C39</f>
        <v>10</v>
      </c>
      <c r="D787" s="61" t="n">
        <v>10</v>
      </c>
      <c r="E787" s="105" t="n">
        <f aca="false">IF(ABS(C787-D787)&lt;=0.000000001*ABS(D787)+0.000000000001,0,1)</f>
        <v>0</v>
      </c>
    </row>
    <row r="788" customFormat="false" ht="15" hidden="false" customHeight="false" outlineLevel="0" collapsed="false">
      <c r="A788" s="62" t="s">
        <v>3335</v>
      </c>
      <c r="B788" s="62" t="s">
        <v>3337</v>
      </c>
      <c r="C788" s="90" t="n">
        <f aca="false">Cap_In!C40</f>
        <v>4</v>
      </c>
      <c r="D788" s="61" t="n">
        <v>4</v>
      </c>
      <c r="E788" s="105" t="n">
        <f aca="false">IF(ABS(C788-D788)&lt;=0.000000001*ABS(D788)+0.000000000001,0,1)</f>
        <v>0</v>
      </c>
    </row>
    <row r="789" customFormat="false" ht="15" hidden="false" customHeight="false" outlineLevel="0" collapsed="false">
      <c r="A789" s="62" t="s">
        <v>3335</v>
      </c>
      <c r="B789" s="62" t="s">
        <v>3338</v>
      </c>
      <c r="C789" s="97" t="n">
        <f aca="false">Cap_In!C41</f>
        <v>0.1</v>
      </c>
      <c r="D789" s="61" t="n">
        <v>0.1</v>
      </c>
      <c r="E789" s="105" t="n">
        <f aca="false">IF(ABS(C789-D789)&lt;=0.000000001*ABS(D789)+0.000000000001,0,1)</f>
        <v>0</v>
      </c>
    </row>
    <row r="790" customFormat="false" ht="15" hidden="false" customHeight="false" outlineLevel="0" collapsed="false">
      <c r="A790" s="62" t="s">
        <v>3335</v>
      </c>
      <c r="B790" s="62" t="s">
        <v>3339</v>
      </c>
      <c r="C790" s="90" t="n">
        <f aca="false">Cap_In!C42</f>
        <v>5</v>
      </c>
      <c r="D790" s="61" t="n">
        <v>5</v>
      </c>
      <c r="E790" s="105" t="n">
        <f aca="false">IF(ABS(C790-D790)&lt;=0.000000001*ABS(D790)+0.000000000001,0,1)</f>
        <v>0</v>
      </c>
    </row>
    <row r="791" customFormat="false" ht="15" hidden="false" customHeight="false" outlineLevel="0" collapsed="false">
      <c r="A791" s="62" t="s">
        <v>3340</v>
      </c>
      <c r="B791" s="62" t="s">
        <v>3172</v>
      </c>
      <c r="C791" s="90" t="n">
        <f aca="false">Cache_Store!C6</f>
        <v>1</v>
      </c>
      <c r="D791" s="61" t="n">
        <v>1</v>
      </c>
      <c r="E791" s="105" t="n">
        <f aca="false">IF(ABS(C791-D791)&lt;=0.000000001*ABS(D791)+0.000000000001,0,1)</f>
        <v>0</v>
      </c>
    </row>
    <row r="792" customFormat="false" ht="15" hidden="false" customHeight="false" outlineLevel="0" collapsed="false">
      <c r="A792" s="62" t="s">
        <v>3340</v>
      </c>
      <c r="B792" s="62" t="s">
        <v>3300</v>
      </c>
      <c r="C792" s="90" t="n">
        <f aca="false">Cache_Store!D6</f>
        <v>1</v>
      </c>
      <c r="D792" s="61" t="n">
        <v>1</v>
      </c>
      <c r="E792" s="105" t="n">
        <f aca="false">IF(ABS(C792-D792)&lt;=0.000000001*ABS(D792)+0.000000000001,0,1)</f>
        <v>0</v>
      </c>
    </row>
    <row r="793" customFormat="false" ht="15" hidden="false" customHeight="false" outlineLevel="0" collapsed="false">
      <c r="A793" s="62" t="s">
        <v>3340</v>
      </c>
      <c r="B793" s="62" t="s">
        <v>3109</v>
      </c>
      <c r="C793" s="90" t="n">
        <f aca="false">Cache_Store!E6</f>
        <v>1</v>
      </c>
      <c r="D793" s="61" t="n">
        <v>1</v>
      </c>
      <c r="E793" s="105" t="n">
        <f aca="false">IF(ABS(C793-D793)&lt;=0.000000001*ABS(D793)+0.000000000001,0,1)</f>
        <v>0</v>
      </c>
    </row>
    <row r="794" customFormat="false" ht="15" hidden="false" customHeight="false" outlineLevel="0" collapsed="false">
      <c r="A794" s="62" t="s">
        <v>3340</v>
      </c>
      <c r="B794" s="62" t="s">
        <v>3253</v>
      </c>
      <c r="C794" s="90" t="n">
        <f aca="false">Cache_Store!F6</f>
        <v>2</v>
      </c>
      <c r="D794" s="61" t="n">
        <v>2</v>
      </c>
      <c r="E794" s="105" t="n">
        <f aca="false">IF(ABS(C794-D794)&lt;=0.000000001*ABS(D794)+0.000000000001,0,1)</f>
        <v>0</v>
      </c>
    </row>
    <row r="795" customFormat="false" ht="15" hidden="false" customHeight="false" outlineLevel="0" collapsed="false">
      <c r="A795" s="62" t="s">
        <v>3340</v>
      </c>
      <c r="B795" s="62" t="s">
        <v>3254</v>
      </c>
      <c r="C795" s="90" t="n">
        <f aca="false">Cache_Store!G6</f>
        <v>2</v>
      </c>
      <c r="D795" s="61" t="n">
        <v>2</v>
      </c>
      <c r="E795" s="105" t="n">
        <f aca="false">IF(ABS(C795-D795)&lt;=0.000000001*ABS(D795)+0.000000000001,0,1)</f>
        <v>0</v>
      </c>
    </row>
    <row r="796" customFormat="false" ht="15" hidden="false" customHeight="false" outlineLevel="0" collapsed="false">
      <c r="A796" s="62" t="s">
        <v>3340</v>
      </c>
      <c r="B796" s="62" t="s">
        <v>3255</v>
      </c>
      <c r="C796" s="90" t="n">
        <f aca="false">Cache_Store!H6</f>
        <v>2</v>
      </c>
      <c r="D796" s="61" t="n">
        <v>2</v>
      </c>
      <c r="E796" s="105" t="n">
        <f aca="false">IF(ABS(C796-D796)&lt;=0.000000001*ABS(D796)+0.000000000001,0,1)</f>
        <v>0</v>
      </c>
    </row>
    <row r="797" customFormat="false" ht="15" hidden="false" customHeight="false" outlineLevel="0" collapsed="false">
      <c r="A797" s="62" t="s">
        <v>3340</v>
      </c>
      <c r="B797" s="62" t="s">
        <v>3301</v>
      </c>
      <c r="C797" s="90" t="n">
        <f aca="false">Cache_Store!I6</f>
        <v>3</v>
      </c>
      <c r="D797" s="61" t="n">
        <v>3</v>
      </c>
      <c r="E797" s="105" t="n">
        <f aca="false">IF(ABS(C797-D797)&lt;=0.000000001*ABS(D797)+0.000000000001,0,1)</f>
        <v>0</v>
      </c>
    </row>
    <row r="798" customFormat="false" ht="15" hidden="false" customHeight="false" outlineLevel="0" collapsed="false">
      <c r="A798" s="62" t="s">
        <v>3340</v>
      </c>
      <c r="B798" s="62" t="s">
        <v>3302</v>
      </c>
      <c r="C798" s="90" t="n">
        <f aca="false">Cache_Store!J6</f>
        <v>3</v>
      </c>
      <c r="D798" s="61" t="n">
        <v>3</v>
      </c>
      <c r="E798" s="105" t="n">
        <f aca="false">IF(ABS(C798-D798)&lt;=0.000000001*ABS(D798)+0.000000000001,0,1)</f>
        <v>0</v>
      </c>
    </row>
    <row r="799" customFormat="false" ht="15" hidden="false" customHeight="false" outlineLevel="0" collapsed="false">
      <c r="A799" s="62" t="s">
        <v>3340</v>
      </c>
      <c r="B799" s="62" t="s">
        <v>3303</v>
      </c>
      <c r="C799" s="90" t="n">
        <f aca="false">Cache_Store!K6</f>
        <v>3</v>
      </c>
      <c r="D799" s="61" t="n">
        <v>3</v>
      </c>
      <c r="E799" s="105" t="n">
        <f aca="false">IF(ABS(C799-D799)&lt;=0.000000001*ABS(D799)+0.000000000001,0,1)</f>
        <v>0</v>
      </c>
    </row>
    <row r="800" customFormat="false" ht="15" hidden="false" customHeight="false" outlineLevel="0" collapsed="false">
      <c r="A800" s="62" t="s">
        <v>3340</v>
      </c>
      <c r="B800" s="62" t="s">
        <v>3304</v>
      </c>
      <c r="C800" s="90" t="n">
        <f aca="false">Cache_Store!L6</f>
        <v>4</v>
      </c>
      <c r="D800" s="61" t="n">
        <v>4</v>
      </c>
      <c r="E800" s="105" t="n">
        <f aca="false">IF(ABS(C800-D800)&lt;=0.000000001*ABS(D800)+0.000000000001,0,1)</f>
        <v>0</v>
      </c>
    </row>
    <row r="801" customFormat="false" ht="15" hidden="false" customHeight="false" outlineLevel="0" collapsed="false">
      <c r="A801" s="62" t="s">
        <v>3340</v>
      </c>
      <c r="B801" s="62" t="s">
        <v>3305</v>
      </c>
      <c r="C801" s="90" t="n">
        <f aca="false">Cache_Store!M6</f>
        <v>4</v>
      </c>
      <c r="D801" s="61" t="n">
        <v>4</v>
      </c>
      <c r="E801" s="105" t="n">
        <f aca="false">IF(ABS(C801-D801)&lt;=0.000000001*ABS(D801)+0.000000000001,0,1)</f>
        <v>0</v>
      </c>
    </row>
    <row r="802" customFormat="false" ht="15" hidden="false" customHeight="false" outlineLevel="0" collapsed="false">
      <c r="A802" s="62" t="s">
        <v>3340</v>
      </c>
      <c r="B802" s="62" t="s">
        <v>3256</v>
      </c>
      <c r="C802" s="90" t="n">
        <f aca="false">Cache_Store!N6</f>
        <v>4</v>
      </c>
      <c r="D802" s="61" t="n">
        <v>4</v>
      </c>
      <c r="E802" s="105" t="n">
        <f aca="false">IF(ABS(C802-D802)&lt;=0.000000001*ABS(D802)+0.000000000001,0,1)</f>
        <v>0</v>
      </c>
    </row>
    <row r="803" customFormat="false" ht="15" hidden="false" customHeight="false" outlineLevel="0" collapsed="false">
      <c r="A803" s="62" t="s">
        <v>3340</v>
      </c>
      <c r="B803" s="62" t="s">
        <v>3257</v>
      </c>
      <c r="C803" s="90" t="n">
        <f aca="false">Cache_Store!O6</f>
        <v>5</v>
      </c>
      <c r="D803" s="61" t="n">
        <v>5</v>
      </c>
      <c r="E803" s="105" t="n">
        <f aca="false">IF(ABS(C803-D803)&lt;=0.000000001*ABS(D803)+0.000000000001,0,1)</f>
        <v>0</v>
      </c>
    </row>
    <row r="804" customFormat="false" ht="15" hidden="false" customHeight="false" outlineLevel="0" collapsed="false">
      <c r="A804" s="62" t="s">
        <v>3340</v>
      </c>
      <c r="B804" s="62" t="s">
        <v>3306</v>
      </c>
      <c r="C804" s="90" t="n">
        <f aca="false">Cache_Store!P6</f>
        <v>5</v>
      </c>
      <c r="D804" s="61" t="n">
        <v>5</v>
      </c>
      <c r="E804" s="105" t="n">
        <f aca="false">IF(ABS(C804-D804)&lt;=0.000000001*ABS(D804)+0.000000000001,0,1)</f>
        <v>0</v>
      </c>
    </row>
    <row r="805" customFormat="false" ht="15" hidden="false" customHeight="false" outlineLevel="0" collapsed="false">
      <c r="A805" s="62" t="s">
        <v>3340</v>
      </c>
      <c r="B805" s="62" t="s">
        <v>3307</v>
      </c>
      <c r="C805" s="90" t="n">
        <f aca="false">Cache_Store!Q6</f>
        <v>5</v>
      </c>
      <c r="D805" s="61" t="n">
        <v>5</v>
      </c>
      <c r="E805" s="105" t="n">
        <f aca="false">IF(ABS(C805-D805)&lt;=0.000000001*ABS(D805)+0.000000000001,0,1)</f>
        <v>0</v>
      </c>
    </row>
    <row r="806" customFormat="false" ht="15" hidden="false" customHeight="false" outlineLevel="0" collapsed="false">
      <c r="A806" s="62" t="s">
        <v>3341</v>
      </c>
      <c r="B806" s="62" t="s">
        <v>3308</v>
      </c>
      <c r="C806" s="90" t="n">
        <f aca="false">Fleet_1GW!C7</f>
        <v>1</v>
      </c>
      <c r="D806" s="61" t="n">
        <v>1</v>
      </c>
      <c r="E806" s="105" t="n">
        <f aca="false">IF(ABS(C806-D806)&lt;=0.000000001*ABS(D806)+0.000000000001,0,1)</f>
        <v>0</v>
      </c>
    </row>
    <row r="807" customFormat="false" ht="15" hidden="false" customHeight="false" outlineLevel="0" collapsed="false">
      <c r="A807" s="62" t="s">
        <v>3341</v>
      </c>
      <c r="B807" s="62" t="s">
        <v>3309</v>
      </c>
      <c r="C807" s="90" t="n">
        <f aca="false">Fleet_1GW!D7</f>
        <v>2</v>
      </c>
      <c r="D807" s="61" t="n">
        <v>2</v>
      </c>
      <c r="E807" s="105" t="n">
        <f aca="false">IF(ABS(C807-D807)&lt;=0.000000001*ABS(D807)+0.000000000001,0,1)</f>
        <v>0</v>
      </c>
    </row>
    <row r="808" customFormat="false" ht="15" hidden="false" customHeight="false" outlineLevel="0" collapsed="false">
      <c r="A808" s="62" t="s">
        <v>3341</v>
      </c>
      <c r="B808" s="62" t="s">
        <v>3209</v>
      </c>
      <c r="C808" s="90" t="n">
        <f aca="false">Fleet_1GW!E7</f>
        <v>3</v>
      </c>
      <c r="D808" s="61" t="n">
        <v>3</v>
      </c>
      <c r="E808" s="105" t="n">
        <f aca="false">IF(ABS(C808-D808)&lt;=0.000000001*ABS(D808)+0.000000000001,0,1)</f>
        <v>0</v>
      </c>
    </row>
    <row r="809" customFormat="false" ht="15" hidden="false" customHeight="false" outlineLevel="0" collapsed="false">
      <c r="A809" s="62" t="s">
        <v>3341</v>
      </c>
      <c r="B809" s="62" t="s">
        <v>3258</v>
      </c>
      <c r="C809" s="90" t="n">
        <f aca="false">Fleet_1GW!F7</f>
        <v>4</v>
      </c>
      <c r="D809" s="61" t="n">
        <v>4</v>
      </c>
      <c r="E809" s="105" t="n">
        <f aca="false">IF(ABS(C809-D809)&lt;=0.000000001*ABS(D809)+0.000000000001,0,1)</f>
        <v>0</v>
      </c>
    </row>
    <row r="810" customFormat="false" ht="15" hidden="false" customHeight="false" outlineLevel="0" collapsed="false">
      <c r="A810" s="62" t="s">
        <v>3341</v>
      </c>
      <c r="B810" s="62" t="s">
        <v>3259</v>
      </c>
      <c r="C810" s="90" t="n">
        <f aca="false">Fleet_1GW!G7</f>
        <v>5</v>
      </c>
      <c r="D810" s="61" t="n">
        <v>5</v>
      </c>
      <c r="E810" s="105" t="n">
        <f aca="false">IF(ABS(C810-D810)&lt;=0.000000001*ABS(D810)+0.000000000001,0,1)</f>
        <v>0</v>
      </c>
    </row>
    <row r="811" customFormat="false" ht="15" hidden="false" customHeight="false" outlineLevel="0" collapsed="false">
      <c r="A811" s="62" t="s">
        <v>3341</v>
      </c>
      <c r="B811" s="62" t="s">
        <v>3260</v>
      </c>
      <c r="C811" s="90" t="n">
        <f aca="false">Fleet_1GW!H7</f>
        <v>6</v>
      </c>
      <c r="D811" s="61" t="n">
        <v>6</v>
      </c>
      <c r="E811" s="105" t="n">
        <f aca="false">IF(ABS(C811-D811)&lt;=0.000000001*ABS(D811)+0.000000000001,0,1)</f>
        <v>0</v>
      </c>
    </row>
    <row r="812" customFormat="false" ht="15" hidden="false" customHeight="false" outlineLevel="0" collapsed="false">
      <c r="A812" s="62" t="s">
        <v>3341</v>
      </c>
      <c r="B812" s="62" t="s">
        <v>3310</v>
      </c>
      <c r="C812" s="90" t="n">
        <f aca="false">Fleet_1GW!I7</f>
        <v>7</v>
      </c>
      <c r="D812" s="61" t="n">
        <v>7</v>
      </c>
      <c r="E812" s="105" t="n">
        <f aca="false">IF(ABS(C812-D812)&lt;=0.000000001*ABS(D812)+0.000000000001,0,1)</f>
        <v>0</v>
      </c>
    </row>
    <row r="813" customFormat="false" ht="15" hidden="false" customHeight="false" outlineLevel="0" collapsed="false">
      <c r="A813" s="62" t="s">
        <v>3341</v>
      </c>
      <c r="B813" s="62" t="s">
        <v>3311</v>
      </c>
      <c r="C813" s="90" t="n">
        <f aca="false">Fleet_1GW!J7</f>
        <v>8</v>
      </c>
      <c r="D813" s="61" t="n">
        <v>8</v>
      </c>
      <c r="E813" s="105" t="n">
        <f aca="false">IF(ABS(C813-D813)&lt;=0.000000001*ABS(D813)+0.000000000001,0,1)</f>
        <v>0</v>
      </c>
    </row>
    <row r="814" customFormat="false" ht="15" hidden="false" customHeight="false" outlineLevel="0" collapsed="false">
      <c r="A814" s="62" t="s">
        <v>3341</v>
      </c>
      <c r="B814" s="62" t="s">
        <v>3312</v>
      </c>
      <c r="C814" s="90" t="n">
        <f aca="false">Fleet_1GW!K7</f>
        <v>9</v>
      </c>
      <c r="D814" s="61" t="n">
        <v>9</v>
      </c>
      <c r="E814" s="105" t="n">
        <f aca="false">IF(ABS(C814-D814)&lt;=0.000000001*ABS(D814)+0.000000000001,0,1)</f>
        <v>0</v>
      </c>
    </row>
    <row r="815" customFormat="false" ht="15" hidden="false" customHeight="false" outlineLevel="0" collapsed="false">
      <c r="A815" s="62" t="s">
        <v>3341</v>
      </c>
      <c r="B815" s="62" t="s">
        <v>3313</v>
      </c>
      <c r="C815" s="90" t="n">
        <f aca="false">Fleet_1GW!L7</f>
        <v>10</v>
      </c>
      <c r="D815" s="61" t="n">
        <v>10</v>
      </c>
      <c r="E815" s="105" t="n">
        <f aca="false">IF(ABS(C815-D815)&lt;=0.000000001*ABS(D815)+0.000000000001,0,1)</f>
        <v>0</v>
      </c>
    </row>
    <row r="816" customFormat="false" ht="15" hidden="false" customHeight="false" outlineLevel="0" collapsed="false">
      <c r="A816" s="62" t="s">
        <v>3341</v>
      </c>
      <c r="B816" s="62" t="s">
        <v>3314</v>
      </c>
      <c r="C816" s="90" t="n">
        <f aca="false">Fleet_1GW!M7</f>
        <v>11</v>
      </c>
      <c r="D816" s="61" t="n">
        <v>11</v>
      </c>
      <c r="E816" s="105" t="n">
        <f aca="false">IF(ABS(C816-D816)&lt;=0.000000001*ABS(D816)+0.000000000001,0,1)</f>
        <v>0</v>
      </c>
    </row>
    <row r="817" customFormat="false" ht="15" hidden="false" customHeight="false" outlineLevel="0" collapsed="false">
      <c r="A817" s="62" t="s">
        <v>3341</v>
      </c>
      <c r="B817" s="62" t="s">
        <v>3261</v>
      </c>
      <c r="C817" s="90" t="n">
        <f aca="false">Fleet_1GW!N7</f>
        <v>12</v>
      </c>
      <c r="D817" s="61" t="n">
        <v>12</v>
      </c>
      <c r="E817" s="105" t="n">
        <f aca="false">IF(ABS(C817-D817)&lt;=0.000000001*ABS(D817)+0.000000000001,0,1)</f>
        <v>0</v>
      </c>
    </row>
    <row r="818" customFormat="false" ht="15" hidden="false" customHeight="false" outlineLevel="0" collapsed="false">
      <c r="A818" s="62" t="s">
        <v>3341</v>
      </c>
      <c r="B818" s="62" t="s">
        <v>3262</v>
      </c>
      <c r="C818" s="90" t="n">
        <f aca="false">Fleet_1GW!O7</f>
        <v>13</v>
      </c>
      <c r="D818" s="61" t="n">
        <v>13</v>
      </c>
      <c r="E818" s="105" t="n">
        <f aca="false">IF(ABS(C818-D818)&lt;=0.000000001*ABS(D818)+0.000000000001,0,1)</f>
        <v>0</v>
      </c>
    </row>
    <row r="819" customFormat="false" ht="15" hidden="false" customHeight="false" outlineLevel="0" collapsed="false">
      <c r="A819" s="62" t="s">
        <v>3341</v>
      </c>
      <c r="B819" s="62" t="s">
        <v>3315</v>
      </c>
      <c r="C819" s="90" t="n">
        <f aca="false">Fleet_1GW!P7</f>
        <v>14</v>
      </c>
      <c r="D819" s="61" t="n">
        <v>14</v>
      </c>
      <c r="E819" s="105" t="n">
        <f aca="false">IF(ABS(C819-D819)&lt;=0.000000001*ABS(D819)+0.000000000001,0,1)</f>
        <v>0</v>
      </c>
    </row>
    <row r="820" customFormat="false" ht="15" hidden="false" customHeight="false" outlineLevel="0" collapsed="false">
      <c r="A820" s="62" t="s">
        <v>3341</v>
      </c>
      <c r="B820" s="62" t="s">
        <v>3316</v>
      </c>
      <c r="C820" s="90" t="n">
        <f aca="false">Fleet_1GW!Q7</f>
        <v>15</v>
      </c>
      <c r="D820" s="61" t="n">
        <v>15</v>
      </c>
      <c r="E820" s="105" t="n">
        <f aca="false">IF(ABS(C820-D820)&lt;=0.000000001*ABS(D820)+0.000000000001,0,1)</f>
        <v>0</v>
      </c>
    </row>
    <row r="821" customFormat="false" ht="15" hidden="false" customHeight="false" outlineLevel="0" collapsed="false">
      <c r="A821" s="62" t="s">
        <v>3342</v>
      </c>
      <c r="B821" s="62" t="s">
        <v>3308</v>
      </c>
      <c r="C821" s="90" t="n">
        <f aca="false">Amortize!C7</f>
        <v>1</v>
      </c>
      <c r="D821" s="61" t="n">
        <v>1</v>
      </c>
      <c r="E821" s="105" t="n">
        <f aca="false">IF(ABS(C821-D821)&lt;=0.000000001*ABS(D821)+0.000000000001,0,1)</f>
        <v>0</v>
      </c>
    </row>
    <row r="822" customFormat="false" ht="15" hidden="false" customHeight="false" outlineLevel="0" collapsed="false">
      <c r="A822" s="62" t="s">
        <v>3342</v>
      </c>
      <c r="B822" s="62" t="s">
        <v>3309</v>
      </c>
      <c r="C822" s="90" t="n">
        <f aca="false">Amortize!D7</f>
        <v>2</v>
      </c>
      <c r="D822" s="61" t="n">
        <v>2</v>
      </c>
      <c r="E822" s="105" t="n">
        <f aca="false">IF(ABS(C822-D822)&lt;=0.000000001*ABS(D822)+0.000000000001,0,1)</f>
        <v>0</v>
      </c>
    </row>
    <row r="823" customFormat="false" ht="15" hidden="false" customHeight="false" outlineLevel="0" collapsed="false">
      <c r="A823" s="62" t="s">
        <v>3342</v>
      </c>
      <c r="B823" s="62" t="s">
        <v>3209</v>
      </c>
      <c r="C823" s="90" t="n">
        <f aca="false">Amortize!E7</f>
        <v>3</v>
      </c>
      <c r="D823" s="61" t="n">
        <v>3</v>
      </c>
      <c r="E823" s="105" t="n">
        <f aca="false">IF(ABS(C823-D823)&lt;=0.000000001*ABS(D823)+0.000000000001,0,1)</f>
        <v>0</v>
      </c>
    </row>
    <row r="824" customFormat="false" ht="15" hidden="false" customHeight="false" outlineLevel="0" collapsed="false">
      <c r="A824" s="62" t="s">
        <v>3342</v>
      </c>
      <c r="B824" s="62" t="s">
        <v>3258</v>
      </c>
      <c r="C824" s="90" t="n">
        <f aca="false">Amortize!F7</f>
        <v>4</v>
      </c>
      <c r="D824" s="61" t="n">
        <v>4</v>
      </c>
      <c r="E824" s="105" t="n">
        <f aca="false">IF(ABS(C824-D824)&lt;=0.000000001*ABS(D824)+0.000000000001,0,1)</f>
        <v>0</v>
      </c>
    </row>
    <row r="825" customFormat="false" ht="15" hidden="false" customHeight="false" outlineLevel="0" collapsed="false">
      <c r="A825" s="62" t="s">
        <v>3342</v>
      </c>
      <c r="B825" s="62" t="s">
        <v>3259</v>
      </c>
      <c r="C825" s="90" t="n">
        <f aca="false">Amortize!G7</f>
        <v>5</v>
      </c>
      <c r="D825" s="61" t="n">
        <v>5</v>
      </c>
      <c r="E825" s="105" t="n">
        <f aca="false">IF(ABS(C825-D825)&lt;=0.000000001*ABS(D825)+0.000000000001,0,1)</f>
        <v>0</v>
      </c>
    </row>
    <row r="826" customFormat="false" ht="15" hidden="false" customHeight="false" outlineLevel="0" collapsed="false">
      <c r="A826" s="62" t="s">
        <v>3342</v>
      </c>
      <c r="B826" s="62" t="s">
        <v>3260</v>
      </c>
      <c r="C826" s="90" t="n">
        <f aca="false">Amortize!H7</f>
        <v>6</v>
      </c>
      <c r="D826" s="61" t="n">
        <v>6</v>
      </c>
      <c r="E826" s="105" t="n">
        <f aca="false">IF(ABS(C826-D826)&lt;=0.000000001*ABS(D826)+0.000000000001,0,1)</f>
        <v>0</v>
      </c>
    </row>
    <row r="827" customFormat="false" ht="15" hidden="false" customHeight="false" outlineLevel="0" collapsed="false">
      <c r="A827" s="62" t="s">
        <v>3342</v>
      </c>
      <c r="B827" s="62" t="s">
        <v>3310</v>
      </c>
      <c r="C827" s="90" t="n">
        <f aca="false">Amortize!I7</f>
        <v>7</v>
      </c>
      <c r="D827" s="61" t="n">
        <v>7</v>
      </c>
      <c r="E827" s="105" t="n">
        <f aca="false">IF(ABS(C827-D827)&lt;=0.000000001*ABS(D827)+0.000000000001,0,1)</f>
        <v>0</v>
      </c>
    </row>
    <row r="828" customFormat="false" ht="15" hidden="false" customHeight="false" outlineLevel="0" collapsed="false">
      <c r="A828" s="62" t="s">
        <v>3342</v>
      </c>
      <c r="B828" s="62" t="s">
        <v>3311</v>
      </c>
      <c r="C828" s="90" t="n">
        <f aca="false">Amortize!J7</f>
        <v>8</v>
      </c>
      <c r="D828" s="61" t="n">
        <v>8</v>
      </c>
      <c r="E828" s="105" t="n">
        <f aca="false">IF(ABS(C828-D828)&lt;=0.000000001*ABS(D828)+0.000000000001,0,1)</f>
        <v>0</v>
      </c>
    </row>
    <row r="829" customFormat="false" ht="15" hidden="false" customHeight="false" outlineLevel="0" collapsed="false">
      <c r="A829" s="62" t="s">
        <v>3342</v>
      </c>
      <c r="B829" s="62" t="s">
        <v>3312</v>
      </c>
      <c r="C829" s="90" t="n">
        <f aca="false">Amortize!K7</f>
        <v>9</v>
      </c>
      <c r="D829" s="61" t="n">
        <v>9</v>
      </c>
      <c r="E829" s="105" t="n">
        <f aca="false">IF(ABS(C829-D829)&lt;=0.000000001*ABS(D829)+0.000000000001,0,1)</f>
        <v>0</v>
      </c>
    </row>
    <row r="830" customFormat="false" ht="15" hidden="false" customHeight="false" outlineLevel="0" collapsed="false">
      <c r="A830" s="62" t="s">
        <v>3342</v>
      </c>
      <c r="B830" s="62" t="s">
        <v>3313</v>
      </c>
      <c r="C830" s="90" t="n">
        <f aca="false">Amortize!L7</f>
        <v>10</v>
      </c>
      <c r="D830" s="61" t="n">
        <v>10</v>
      </c>
      <c r="E830" s="105" t="n">
        <f aca="false">IF(ABS(C830-D830)&lt;=0.000000001*ABS(D830)+0.000000000001,0,1)</f>
        <v>0</v>
      </c>
    </row>
    <row r="831" customFormat="false" ht="15" hidden="false" customHeight="false" outlineLevel="0" collapsed="false">
      <c r="A831" s="62" t="s">
        <v>3342</v>
      </c>
      <c r="B831" s="62" t="s">
        <v>3314</v>
      </c>
      <c r="C831" s="90" t="n">
        <f aca="false">Amortize!M7</f>
        <v>11</v>
      </c>
      <c r="D831" s="61" t="n">
        <v>11</v>
      </c>
      <c r="E831" s="105" t="n">
        <f aca="false">IF(ABS(C831-D831)&lt;=0.000000001*ABS(D831)+0.000000000001,0,1)</f>
        <v>0</v>
      </c>
    </row>
    <row r="832" customFormat="false" ht="15" hidden="false" customHeight="false" outlineLevel="0" collapsed="false">
      <c r="A832" s="62" t="s">
        <v>3342</v>
      </c>
      <c r="B832" s="62" t="s">
        <v>3261</v>
      </c>
      <c r="C832" s="90" t="n">
        <f aca="false">Amortize!N7</f>
        <v>12</v>
      </c>
      <c r="D832" s="61" t="n">
        <v>12</v>
      </c>
      <c r="E832" s="105" t="n">
        <f aca="false">IF(ABS(C832-D832)&lt;=0.000000001*ABS(D832)+0.000000000001,0,1)</f>
        <v>0</v>
      </c>
    </row>
    <row r="833" customFormat="false" ht="15" hidden="false" customHeight="false" outlineLevel="0" collapsed="false">
      <c r="A833" s="62" t="s">
        <v>3342</v>
      </c>
      <c r="B833" s="62" t="s">
        <v>3262</v>
      </c>
      <c r="C833" s="90" t="n">
        <f aca="false">Amortize!O7</f>
        <v>13</v>
      </c>
      <c r="D833" s="61" t="n">
        <v>13</v>
      </c>
      <c r="E833" s="105" t="n">
        <f aca="false">IF(ABS(C833-D833)&lt;=0.000000001*ABS(D833)+0.000000000001,0,1)</f>
        <v>0</v>
      </c>
    </row>
    <row r="834" customFormat="false" ht="15" hidden="false" customHeight="false" outlineLevel="0" collapsed="false">
      <c r="A834" s="62" t="s">
        <v>3342</v>
      </c>
      <c r="B834" s="62" t="s">
        <v>3315</v>
      </c>
      <c r="C834" s="90" t="n">
        <f aca="false">Amortize!P7</f>
        <v>14</v>
      </c>
      <c r="D834" s="61" t="n">
        <v>14</v>
      </c>
      <c r="E834" s="105" t="n">
        <f aca="false">IF(ABS(C834-D834)&lt;=0.000000001*ABS(D834)+0.000000000001,0,1)</f>
        <v>0</v>
      </c>
    </row>
    <row r="835" customFormat="false" ht="15" hidden="false" customHeight="false" outlineLevel="0" collapsed="false">
      <c r="A835" s="62" t="s">
        <v>3342</v>
      </c>
      <c r="B835" s="62" t="s">
        <v>3316</v>
      </c>
      <c r="C835" s="90" t="n">
        <f aca="false">Amortize!Q7</f>
        <v>15</v>
      </c>
      <c r="D835" s="61" t="n">
        <v>15</v>
      </c>
      <c r="E835" s="105" t="n">
        <f aca="false">IF(ABS(C835-D835)&lt;=0.000000001*ABS(D835)+0.000000000001,0,1)</f>
        <v>0</v>
      </c>
    </row>
    <row r="836" customFormat="false" ht="15" hidden="false" customHeight="false" outlineLevel="0" collapsed="false">
      <c r="A836" s="62" t="s">
        <v>3343</v>
      </c>
      <c r="B836" s="62" t="s">
        <v>3172</v>
      </c>
      <c r="C836" s="111" t="n">
        <f aca="false">Alloc_In!C6</f>
        <v>1</v>
      </c>
      <c r="D836" s="61" t="n">
        <v>1</v>
      </c>
      <c r="E836" s="105" t="n">
        <f aca="false">IF(ABS(C836-D836)&lt;=0.000000001*ABS(D836)+0.000000000001,0,1)</f>
        <v>0</v>
      </c>
    </row>
    <row r="837" customFormat="false" ht="15" hidden="false" customHeight="false" outlineLevel="0" collapsed="false">
      <c r="A837" s="62" t="s">
        <v>3343</v>
      </c>
      <c r="B837" s="62" t="s">
        <v>3300</v>
      </c>
      <c r="C837" s="111" t="n">
        <f aca="false">Alloc_In!D6</f>
        <v>1</v>
      </c>
      <c r="D837" s="61" t="n">
        <v>1</v>
      </c>
      <c r="E837" s="105" t="n">
        <f aca="false">IF(ABS(C837-D837)&lt;=0.000000001*ABS(D837)+0.000000000001,0,1)</f>
        <v>0</v>
      </c>
    </row>
    <row r="838" customFormat="false" ht="15" hidden="false" customHeight="false" outlineLevel="0" collapsed="false">
      <c r="A838" s="62" t="s">
        <v>3343</v>
      </c>
      <c r="B838" s="62" t="s">
        <v>3109</v>
      </c>
      <c r="C838" s="111" t="n">
        <f aca="false">Alloc_In!E6</f>
        <v>2</v>
      </c>
      <c r="D838" s="61" t="n">
        <v>2</v>
      </c>
      <c r="E838" s="105" t="n">
        <f aca="false">IF(ABS(C838-D838)&lt;=0.000000001*ABS(D838)+0.000000000001,0,1)</f>
        <v>0</v>
      </c>
    </row>
    <row r="839" customFormat="false" ht="15" hidden="false" customHeight="false" outlineLevel="0" collapsed="false">
      <c r="A839" s="62" t="s">
        <v>3343</v>
      </c>
      <c r="B839" s="62" t="s">
        <v>3308</v>
      </c>
      <c r="C839" s="111" t="n">
        <f aca="false">Alloc_In!C7</f>
        <v>2</v>
      </c>
      <c r="D839" s="61" t="n">
        <v>2</v>
      </c>
      <c r="E839" s="105" t="n">
        <f aca="false">IF(ABS(C839-D839)&lt;=0.000000001*ABS(D839)+0.000000000001,0,1)</f>
        <v>0</v>
      </c>
    </row>
    <row r="840" customFormat="false" ht="15" hidden="false" customHeight="false" outlineLevel="0" collapsed="false">
      <c r="A840" s="62" t="s">
        <v>3343</v>
      </c>
      <c r="B840" s="62" t="s">
        <v>3309</v>
      </c>
      <c r="C840" s="111" t="n">
        <f aca="false">Alloc_In!D7</f>
        <v>0</v>
      </c>
      <c r="D840" s="61" t="n">
        <v>0</v>
      </c>
      <c r="E840" s="105" t="n">
        <f aca="false">IF(ABS(C840-D840)&lt;=0.000000001*ABS(D840)+0.000000000001,0,1)</f>
        <v>0</v>
      </c>
    </row>
    <row r="841" customFormat="false" ht="15" hidden="false" customHeight="false" outlineLevel="0" collapsed="false">
      <c r="A841" s="62" t="s">
        <v>3343</v>
      </c>
      <c r="B841" s="62" t="s">
        <v>3209</v>
      </c>
      <c r="C841" s="111" t="n">
        <f aca="false">Alloc_In!E7</f>
        <v>6</v>
      </c>
      <c r="D841" s="61" t="n">
        <v>6</v>
      </c>
      <c r="E841" s="105" t="n">
        <f aca="false">IF(ABS(C841-D841)&lt;=0.000000001*ABS(D841)+0.000000000001,0,1)</f>
        <v>0</v>
      </c>
    </row>
    <row r="842" customFormat="false" ht="15" hidden="false" customHeight="false" outlineLevel="0" collapsed="false">
      <c r="A842" s="62" t="s">
        <v>3343</v>
      </c>
      <c r="B842" s="62" t="s">
        <v>3173</v>
      </c>
      <c r="C842" s="111" t="n">
        <f aca="false">Alloc_In!C8</f>
        <v>1</v>
      </c>
      <c r="D842" s="61" t="n">
        <v>1</v>
      </c>
      <c r="E842" s="105" t="n">
        <f aca="false">IF(ABS(C842-D842)&lt;=0.000000001*ABS(D842)+0.000000000001,0,1)</f>
        <v>0</v>
      </c>
    </row>
    <row r="843" customFormat="false" ht="15" hidden="false" customHeight="false" outlineLevel="0" collapsed="false">
      <c r="A843" s="62" t="s">
        <v>3343</v>
      </c>
      <c r="B843" s="62" t="s">
        <v>3344</v>
      </c>
      <c r="C843" s="111" t="n">
        <f aca="false">Alloc_In!D8</f>
        <v>0.5</v>
      </c>
      <c r="D843" s="61" t="n">
        <v>0.5</v>
      </c>
      <c r="E843" s="105" t="n">
        <f aca="false">IF(ABS(C843-D843)&lt;=0.000000001*ABS(D843)+0.000000000001,0,1)</f>
        <v>0</v>
      </c>
    </row>
    <row r="844" customFormat="false" ht="15" hidden="false" customHeight="false" outlineLevel="0" collapsed="false">
      <c r="A844" s="62" t="s">
        <v>3343</v>
      </c>
      <c r="B844" s="62" t="s">
        <v>3110</v>
      </c>
      <c r="C844" s="111" t="n">
        <f aca="false">Alloc_In!E8</f>
        <v>7</v>
      </c>
      <c r="D844" s="61" t="n">
        <v>7</v>
      </c>
      <c r="E844" s="105" t="n">
        <f aca="false">IF(ABS(C844-D844)&lt;=0.000000001*ABS(D844)+0.000000000001,0,1)</f>
        <v>0</v>
      </c>
    </row>
    <row r="845" customFormat="false" ht="15" hidden="false" customHeight="false" outlineLevel="0" collapsed="false">
      <c r="A845" s="62" t="s">
        <v>3343</v>
      </c>
      <c r="B845" s="62" t="s">
        <v>3175</v>
      </c>
      <c r="C845" s="66" t="n">
        <f aca="false">Alloc_In!C9</f>
        <v>0.6</v>
      </c>
      <c r="D845" s="61" t="n">
        <v>0.6</v>
      </c>
      <c r="E845" s="105" t="n">
        <f aca="false">IF(ABS(C845-D845)&lt;=0.000000001*ABS(D845)+0.000000000001,0,1)</f>
        <v>0</v>
      </c>
    </row>
    <row r="846" customFormat="false" ht="15" hidden="false" customHeight="false" outlineLevel="0" collapsed="false">
      <c r="A846" s="62" t="s">
        <v>3343</v>
      </c>
      <c r="B846" s="62" t="s">
        <v>3177</v>
      </c>
      <c r="C846" s="66" t="n">
        <f aca="false">Alloc_In!C10</f>
        <v>0.4</v>
      </c>
      <c r="D846" s="61" t="n">
        <v>0.4</v>
      </c>
      <c r="E846" s="105" t="n">
        <f aca="false">IF(ABS(C846-D846)&lt;=0.000000001*ABS(D846)+0.000000000001,0,1)</f>
        <v>0</v>
      </c>
    </row>
    <row r="847" customFormat="false" ht="15" hidden="false" customHeight="false" outlineLevel="0" collapsed="false">
      <c r="A847" s="62" t="s">
        <v>3343</v>
      </c>
      <c r="B847" s="62" t="s">
        <v>3179</v>
      </c>
      <c r="C847" s="66" t="n">
        <f aca="false">Alloc_In!C11</f>
        <v>0</v>
      </c>
      <c r="D847" s="61" t="n">
        <v>0</v>
      </c>
      <c r="E847" s="105" t="n">
        <f aca="false">IF(ABS(C847-D847)&lt;=0.000000001*ABS(D847)+0.000000000001,0,1)</f>
        <v>0</v>
      </c>
    </row>
    <row r="848" customFormat="false" ht="15" hidden="false" customHeight="false" outlineLevel="0" collapsed="false">
      <c r="A848" s="62" t="s">
        <v>3343</v>
      </c>
      <c r="B848" s="62" t="s">
        <v>3180</v>
      </c>
      <c r="C848" s="66" t="n">
        <f aca="false">Alloc_In!C12</f>
        <v>0</v>
      </c>
      <c r="D848" s="61" t="n">
        <v>0</v>
      </c>
      <c r="E848" s="105" t="n">
        <f aca="false">IF(ABS(C848-D848)&lt;=0.000000001*ABS(D848)+0.000000000001,0,1)</f>
        <v>0</v>
      </c>
    </row>
    <row r="849" customFormat="false" ht="15" hidden="false" customHeight="false" outlineLevel="0" collapsed="false">
      <c r="A849" s="62" t="s">
        <v>3343</v>
      </c>
      <c r="B849" s="62" t="s">
        <v>3213</v>
      </c>
      <c r="C849" s="111" t="n">
        <f aca="false">Alloc_In!C14</f>
        <v>0.75</v>
      </c>
      <c r="D849" s="61" t="n">
        <v>0.75</v>
      </c>
      <c r="E849" s="105" t="n">
        <f aca="false">IF(ABS(C849-D849)&lt;=0.000000001*ABS(D849)+0.000000000001,0,1)</f>
        <v>0</v>
      </c>
    </row>
    <row r="850" customFormat="false" ht="15" hidden="false" customHeight="false" outlineLevel="0" collapsed="false">
      <c r="A850" s="62" t="s">
        <v>3343</v>
      </c>
      <c r="B850" s="62" t="s">
        <v>3214</v>
      </c>
      <c r="C850" s="63" t="n">
        <f aca="false">Alloc_In!C15</f>
        <v>4000</v>
      </c>
      <c r="D850" s="61" t="n">
        <v>4000</v>
      </c>
      <c r="E850" s="105" t="n">
        <f aca="false">IF(ABS(C850-D850)&lt;=0.000000001*ABS(D850)+0.000000000001,0,1)</f>
        <v>0</v>
      </c>
    </row>
    <row r="851" customFormat="false" ht="15" hidden="false" customHeight="false" outlineLevel="0" collapsed="false">
      <c r="A851" s="62" t="s">
        <v>3343</v>
      </c>
      <c r="B851" s="62" t="s">
        <v>3215</v>
      </c>
      <c r="C851" s="66" t="n">
        <f aca="false">Alloc_In!C16</f>
        <v>0.6</v>
      </c>
      <c r="D851" s="61" t="n">
        <v>0.6</v>
      </c>
      <c r="E851" s="105" t="n">
        <f aca="false">IF(ABS(C851-D851)&lt;=0.000000001*ABS(D851)+0.000000000001,0,1)</f>
        <v>0</v>
      </c>
    </row>
    <row r="852" customFormat="false" ht="15" hidden="false" customHeight="false" outlineLevel="0" collapsed="false">
      <c r="A852" s="62" t="s">
        <v>3343</v>
      </c>
      <c r="B852" s="62" t="s">
        <v>3192</v>
      </c>
      <c r="C852" s="66" t="n">
        <f aca="false">Alloc_In!C29</f>
        <v>0.6</v>
      </c>
      <c r="D852" s="61" t="n">
        <v>0.6</v>
      </c>
      <c r="E852" s="105" t="n">
        <f aca="false">IF(ABS(C852-D852)&lt;=0.000000001*ABS(D852)+0.000000000001,0,1)</f>
        <v>0</v>
      </c>
    </row>
    <row r="853" customFormat="false" ht="15" hidden="false" customHeight="false" outlineLevel="0" collapsed="false">
      <c r="A853" s="62" t="s">
        <v>3343</v>
      </c>
      <c r="B853" s="62" t="s">
        <v>3324</v>
      </c>
      <c r="C853" s="66" t="n">
        <f aca="false">Alloc_In!C30</f>
        <v>0.38</v>
      </c>
      <c r="D853" s="61" t="n">
        <v>0.38</v>
      </c>
      <c r="E853" s="105" t="n">
        <f aca="false">IF(ABS(C853-D853)&lt;=0.000000001*ABS(D853)+0.000000000001,0,1)</f>
        <v>0</v>
      </c>
    </row>
    <row r="854" customFormat="false" ht="15" hidden="false" customHeight="false" outlineLevel="0" collapsed="false">
      <c r="A854" s="62" t="s">
        <v>3343</v>
      </c>
      <c r="B854" s="62" t="s">
        <v>3196</v>
      </c>
      <c r="C854" s="66" t="n">
        <f aca="false">Alloc_In!C31</f>
        <v>0.02</v>
      </c>
      <c r="D854" s="61" t="n">
        <v>0.02</v>
      </c>
      <c r="E854" s="105" t="n">
        <f aca="false">IF(ABS(C854-D854)&lt;=0.000000001*ABS(D854)+0.000000000001,0,1)</f>
        <v>0</v>
      </c>
    </row>
    <row r="855" customFormat="false" ht="15" hidden="false" customHeight="false" outlineLevel="0" collapsed="false">
      <c r="A855" s="62" t="s">
        <v>3343</v>
      </c>
      <c r="B855" s="62" t="s">
        <v>3198</v>
      </c>
      <c r="C855" s="66" t="n">
        <f aca="false">Alloc_In!C32</f>
        <v>0</v>
      </c>
      <c r="D855" s="61" t="n">
        <v>0</v>
      </c>
      <c r="E855" s="105" t="n">
        <f aca="false">IF(ABS(C855-D855)&lt;=0.000000001*ABS(D855)+0.000000000001,0,1)</f>
        <v>0</v>
      </c>
    </row>
    <row r="856" customFormat="false" ht="15" hidden="false" customHeight="false" outlineLevel="0" collapsed="false">
      <c r="A856" s="62" t="s">
        <v>3345</v>
      </c>
      <c r="B856" s="62" t="s">
        <v>3215</v>
      </c>
      <c r="C856" s="90" t="n">
        <f aca="false">Alloc!C16</f>
        <v>1</v>
      </c>
      <c r="D856" s="61" t="n">
        <v>1</v>
      </c>
      <c r="E856" s="105" t="n">
        <f aca="false">IF(ABS(C856-D856)&lt;=0.000000001*ABS(D856)+0.000000000001,0,1)</f>
        <v>0</v>
      </c>
    </row>
    <row r="857" customFormat="false" ht="15" hidden="false" customHeight="false" outlineLevel="0" collapsed="false">
      <c r="A857" s="62" t="s">
        <v>3345</v>
      </c>
      <c r="B857" s="62" t="s">
        <v>3125</v>
      </c>
      <c r="C857" s="90" t="n">
        <f aca="false">Alloc!D16</f>
        <v>2</v>
      </c>
      <c r="D857" s="61" t="n">
        <v>2</v>
      </c>
      <c r="E857" s="105" t="n">
        <f aca="false">IF(ABS(C857-D857)&lt;=0.000000001*ABS(D857)+0.000000000001,0,1)</f>
        <v>0</v>
      </c>
    </row>
    <row r="858" customFormat="false" ht="15" hidden="false" customHeight="false" outlineLevel="0" collapsed="false">
      <c r="A858" s="62" t="s">
        <v>3345</v>
      </c>
      <c r="B858" s="62" t="s">
        <v>3126</v>
      </c>
      <c r="C858" s="90" t="n">
        <f aca="false">Alloc!E16</f>
        <v>3</v>
      </c>
      <c r="D858" s="61" t="n">
        <v>3</v>
      </c>
      <c r="E858" s="105" t="n">
        <f aca="false">IF(ABS(C858-D858)&lt;=0.000000001*ABS(D858)+0.000000000001,0,1)</f>
        <v>0</v>
      </c>
    </row>
    <row r="859" customFormat="false" ht="15" hidden="false" customHeight="false" outlineLevel="0" collapsed="false">
      <c r="A859" s="62" t="s">
        <v>3345</v>
      </c>
      <c r="B859" s="62" t="s">
        <v>3127</v>
      </c>
      <c r="C859" s="90" t="n">
        <f aca="false">Alloc!F16</f>
        <v>4</v>
      </c>
      <c r="D859" s="61" t="n">
        <v>4</v>
      </c>
      <c r="E859" s="105" t="n">
        <f aca="false">IF(ABS(C859-D859)&lt;=0.000000001*ABS(D859)+0.000000000001,0,1)</f>
        <v>0</v>
      </c>
    </row>
    <row r="860" customFormat="false" ht="15" hidden="false" customHeight="false" outlineLevel="0" collapsed="false">
      <c r="A860" s="62" t="s">
        <v>3345</v>
      </c>
      <c r="B860" s="62" t="s">
        <v>3346</v>
      </c>
      <c r="C860" s="66" t="n">
        <f aca="false">Alloc!I94</f>
        <v>0</v>
      </c>
      <c r="D860" s="61" t="n">
        <v>0</v>
      </c>
      <c r="E860" s="105" t="n">
        <f aca="false">IF(ABS(C860-D860)&lt;=0.000000001*ABS(D860)+0.000000000001,0,1)</f>
        <v>0</v>
      </c>
    </row>
    <row r="861" customFormat="false" ht="15" hidden="false" customHeight="false" outlineLevel="0" collapsed="false">
      <c r="A861" s="62" t="s">
        <v>3345</v>
      </c>
      <c r="B861" s="62" t="s">
        <v>3347</v>
      </c>
      <c r="C861" s="66" t="n">
        <f aca="false">Alloc!J94</f>
        <v>1</v>
      </c>
      <c r="D861" s="61" t="n">
        <v>1</v>
      </c>
      <c r="E861" s="105" t="n">
        <f aca="false">IF(ABS(C861-D861)&lt;=0.000000001*ABS(D861)+0.000000000001,0,1)</f>
        <v>0</v>
      </c>
    </row>
    <row r="862" customFormat="false" ht="15" hidden="false" customHeight="false" outlineLevel="0" collapsed="false">
      <c r="A862" s="62" t="s">
        <v>3345</v>
      </c>
      <c r="B862" s="62" t="s">
        <v>3348</v>
      </c>
      <c r="C862" s="66" t="n">
        <f aca="false">Alloc!K94</f>
        <v>0</v>
      </c>
      <c r="D862" s="61" t="n">
        <v>0</v>
      </c>
      <c r="E862" s="105" t="n">
        <f aca="false">IF(ABS(C862-D862)&lt;=0.000000001*ABS(D862)+0.000000000001,0,1)</f>
        <v>0</v>
      </c>
    </row>
    <row r="863" customFormat="false" ht="15" hidden="false" customHeight="false" outlineLevel="0" collapsed="false">
      <c r="A863" s="62" t="s">
        <v>3345</v>
      </c>
      <c r="B863" s="62" t="s">
        <v>3349</v>
      </c>
      <c r="C863" s="66" t="n">
        <f aca="false">Alloc!L94</f>
        <v>0</v>
      </c>
      <c r="D863" s="61" t="n">
        <v>0</v>
      </c>
      <c r="E863" s="105" t="n">
        <f aca="false">IF(ABS(C863-D863)&lt;=0.000000001*ABS(D863)+0.000000000001,0,1)</f>
        <v>0</v>
      </c>
    </row>
    <row r="864" customFormat="false" ht="15" hidden="false" customHeight="false" outlineLevel="0" collapsed="false">
      <c r="A864" s="62" t="s">
        <v>3345</v>
      </c>
      <c r="B864" s="62" t="s">
        <v>3350</v>
      </c>
      <c r="C864" s="66" t="n">
        <f aca="false">Alloc!I95</f>
        <v>0</v>
      </c>
      <c r="D864" s="61" t="n">
        <v>0</v>
      </c>
      <c r="E864" s="105" t="n">
        <f aca="false">IF(ABS(C864-D864)&lt;=0.000000001*ABS(D864)+0.000000000001,0,1)</f>
        <v>0</v>
      </c>
    </row>
    <row r="865" customFormat="false" ht="15" hidden="false" customHeight="false" outlineLevel="0" collapsed="false">
      <c r="A865" s="62" t="s">
        <v>3345</v>
      </c>
      <c r="B865" s="62" t="s">
        <v>3351</v>
      </c>
      <c r="C865" s="66" t="n">
        <f aca="false">Alloc!J95</f>
        <v>0</v>
      </c>
      <c r="D865" s="61" t="n">
        <v>0</v>
      </c>
      <c r="E865" s="105" t="n">
        <f aca="false">IF(ABS(C865-D865)&lt;=0.000000001*ABS(D865)+0.000000000001,0,1)</f>
        <v>0</v>
      </c>
    </row>
    <row r="866" customFormat="false" ht="15" hidden="false" customHeight="false" outlineLevel="0" collapsed="false">
      <c r="A866" s="62" t="s">
        <v>3345</v>
      </c>
      <c r="B866" s="62" t="s">
        <v>3352</v>
      </c>
      <c r="C866" s="66" t="n">
        <f aca="false">Alloc!K95</f>
        <v>0</v>
      </c>
      <c r="D866" s="61" t="n">
        <v>0</v>
      </c>
      <c r="E866" s="105" t="n">
        <f aca="false">IF(ABS(C866-D866)&lt;=0.000000001*ABS(D866)+0.000000000001,0,1)</f>
        <v>0</v>
      </c>
    </row>
    <row r="867" customFormat="false" ht="15" hidden="false" customHeight="false" outlineLevel="0" collapsed="false">
      <c r="A867" s="62" t="s">
        <v>3345</v>
      </c>
      <c r="B867" s="62" t="s">
        <v>3353</v>
      </c>
      <c r="C867" s="66" t="n">
        <f aca="false">Alloc!L95</f>
        <v>1</v>
      </c>
      <c r="D867" s="61" t="n">
        <v>1</v>
      </c>
      <c r="E867" s="105" t="n">
        <f aca="false">IF(ABS(C867-D867)&lt;=0.000000001*ABS(D867)+0.000000000001,0,1)</f>
        <v>0</v>
      </c>
    </row>
    <row r="868" customFormat="false" ht="15" hidden="false" customHeight="false" outlineLevel="0" collapsed="false">
      <c r="A868" s="62" t="s">
        <v>3354</v>
      </c>
      <c r="B868" s="62" t="s">
        <v>3344</v>
      </c>
      <c r="C868" s="92" t="n">
        <f aca="false">SRC_HW!D8</f>
        <v>120</v>
      </c>
      <c r="D868" s="61" t="n">
        <v>120</v>
      </c>
      <c r="E868" s="105" t="n">
        <f aca="false">IF(ABS(C868-D868)&lt;=0.000000001*ABS(D868)+0.000000000001,0,1)</f>
        <v>0</v>
      </c>
    </row>
    <row r="869" customFormat="false" ht="15" hidden="false" customHeight="false" outlineLevel="0" collapsed="false">
      <c r="A869" s="62" t="s">
        <v>3354</v>
      </c>
      <c r="B869" s="62" t="s">
        <v>3110</v>
      </c>
      <c r="C869" s="92" t="n">
        <f aca="false">SRC_HW!E8</f>
        <v>132</v>
      </c>
      <c r="D869" s="61" t="n">
        <v>132</v>
      </c>
      <c r="E869" s="105" t="n">
        <f aca="false">IF(ABS(C869-D869)&lt;=0.000000001*ABS(D869)+0.000000000001,0,1)</f>
        <v>0</v>
      </c>
    </row>
    <row r="870" customFormat="false" ht="15" hidden="false" customHeight="false" outlineLevel="0" collapsed="false">
      <c r="A870" s="62" t="s">
        <v>3354</v>
      </c>
      <c r="B870" s="62" t="s">
        <v>3111</v>
      </c>
      <c r="C870" s="92" t="n">
        <f aca="false">SRC_HW!D9</f>
        <v>132</v>
      </c>
      <c r="D870" s="61" t="n">
        <v>132</v>
      </c>
      <c r="E870" s="105" t="n">
        <f aca="false">IF(ABS(C870-D870)&lt;=0.000000001*ABS(D870)+0.000000000001,0,1)</f>
        <v>0</v>
      </c>
    </row>
    <row r="871" customFormat="false" ht="15" hidden="false" customHeight="false" outlineLevel="0" collapsed="false">
      <c r="A871" s="62" t="s">
        <v>3354</v>
      </c>
      <c r="B871" s="62" t="s">
        <v>3112</v>
      </c>
      <c r="C871" s="92" t="n">
        <f aca="false">SRC_HW!E9</f>
        <v>140</v>
      </c>
      <c r="D871" s="61" t="n">
        <v>140</v>
      </c>
      <c r="E871" s="105" t="n">
        <f aca="false">IF(ABS(C871-D871)&lt;=0.000000001*ABS(D871)+0.000000000001,0,1)</f>
        <v>0</v>
      </c>
    </row>
    <row r="872" customFormat="false" ht="15" hidden="false" customHeight="false" outlineLevel="0" collapsed="false">
      <c r="A872" s="62" t="s">
        <v>3354</v>
      </c>
      <c r="B872" s="62" t="s">
        <v>3114</v>
      </c>
      <c r="C872" s="92" t="n">
        <f aca="false">SRC_HW!D10</f>
        <v>2.8</v>
      </c>
      <c r="D872" s="61" t="n">
        <v>2.8</v>
      </c>
      <c r="E872" s="105" t="n">
        <f aca="false">IF(ABS(C872-D872)&lt;=0.000000001*ABS(D872)+0.000000000001,0,1)</f>
        <v>0</v>
      </c>
    </row>
    <row r="873" customFormat="false" ht="15" hidden="false" customHeight="false" outlineLevel="0" collapsed="false">
      <c r="A873" s="62" t="s">
        <v>3354</v>
      </c>
      <c r="B873" s="62" t="s">
        <v>3115</v>
      </c>
      <c r="C873" s="92" t="n">
        <f aca="false">SRC_HW!E10</f>
        <v>3.4</v>
      </c>
      <c r="D873" s="61" t="n">
        <v>3.4</v>
      </c>
      <c r="E873" s="105" t="n">
        <f aca="false">IF(ABS(C873-D873)&lt;=0.000000001*ABS(D873)+0.000000000001,0,1)</f>
        <v>0</v>
      </c>
    </row>
    <row r="874" customFormat="false" ht="15" hidden="false" customHeight="false" outlineLevel="0" collapsed="false">
      <c r="A874" s="62" t="s">
        <v>3354</v>
      </c>
      <c r="B874" s="62" t="s">
        <v>3213</v>
      </c>
      <c r="C874" s="92" t="n">
        <f aca="false">SRC_HW!C14</f>
        <v>5</v>
      </c>
      <c r="D874" s="61" t="n">
        <v>5</v>
      </c>
      <c r="E874" s="105" t="n">
        <f aca="false">IF(ABS(C874-D874)&lt;=0.000000001*ABS(D874)+0.000000000001,0,1)</f>
        <v>0</v>
      </c>
    </row>
    <row r="875" customFormat="false" ht="15" hidden="false" customHeight="false" outlineLevel="0" collapsed="false">
      <c r="A875" s="62" t="s">
        <v>3354</v>
      </c>
      <c r="B875" s="62" t="s">
        <v>3214</v>
      </c>
      <c r="C875" s="92" t="n">
        <f aca="false">SRC_HW!C15</f>
        <v>188</v>
      </c>
      <c r="D875" s="61" t="n">
        <v>188</v>
      </c>
      <c r="E875" s="105" t="n">
        <f aca="false">IF(ABS(C875-D875)&lt;=0.000000001*ABS(D875)+0.000000000001,0,1)</f>
        <v>0</v>
      </c>
    </row>
    <row r="876" customFormat="false" ht="15" hidden="false" customHeight="false" outlineLevel="0" collapsed="false">
      <c r="A876" s="62" t="s">
        <v>3354</v>
      </c>
      <c r="B876" s="62" t="s">
        <v>3215</v>
      </c>
      <c r="C876" s="92" t="n">
        <f aca="false">SRC_HW!C16</f>
        <v>230</v>
      </c>
      <c r="D876" s="61" t="n">
        <v>230</v>
      </c>
      <c r="E876" s="105" t="n">
        <f aca="false">IF(ABS(C876-D876)&lt;=0.000000001*ABS(D876)+0.000000000001,0,1)</f>
        <v>0</v>
      </c>
    </row>
    <row r="877" customFormat="false" ht="15" hidden="false" customHeight="false" outlineLevel="0" collapsed="false">
      <c r="A877" s="62" t="s">
        <v>3354</v>
      </c>
      <c r="B877" s="62" t="s">
        <v>3217</v>
      </c>
      <c r="C877" s="92" t="n">
        <f aca="false">SRC_HW!C18</f>
        <v>227</v>
      </c>
      <c r="D877" s="61" t="n">
        <v>227</v>
      </c>
      <c r="E877" s="105" t="n">
        <f aca="false">IF(ABS(C877-D877)&lt;=0.000000001*ABS(D877)+0.000000000001,0,1)</f>
        <v>0</v>
      </c>
    </row>
    <row r="878" customFormat="false" ht="15" hidden="false" customHeight="false" outlineLevel="0" collapsed="false">
      <c r="A878" s="62" t="s">
        <v>3354</v>
      </c>
      <c r="B878" s="62" t="s">
        <v>3221</v>
      </c>
      <c r="C878" s="92" t="n">
        <f aca="false">SRC_HW!C23</f>
        <v>0.989</v>
      </c>
      <c r="D878" s="61" t="n">
        <v>0.989</v>
      </c>
      <c r="E878" s="105" t="n">
        <f aca="false">IF(ABS(C878-D878)&lt;=0.000000001*ABS(D878)+0.000000000001,0,1)</f>
        <v>0</v>
      </c>
    </row>
    <row r="879" customFormat="false" ht="15" hidden="false" customHeight="false" outlineLevel="0" collapsed="false">
      <c r="A879" s="62" t="s">
        <v>3354</v>
      </c>
      <c r="B879" s="62" t="s">
        <v>3224</v>
      </c>
      <c r="C879" s="92" t="n">
        <f aca="false">SRC_HW!C24</f>
        <v>80</v>
      </c>
      <c r="D879" s="61" t="n">
        <v>80</v>
      </c>
      <c r="E879" s="105" t="n">
        <f aca="false">IF(ABS(C879-D879)&lt;=0.000000001*ABS(D879)+0.000000000001,0,1)</f>
        <v>0</v>
      </c>
    </row>
    <row r="880" customFormat="false" ht="15" hidden="false" customHeight="false" outlineLevel="0" collapsed="false">
      <c r="A880" s="62" t="s">
        <v>3354</v>
      </c>
      <c r="B880" s="62" t="s">
        <v>3355</v>
      </c>
      <c r="C880" s="92" t="n">
        <f aca="false">SRC_HW!C25</f>
        <v>3.35</v>
      </c>
      <c r="D880" s="61" t="n">
        <v>3.35</v>
      </c>
      <c r="E880" s="105" t="n">
        <f aca="false">IF(ABS(C880-D880)&lt;=0.000000001*ABS(D880)+0.000000000001,0,1)</f>
        <v>0</v>
      </c>
    </row>
    <row r="881" customFormat="false" ht="15" hidden="false" customHeight="false" outlineLevel="0" collapsed="false">
      <c r="A881" s="62" t="s">
        <v>3354</v>
      </c>
      <c r="B881" s="62" t="s">
        <v>3356</v>
      </c>
      <c r="C881" s="92" t="n">
        <f aca="false">SRC_HW!C26</f>
        <v>10</v>
      </c>
      <c r="D881" s="61" t="n">
        <v>10</v>
      </c>
      <c r="E881" s="105" t="n">
        <f aca="false">IF(ABS(C881-D881)&lt;=0.000000001*ABS(D881)+0.000000000001,0,1)</f>
        <v>0</v>
      </c>
    </row>
    <row r="882" customFormat="false" ht="15" hidden="false" customHeight="false" outlineLevel="0" collapsed="false">
      <c r="A882" s="62" t="s">
        <v>3354</v>
      </c>
      <c r="B882" s="62" t="s">
        <v>3321</v>
      </c>
      <c r="C882" s="92" t="n">
        <f aca="false">SRC_HW!C27</f>
        <v>8</v>
      </c>
      <c r="D882" s="61" t="n">
        <v>8</v>
      </c>
      <c r="E882" s="105" t="n">
        <f aca="false">IF(ABS(C882-D882)&lt;=0.000000001*ABS(D882)+0.000000000001,0,1)</f>
        <v>0</v>
      </c>
    </row>
    <row r="883" customFormat="false" ht="15" hidden="false" customHeight="false" outlineLevel="0" collapsed="false">
      <c r="A883" s="62" t="s">
        <v>3354</v>
      </c>
      <c r="B883" s="62" t="s">
        <v>3192</v>
      </c>
      <c r="C883" s="92" t="n">
        <f aca="false">SRC_HW!C29</f>
        <v>15</v>
      </c>
      <c r="D883" s="61" t="n">
        <v>15</v>
      </c>
      <c r="E883" s="105" t="n">
        <f aca="false">IF(ABS(C883-D883)&lt;=0.000000001*ABS(D883)+0.000000000001,0,1)</f>
        <v>0</v>
      </c>
    </row>
    <row r="884" customFormat="false" ht="15" hidden="false" customHeight="false" outlineLevel="0" collapsed="false">
      <c r="A884" s="62" t="s">
        <v>3354</v>
      </c>
      <c r="B884" s="62" t="s">
        <v>3324</v>
      </c>
      <c r="C884" s="92" t="n">
        <f aca="false">SRC_HW!C30</f>
        <v>288</v>
      </c>
      <c r="D884" s="61" t="n">
        <v>288</v>
      </c>
      <c r="E884" s="105" t="n">
        <f aca="false">IF(ABS(C884-D884)&lt;=0.000000001*ABS(D884)+0.000000000001,0,1)</f>
        <v>0</v>
      </c>
    </row>
    <row r="885" customFormat="false" ht="15" hidden="false" customHeight="false" outlineLevel="0" collapsed="false">
      <c r="A885" s="62" t="s">
        <v>3354</v>
      </c>
      <c r="B885" s="62" t="s">
        <v>3196</v>
      </c>
      <c r="C885" s="92" t="n">
        <f aca="false">SRC_HW!C31</f>
        <v>50</v>
      </c>
      <c r="D885" s="61" t="n">
        <v>50</v>
      </c>
      <c r="E885" s="105" t="n">
        <f aca="false">IF(ABS(C885-D885)&lt;=0.000000001*ABS(D885)+0.000000000001,0,1)</f>
        <v>0</v>
      </c>
    </row>
    <row r="886" customFormat="false" ht="15" hidden="false" customHeight="false" outlineLevel="0" collapsed="false">
      <c r="A886" s="62" t="s">
        <v>3354</v>
      </c>
      <c r="B886" s="62" t="s">
        <v>3198</v>
      </c>
      <c r="C886" s="92" t="n">
        <f aca="false">SRC_HW!C32</f>
        <v>35</v>
      </c>
      <c r="D886" s="61" t="n">
        <v>35</v>
      </c>
      <c r="E886" s="105" t="n">
        <f aca="false">IF(ABS(C886-D886)&lt;=0.000000001*ABS(D886)+0.000000000001,0,1)</f>
        <v>0</v>
      </c>
    </row>
    <row r="887" customFormat="false" ht="15" hidden="false" customHeight="false" outlineLevel="0" collapsed="false">
      <c r="A887" s="62" t="s">
        <v>3354</v>
      </c>
      <c r="B887" s="62" t="s">
        <v>3327</v>
      </c>
      <c r="C887" s="92" t="n">
        <f aca="false">SRC_HW!C33</f>
        <v>288</v>
      </c>
      <c r="D887" s="61" t="n">
        <v>288</v>
      </c>
      <c r="E887" s="105" t="n">
        <f aca="false">IF(ABS(C887-D887)&lt;=0.000000001*ABS(D887)+0.000000000001,0,1)</f>
        <v>0</v>
      </c>
    </row>
    <row r="888" customFormat="false" ht="15" hidden="false" customHeight="false" outlineLevel="0" collapsed="false">
      <c r="A888" s="62" t="s">
        <v>3354</v>
      </c>
      <c r="B888" s="62" t="s">
        <v>3210</v>
      </c>
      <c r="C888" s="92" t="n">
        <f aca="false">SRC_HW!C34</f>
        <v>22</v>
      </c>
      <c r="D888" s="61" t="n">
        <v>22</v>
      </c>
      <c r="E888" s="105" t="n">
        <f aca="false">IF(ABS(C888-D888)&lt;=0.000000001*ABS(D888)+0.000000000001,0,1)</f>
        <v>0</v>
      </c>
    </row>
    <row r="889" customFormat="false" ht="15" hidden="false" customHeight="false" outlineLevel="0" collapsed="false">
      <c r="A889" s="62" t="s">
        <v>3354</v>
      </c>
      <c r="B889" s="62" t="s">
        <v>3339</v>
      </c>
      <c r="C889" s="92" t="n">
        <f aca="false">SRC_HW!C42</f>
        <v>1260</v>
      </c>
      <c r="D889" s="61" t="n">
        <v>1260</v>
      </c>
      <c r="E889" s="105" t="n">
        <f aca="false">IF(ABS(C889-D889)&lt;=0.000000001*ABS(D889)+0.000000000001,0,1)</f>
        <v>0</v>
      </c>
    </row>
    <row r="890" customFormat="false" ht="15" hidden="false" customHeight="false" outlineLevel="0" collapsed="false">
      <c r="A890" s="62" t="s">
        <v>3354</v>
      </c>
      <c r="B890" s="62" t="s">
        <v>3201</v>
      </c>
      <c r="C890" s="92" t="n">
        <f aca="false">SRC_HW!C44</f>
        <v>1.979</v>
      </c>
      <c r="D890" s="61" t="n">
        <v>1.979</v>
      </c>
      <c r="E890" s="105" t="n">
        <f aca="false">IF(ABS(C890-D890)&lt;=0.000000001*ABS(D890)+0.000000000001,0,1)</f>
        <v>0</v>
      </c>
    </row>
    <row r="891" customFormat="false" ht="15" hidden="false" customHeight="false" outlineLevel="0" collapsed="false">
      <c r="A891" s="62" t="s">
        <v>3354</v>
      </c>
      <c r="B891" s="62" t="s">
        <v>3357</v>
      </c>
      <c r="C891" s="92" t="n">
        <f aca="false">SRC_HW!C47</f>
        <v>5</v>
      </c>
      <c r="D891" s="61" t="n">
        <v>5</v>
      </c>
      <c r="E891" s="105" t="n">
        <f aca="false">IF(ABS(C891-D891)&lt;=0.000000001*ABS(D891)+0.000000000001,0,1)</f>
        <v>0</v>
      </c>
    </row>
    <row r="892" customFormat="false" ht="15" hidden="false" customHeight="false" outlineLevel="0" collapsed="false">
      <c r="A892" s="62" t="s">
        <v>3354</v>
      </c>
      <c r="B892" s="62" t="s">
        <v>3358</v>
      </c>
      <c r="C892" s="92" t="n">
        <f aca="false">SRC_HW!C51</f>
        <v>72</v>
      </c>
      <c r="D892" s="61" t="n">
        <v>72</v>
      </c>
      <c r="E892" s="105" t="n">
        <f aca="false">IF(ABS(C892-D892)&lt;=0.000000001*ABS(D892)+0.000000000001,0,1)</f>
        <v>0</v>
      </c>
    </row>
    <row r="893" customFormat="false" ht="15" hidden="false" customHeight="false" outlineLevel="0" collapsed="false">
      <c r="A893" s="62" t="s">
        <v>3354</v>
      </c>
      <c r="B893" s="62" t="s">
        <v>3359</v>
      </c>
      <c r="C893" s="92" t="n">
        <f aca="false">SRC_HW!C52</f>
        <v>0.9</v>
      </c>
      <c r="D893" s="61" t="n">
        <v>0.9</v>
      </c>
      <c r="E893" s="105" t="n">
        <f aca="false">IF(ABS(C893-D893)&lt;=0.000000001*ABS(D893)+0.000000000001,0,1)</f>
        <v>0</v>
      </c>
    </row>
    <row r="894" customFormat="false" ht="15" hidden="false" customHeight="false" outlineLevel="0" collapsed="false">
      <c r="A894" s="62" t="s">
        <v>3354</v>
      </c>
      <c r="B894" s="62" t="s">
        <v>3360</v>
      </c>
      <c r="C894" s="92" t="n">
        <f aca="false">SRC_HW!C53</f>
        <v>1.8</v>
      </c>
      <c r="D894" s="61" t="n">
        <v>1.8</v>
      </c>
      <c r="E894" s="105" t="n">
        <f aca="false">IF(ABS(C894-D894)&lt;=0.000000001*ABS(D894)+0.000000000001,0,1)</f>
        <v>0</v>
      </c>
    </row>
    <row r="895" customFormat="false" ht="15" hidden="false" customHeight="false" outlineLevel="0" collapsed="false">
      <c r="A895" s="62" t="s">
        <v>3354</v>
      </c>
      <c r="B895" s="62" t="s">
        <v>3361</v>
      </c>
      <c r="C895" s="92" t="n">
        <f aca="false">SRC_HW!C54</f>
        <v>0.5625</v>
      </c>
      <c r="D895" s="61" t="n">
        <v>0.5625</v>
      </c>
      <c r="E895" s="105" t="n">
        <f aca="false">IF(ABS(C895-D895)&lt;=0.000000001*ABS(D895)+0.000000000001,0,1)</f>
        <v>0</v>
      </c>
    </row>
    <row r="896" customFormat="false" ht="15" hidden="false" customHeight="false" outlineLevel="0" collapsed="false">
      <c r="A896" s="62" t="s">
        <v>3354</v>
      </c>
      <c r="B896" s="62" t="s">
        <v>3362</v>
      </c>
      <c r="C896" s="92" t="n">
        <f aca="false">SRC_HW!C56</f>
        <v>4</v>
      </c>
      <c r="D896" s="61" t="n">
        <v>4</v>
      </c>
      <c r="E896" s="105" t="n">
        <f aca="false">IF(ABS(C896-D896)&lt;=0.000000001*ABS(D896)+0.000000000001,0,1)</f>
        <v>0</v>
      </c>
    </row>
    <row r="897" customFormat="false" ht="15" hidden="false" customHeight="false" outlineLevel="0" collapsed="false">
      <c r="A897" s="62" t="s">
        <v>3354</v>
      </c>
      <c r="B897" s="62" t="s">
        <v>3363</v>
      </c>
      <c r="C897" s="92" t="n">
        <f aca="false">SRC_HW!C59</f>
        <v>1</v>
      </c>
      <c r="D897" s="61" t="n">
        <v>1</v>
      </c>
      <c r="E897" s="105" t="n">
        <f aca="false">IF(ABS(C897-D897)&lt;=0.000000001*ABS(D897)+0.000000000001,0,1)</f>
        <v>0</v>
      </c>
    </row>
    <row r="898" customFormat="false" ht="15" hidden="false" customHeight="false" outlineLevel="0" collapsed="false">
      <c r="A898" s="62" t="s">
        <v>3354</v>
      </c>
      <c r="B898" s="62" t="s">
        <v>3364</v>
      </c>
      <c r="C898" s="92" t="n">
        <f aca="false">SRC_HW!C63</f>
        <v>8</v>
      </c>
      <c r="D898" s="61" t="n">
        <v>8</v>
      </c>
      <c r="E898" s="105" t="n">
        <f aca="false">IF(ABS(C898-D898)&lt;=0.000000001*ABS(D898)+0.000000000001,0,1)</f>
        <v>0</v>
      </c>
    </row>
    <row r="899" customFormat="false" ht="15" hidden="false" customHeight="false" outlineLevel="0" collapsed="false">
      <c r="A899" s="62" t="s">
        <v>3354</v>
      </c>
      <c r="B899" s="62" t="s">
        <v>3365</v>
      </c>
      <c r="C899" s="92" t="n">
        <f aca="false">SRC_HW!C64</f>
        <v>400</v>
      </c>
      <c r="D899" s="61" t="n">
        <v>400</v>
      </c>
      <c r="E899" s="105" t="n">
        <f aca="false">IF(ABS(C899-D899)&lt;=0.000000001*ABS(D899)+0.000000000001,0,1)</f>
        <v>0</v>
      </c>
    </row>
    <row r="900" customFormat="false" ht="15" hidden="false" customHeight="false" outlineLevel="0" collapsed="false">
      <c r="A900" s="62" t="s">
        <v>3354</v>
      </c>
      <c r="B900" s="62" t="s">
        <v>3366</v>
      </c>
      <c r="C900" s="92" t="n">
        <f aca="false">SRC_HW!C65</f>
        <v>72</v>
      </c>
      <c r="D900" s="61" t="n">
        <v>72</v>
      </c>
      <c r="E900" s="105" t="n">
        <f aca="false">IF(ABS(C900-D900)&lt;=0.000000001*ABS(D900)+0.000000000001,0,1)</f>
        <v>0</v>
      </c>
    </row>
    <row r="901" customFormat="false" ht="15" hidden="false" customHeight="false" outlineLevel="0" collapsed="false">
      <c r="A901" s="62" t="s">
        <v>3367</v>
      </c>
      <c r="B901" s="62" t="s">
        <v>3172</v>
      </c>
      <c r="C901" s="92" t="n">
        <f aca="false">SRC_DC!C6</f>
        <v>0.15</v>
      </c>
      <c r="D901" s="61" t="n">
        <v>0.15</v>
      </c>
      <c r="E901" s="105" t="n">
        <f aca="false">IF(ABS(C901-D901)&lt;=0.000000001*ABS(D901)+0.000000000001,0,1)</f>
        <v>0</v>
      </c>
    </row>
    <row r="902" customFormat="false" ht="15" hidden="false" customHeight="false" outlineLevel="0" collapsed="false">
      <c r="A902" s="62" t="s">
        <v>3367</v>
      </c>
      <c r="B902" s="62" t="s">
        <v>3179</v>
      </c>
      <c r="C902" s="92" t="n">
        <f aca="false">SRC_DC!C11</f>
        <v>6</v>
      </c>
      <c r="D902" s="61" t="n">
        <v>6</v>
      </c>
      <c r="E902" s="105" t="n">
        <f aca="false">IF(ABS(C902-D902)&lt;=0.000000001*ABS(D902)+0.000000000001,0,1)</f>
        <v>0</v>
      </c>
    </row>
    <row r="903" customFormat="false" ht="15" hidden="false" customHeight="false" outlineLevel="0" collapsed="false">
      <c r="A903" s="62" t="s">
        <v>3367</v>
      </c>
      <c r="B903" s="62" t="s">
        <v>3180</v>
      </c>
      <c r="C903" s="92" t="n">
        <f aca="false">SRC_DC!C12</f>
        <v>4</v>
      </c>
      <c r="D903" s="61" t="n">
        <v>4</v>
      </c>
      <c r="E903" s="105" t="n">
        <f aca="false">IF(ABS(C903-D903)&lt;=0.000000001*ABS(D903)+0.000000000001,0,1)</f>
        <v>0</v>
      </c>
    </row>
    <row r="904" customFormat="false" ht="15" hidden="false" customHeight="false" outlineLevel="0" collapsed="false">
      <c r="A904" s="62" t="s">
        <v>3367</v>
      </c>
      <c r="B904" s="62" t="s">
        <v>3368</v>
      </c>
      <c r="C904" s="92" t="n">
        <f aca="false">SRC_DC!C19</f>
        <v>3</v>
      </c>
      <c r="D904" s="61" t="n">
        <v>3</v>
      </c>
      <c r="E904" s="105" t="n">
        <f aca="false">IF(ABS(C904-D904)&lt;=0.000000001*ABS(D904)+0.000000000001,0,1)</f>
        <v>0</v>
      </c>
    </row>
    <row r="905" customFormat="false" ht="15" hidden="false" customHeight="false" outlineLevel="0" collapsed="false">
      <c r="A905" s="62" t="s">
        <v>3369</v>
      </c>
      <c r="B905" s="62" t="s">
        <v>3228</v>
      </c>
      <c r="C905" s="92" t="n">
        <f aca="false">SRC_Model!C5</f>
        <v>1600</v>
      </c>
      <c r="D905" s="61" t="n">
        <v>1600</v>
      </c>
      <c r="E905" s="105" t="n">
        <f aca="false">IF(ABS(C905-D905)&lt;=0.000000001*ABS(D905)+0.000000000001,0,1)</f>
        <v>0</v>
      </c>
    </row>
    <row r="906" customFormat="false" ht="15" hidden="false" customHeight="false" outlineLevel="0" collapsed="false">
      <c r="A906" s="62" t="s">
        <v>3369</v>
      </c>
      <c r="B906" s="62" t="s">
        <v>3172</v>
      </c>
      <c r="C906" s="92" t="n">
        <f aca="false">SRC_Model!C6</f>
        <v>49</v>
      </c>
      <c r="D906" s="61" t="n">
        <v>49</v>
      </c>
      <c r="E906" s="105" t="n">
        <f aca="false">IF(ABS(C906-D906)&lt;=0.000000001*ABS(D906)+0.000000000001,0,1)</f>
        <v>0</v>
      </c>
    </row>
    <row r="907" customFormat="false" ht="15" hidden="false" customHeight="false" outlineLevel="0" collapsed="false">
      <c r="A907" s="62" t="s">
        <v>3369</v>
      </c>
      <c r="B907" s="62" t="s">
        <v>3308</v>
      </c>
      <c r="C907" s="92" t="n">
        <f aca="false">SRC_Model!C7</f>
        <v>61</v>
      </c>
      <c r="D907" s="61" t="n">
        <v>61</v>
      </c>
      <c r="E907" s="105" t="n">
        <f aca="false">IF(ABS(C907-D907)&lt;=0.000000001*ABS(D907)+0.000000000001,0,1)</f>
        <v>0</v>
      </c>
    </row>
    <row r="908" customFormat="false" ht="15" hidden="false" customHeight="false" outlineLevel="0" collapsed="false">
      <c r="A908" s="62" t="s">
        <v>3369</v>
      </c>
      <c r="B908" s="62" t="s">
        <v>3173</v>
      </c>
      <c r="C908" s="92" t="n">
        <f aca="false">SRC_Model!C8</f>
        <v>7168</v>
      </c>
      <c r="D908" s="61" t="n">
        <v>7168</v>
      </c>
      <c r="E908" s="105" t="n">
        <f aca="false">IF(ABS(C908-D908)&lt;=0.000000001*ABS(D908)+0.000000000001,0,1)</f>
        <v>0</v>
      </c>
    </row>
    <row r="909" customFormat="false" ht="15" hidden="false" customHeight="false" outlineLevel="0" collapsed="false">
      <c r="A909" s="62" t="s">
        <v>3369</v>
      </c>
      <c r="B909" s="62" t="s">
        <v>3175</v>
      </c>
      <c r="C909" s="92" t="n">
        <f aca="false">SRC_Model!C9</f>
        <v>284</v>
      </c>
      <c r="D909" s="61" t="n">
        <v>284</v>
      </c>
      <c r="E909" s="105" t="n">
        <f aca="false">IF(ABS(C909-D909)&lt;=0.000000001*ABS(D909)+0.000000000001,0,1)</f>
        <v>0</v>
      </c>
    </row>
    <row r="910" customFormat="false" ht="15" hidden="false" customHeight="false" outlineLevel="0" collapsed="false">
      <c r="A910" s="62" t="s">
        <v>3369</v>
      </c>
      <c r="B910" s="62" t="s">
        <v>3177</v>
      </c>
      <c r="C910" s="92" t="n">
        <f aca="false">SRC_Model!C10</f>
        <v>13</v>
      </c>
      <c r="D910" s="61" t="n">
        <v>13</v>
      </c>
      <c r="E910" s="105" t="n">
        <f aca="false">IF(ABS(C910-D910)&lt;=0.000000001*ABS(D910)+0.000000000001,0,1)</f>
        <v>0</v>
      </c>
    </row>
    <row r="911" customFormat="false" ht="15" hidden="false" customHeight="false" outlineLevel="0" collapsed="false">
      <c r="A911" s="62" t="s">
        <v>3369</v>
      </c>
      <c r="B911" s="62" t="s">
        <v>3179</v>
      </c>
      <c r="C911" s="92" t="n">
        <f aca="false">SRC_Model!C11</f>
        <v>43</v>
      </c>
      <c r="D911" s="61" t="n">
        <v>43</v>
      </c>
      <c r="E911" s="105" t="n">
        <f aca="false">IF(ABS(C911-D911)&lt;=0.000000001*ABS(D911)+0.000000000001,0,1)</f>
        <v>0</v>
      </c>
    </row>
    <row r="912" customFormat="false" ht="15" hidden="false" customHeight="false" outlineLevel="0" collapsed="false">
      <c r="A912" s="62" t="s">
        <v>3369</v>
      </c>
      <c r="B912" s="62" t="s">
        <v>3180</v>
      </c>
      <c r="C912" s="92" t="n">
        <f aca="false">SRC_Model!C12</f>
        <v>128</v>
      </c>
      <c r="D912" s="61" t="n">
        <v>128</v>
      </c>
      <c r="E912" s="105" t="n">
        <f aca="false">IF(ABS(C912-D912)&lt;=0.000000001*ABS(D912)+0.000000000001,0,1)</f>
        <v>0</v>
      </c>
    </row>
    <row r="913" customFormat="false" ht="15" hidden="false" customHeight="false" outlineLevel="0" collapsed="false">
      <c r="A913" s="62" t="s">
        <v>3369</v>
      </c>
      <c r="B913" s="62" t="s">
        <v>3184</v>
      </c>
      <c r="C913" s="92" t="n">
        <f aca="false">SRC_Model!C13</f>
        <v>512</v>
      </c>
      <c r="D913" s="61" t="n">
        <v>512</v>
      </c>
      <c r="E913" s="105" t="n">
        <f aca="false">IF(ABS(C913-D913)&lt;=0.000000001*ABS(D913)+0.000000000001,0,1)</f>
        <v>0</v>
      </c>
    </row>
    <row r="914" customFormat="false" ht="15" hidden="false" customHeight="false" outlineLevel="0" collapsed="false">
      <c r="A914" s="62" t="s">
        <v>3369</v>
      </c>
      <c r="B914" s="62" t="s">
        <v>3213</v>
      </c>
      <c r="C914" s="92" t="n">
        <f aca="false">SRC_Model!C14</f>
        <v>256</v>
      </c>
      <c r="D914" s="61" t="n">
        <v>256</v>
      </c>
      <c r="E914" s="105" t="n">
        <f aca="false">IF(ABS(C914-D914)&lt;=0.000000001*ABS(D914)+0.000000000001,0,1)</f>
        <v>0</v>
      </c>
    </row>
    <row r="915" customFormat="false" ht="15" hidden="false" customHeight="false" outlineLevel="0" collapsed="false">
      <c r="A915" s="62" t="s">
        <v>3369</v>
      </c>
      <c r="B915" s="62" t="s">
        <v>3214</v>
      </c>
      <c r="C915" s="92" t="n">
        <f aca="false">SRC_Model!C15</f>
        <v>384</v>
      </c>
      <c r="D915" s="61" t="n">
        <v>384</v>
      </c>
      <c r="E915" s="105" t="n">
        <f aca="false">IF(ABS(C915-D915)&lt;=0.000000001*ABS(D915)+0.000000000001,0,1)</f>
        <v>0</v>
      </c>
    </row>
    <row r="916" customFormat="false" ht="15" hidden="false" customHeight="false" outlineLevel="0" collapsed="false">
      <c r="A916" s="62" t="s">
        <v>3369</v>
      </c>
      <c r="B916" s="62" t="s">
        <v>3215</v>
      </c>
      <c r="C916" s="92" t="n">
        <f aca="false">SRC_Model!C16</f>
        <v>6</v>
      </c>
      <c r="D916" s="61" t="n">
        <v>6</v>
      </c>
      <c r="E916" s="105" t="n">
        <f aca="false">IF(ABS(C916-D916)&lt;=0.000000001*ABS(D916)+0.000000000001,0,1)</f>
        <v>0</v>
      </c>
    </row>
    <row r="917" customFormat="false" ht="15" hidden="false" customHeight="false" outlineLevel="0" collapsed="false">
      <c r="A917" s="62" t="s">
        <v>3369</v>
      </c>
      <c r="B917" s="62" t="s">
        <v>3216</v>
      </c>
      <c r="C917" s="92" t="n">
        <f aca="false">SRC_Model!C17</f>
        <v>1</v>
      </c>
      <c r="D917" s="61" t="n">
        <v>1</v>
      </c>
      <c r="E917" s="105" t="n">
        <f aca="false">IF(ABS(C917-D917)&lt;=0.000000001*ABS(D917)+0.000000000001,0,1)</f>
        <v>0</v>
      </c>
    </row>
    <row r="918" customFormat="false" ht="15" hidden="false" customHeight="false" outlineLevel="0" collapsed="false">
      <c r="A918" s="62" t="s">
        <v>3369</v>
      </c>
      <c r="B918" s="62" t="s">
        <v>3368</v>
      </c>
      <c r="C918" s="92" t="n">
        <f aca="false">SRC_Model!C19</f>
        <v>0.512</v>
      </c>
      <c r="D918" s="61" t="n">
        <v>0.512</v>
      </c>
      <c r="E918" s="105" t="n">
        <f aca="false">IF(ABS(C918-D918)&lt;=0.000000001*ABS(D918)+0.000000000001,0,1)</f>
        <v>0</v>
      </c>
    </row>
    <row r="919" customFormat="false" ht="15" hidden="false" customHeight="false" outlineLevel="0" collapsed="false">
      <c r="A919" s="62" t="s">
        <v>3369</v>
      </c>
      <c r="B919" s="62" t="s">
        <v>3370</v>
      </c>
      <c r="C919" s="92" t="n">
        <f aca="false">SRC_Model!C20</f>
        <v>128</v>
      </c>
      <c r="D919" s="61" t="n">
        <v>128</v>
      </c>
      <c r="E919" s="105" t="n">
        <f aca="false">IF(ABS(C919-D919)&lt;=0.000000001*ABS(D919)+0.000000000001,0,1)</f>
        <v>0</v>
      </c>
    </row>
    <row r="920" customFormat="false" ht="15" hidden="false" customHeight="false" outlineLevel="0" collapsed="false">
      <c r="A920" s="62" t="s">
        <v>3369</v>
      </c>
      <c r="B920" s="62" t="s">
        <v>3319</v>
      </c>
      <c r="C920" s="92" t="n">
        <f aca="false">SRC_Model!C21</f>
        <v>128</v>
      </c>
      <c r="D920" s="61" t="n">
        <v>128</v>
      </c>
      <c r="E920" s="105" t="n">
        <f aca="false">IF(ABS(C920-D920)&lt;=0.000000001*ABS(D920)+0.000000000001,0,1)</f>
        <v>0</v>
      </c>
    </row>
    <row r="921" customFormat="false" ht="15" hidden="false" customHeight="false" outlineLevel="0" collapsed="false">
      <c r="A921" s="62" t="s">
        <v>3369</v>
      </c>
      <c r="B921" s="62" t="s">
        <v>3218</v>
      </c>
      <c r="C921" s="92" t="n">
        <f aca="false">SRC_Model!C22</f>
        <v>1024</v>
      </c>
      <c r="D921" s="61" t="n">
        <v>1024</v>
      </c>
      <c r="E921" s="105" t="n">
        <f aca="false">IF(ABS(C921-D921)&lt;=0.000000001*ABS(D921)+0.000000000001,0,1)</f>
        <v>0</v>
      </c>
    </row>
    <row r="922" customFormat="false" ht="15" hidden="false" customHeight="false" outlineLevel="0" collapsed="false">
      <c r="A922" s="62" t="s">
        <v>3369</v>
      </c>
      <c r="B922" s="62" t="s">
        <v>3221</v>
      </c>
      <c r="C922" s="92" t="n">
        <f aca="false">SRC_Model!C23</f>
        <v>4</v>
      </c>
      <c r="D922" s="61" t="n">
        <v>4</v>
      </c>
      <c r="E922" s="105" t="n">
        <f aca="false">IF(ABS(C922-D922)&lt;=0.000000001*ABS(D922)+0.000000000001,0,1)</f>
        <v>0</v>
      </c>
    </row>
    <row r="923" customFormat="false" ht="15" hidden="false" customHeight="false" outlineLevel="0" collapsed="false">
      <c r="A923" s="62" t="s">
        <v>3369</v>
      </c>
      <c r="B923" s="62" t="s">
        <v>3327</v>
      </c>
      <c r="C923" s="92" t="n">
        <f aca="false">SRC_Model!C33</f>
        <v>32</v>
      </c>
      <c r="D923" s="61" t="n">
        <v>32</v>
      </c>
      <c r="E923" s="105" t="n">
        <f aca="false">IF(ABS(C923-D923)&lt;=0.000000001*ABS(D923)+0.000000000001,0,1)</f>
        <v>0</v>
      </c>
    </row>
    <row r="924" customFormat="false" ht="15" hidden="false" customHeight="false" outlineLevel="0" collapsed="false">
      <c r="A924" s="62" t="s">
        <v>3369</v>
      </c>
      <c r="B924" s="62" t="s">
        <v>3210</v>
      </c>
      <c r="C924" s="92" t="n">
        <f aca="false">SRC_Model!C34</f>
        <v>33</v>
      </c>
      <c r="D924" s="61" t="n">
        <v>33</v>
      </c>
      <c r="E924" s="105" t="n">
        <f aca="false">IF(ABS(C924-D924)&lt;=0.000000001*ABS(D924)+0.000000000001,0,1)</f>
        <v>0</v>
      </c>
    </row>
    <row r="925" customFormat="false" ht="15" hidden="false" customHeight="false" outlineLevel="0" collapsed="false">
      <c r="A925" s="62" t="s">
        <v>3369</v>
      </c>
      <c r="B925" s="62" t="s">
        <v>3328</v>
      </c>
      <c r="C925" s="92" t="n">
        <f aca="false">SRC_Model!C35</f>
        <v>4096</v>
      </c>
      <c r="D925" s="61" t="n">
        <v>4096</v>
      </c>
      <c r="E925" s="105" t="n">
        <f aca="false">IF(ABS(C925-D925)&lt;=0.000000001*ABS(D925)+0.000000000001,0,1)</f>
        <v>0</v>
      </c>
    </row>
    <row r="926" customFormat="false" ht="15" hidden="false" customHeight="false" outlineLevel="0" collapsed="false">
      <c r="A926" s="62" t="s">
        <v>3369</v>
      </c>
      <c r="B926" s="62" t="s">
        <v>3362</v>
      </c>
      <c r="C926" s="92" t="n">
        <f aca="false">SRC_Model!C56</f>
        <v>4096</v>
      </c>
      <c r="D926" s="61" t="n">
        <v>4096</v>
      </c>
      <c r="E926" s="105" t="n">
        <f aca="false">IF(ABS(C926-D926)&lt;=0.000000001*ABS(D926)+0.000000000001,0,1)</f>
        <v>0</v>
      </c>
    </row>
    <row r="927" customFormat="false" ht="15" hidden="false" customHeight="false" outlineLevel="0" collapsed="false">
      <c r="A927" s="62" t="s">
        <v>3369</v>
      </c>
      <c r="B927" s="62" t="s">
        <v>3371</v>
      </c>
      <c r="C927" s="92" t="n">
        <f aca="false">SRC_Model!C57</f>
        <v>64</v>
      </c>
      <c r="D927" s="61" t="n">
        <v>64</v>
      </c>
      <c r="E927" s="105" t="n">
        <f aca="false">IF(ABS(C927-D927)&lt;=0.000000001*ABS(D927)+0.000000000001,0,1)</f>
        <v>0</v>
      </c>
    </row>
    <row r="928" customFormat="false" ht="15" hidden="false" customHeight="false" outlineLevel="0" collapsed="false">
      <c r="A928" s="62" t="s">
        <v>3369</v>
      </c>
      <c r="B928" s="62" t="s">
        <v>3372</v>
      </c>
      <c r="C928" s="92" t="n">
        <f aca="false">SRC_Model!C58</f>
        <v>0.492</v>
      </c>
      <c r="D928" s="61" t="n">
        <v>0.492</v>
      </c>
      <c r="E928" s="105" t="n">
        <f aca="false">IF(ABS(C928-D928)&lt;=0.000000001*ABS(D928)+0.000000000001,0,1)</f>
        <v>0</v>
      </c>
    </row>
    <row r="929" customFormat="false" ht="15" hidden="false" customHeight="false" outlineLevel="0" collapsed="false">
      <c r="A929" s="62" t="s">
        <v>3373</v>
      </c>
      <c r="B929" s="62" t="s">
        <v>3175</v>
      </c>
      <c r="C929" s="92" t="n">
        <f aca="false">SRC_Perf!C9</f>
        <v>0.7</v>
      </c>
      <c r="D929" s="61" t="n">
        <v>0.7</v>
      </c>
      <c r="E929" s="105" t="n">
        <f aca="false">IF(ABS(C929-D929)&lt;=0.000000001*ABS(D929)+0.000000000001,0,1)</f>
        <v>0</v>
      </c>
    </row>
    <row r="930" customFormat="false" ht="15" hidden="false" customHeight="false" outlineLevel="0" collapsed="false">
      <c r="A930" s="62" t="s">
        <v>3373</v>
      </c>
      <c r="B930" s="62" t="s">
        <v>3179</v>
      </c>
      <c r="C930" s="92" t="n">
        <f aca="false">SRC_Perf!C11</f>
        <v>4</v>
      </c>
      <c r="D930" s="61" t="n">
        <v>4</v>
      </c>
      <c r="E930" s="105" t="n">
        <f aca="false">IF(ABS(C930-D930)&lt;=0.000000001*ABS(D930)+0.000000000001,0,1)</f>
        <v>0</v>
      </c>
    </row>
    <row r="931" customFormat="false" ht="15" hidden="false" customHeight="false" outlineLevel="0" collapsed="false">
      <c r="A931" s="62" t="s">
        <v>3373</v>
      </c>
      <c r="B931" s="62" t="s">
        <v>3180</v>
      </c>
      <c r="C931" s="92" t="n">
        <f aca="false">SRC_Perf!C12</f>
        <v>32</v>
      </c>
      <c r="D931" s="61" t="n">
        <v>32</v>
      </c>
      <c r="E931" s="105" t="n">
        <f aca="false">IF(ABS(C931-D931)&lt;=0.000000001*ABS(D931)+0.000000000001,0,1)</f>
        <v>0</v>
      </c>
    </row>
    <row r="932" customFormat="false" ht="15" hidden="false" customHeight="false" outlineLevel="0" collapsed="false">
      <c r="A932" s="62" t="s">
        <v>3373</v>
      </c>
      <c r="B932" s="62" t="s">
        <v>3184</v>
      </c>
      <c r="C932" s="92" t="n">
        <f aca="false">SRC_Perf!C13</f>
        <v>9342.1</v>
      </c>
      <c r="D932" s="61" t="n">
        <v>9342.1</v>
      </c>
      <c r="E932" s="105" t="n">
        <f aca="false">IF(ABS(C932-D932)&lt;=0.000000001*ABS(D932)+0.000000000001,0,1)</f>
        <v>0</v>
      </c>
    </row>
    <row r="933" customFormat="false" ht="15" hidden="false" customHeight="false" outlineLevel="0" collapsed="false">
      <c r="A933" s="62" t="s">
        <v>3373</v>
      </c>
      <c r="B933" s="62" t="s">
        <v>3374</v>
      </c>
      <c r="C933" s="92" t="n">
        <f aca="false">SRC_Perf!AC13</f>
        <v>8192</v>
      </c>
      <c r="D933" s="61" t="n">
        <v>8192</v>
      </c>
      <c r="E933" s="105" t="n">
        <f aca="false">IF(ABS(C933-D933)&lt;=0.000000001*ABS(D933)+0.000000000001,0,1)</f>
        <v>0</v>
      </c>
    </row>
    <row r="934" customFormat="false" ht="15" hidden="false" customHeight="false" outlineLevel="0" collapsed="false">
      <c r="A934" s="62" t="s">
        <v>3373</v>
      </c>
      <c r="B934" s="62" t="s">
        <v>3375</v>
      </c>
      <c r="C934" s="92" t="n">
        <f aca="false">SRC_Perf!AD13</f>
        <v>1024</v>
      </c>
      <c r="D934" s="61" t="n">
        <v>1024</v>
      </c>
      <c r="E934" s="105" t="n">
        <f aca="false">IF(ABS(C934-D934)&lt;=0.000000001*ABS(D934)+0.000000000001,0,1)</f>
        <v>0</v>
      </c>
    </row>
    <row r="935" customFormat="false" ht="15" hidden="false" customHeight="false" outlineLevel="0" collapsed="false">
      <c r="A935" s="62" t="s">
        <v>3373</v>
      </c>
      <c r="B935" s="62" t="s">
        <v>3376</v>
      </c>
      <c r="C935" s="92" t="n">
        <f aca="false">SRC_Perf!AE13</f>
        <v>72</v>
      </c>
      <c r="D935" s="61" t="n">
        <v>72</v>
      </c>
      <c r="E935" s="105" t="n">
        <f aca="false">IF(ABS(C935-D935)&lt;=0.000000001*ABS(D935)+0.000000000001,0,1)</f>
        <v>0</v>
      </c>
    </row>
    <row r="936" customFormat="false" ht="15" hidden="false" customHeight="false" outlineLevel="0" collapsed="false">
      <c r="A936" s="62" t="s">
        <v>3373</v>
      </c>
      <c r="B936" s="62" t="s">
        <v>3377</v>
      </c>
      <c r="C936" s="92" t="n">
        <f aca="false">SRC_Perf!AF13</f>
        <v>1</v>
      </c>
      <c r="D936" s="61" t="n">
        <v>1</v>
      </c>
      <c r="E936" s="105" t="n">
        <f aca="false">IF(ABS(C936-D936)&lt;=0.000000001*ABS(D936)+0.000000000001,0,1)</f>
        <v>0</v>
      </c>
    </row>
    <row r="937" customFormat="false" ht="15" hidden="false" customHeight="false" outlineLevel="0" collapsed="false">
      <c r="A937" s="62" t="s">
        <v>3373</v>
      </c>
      <c r="B937" s="62" t="s">
        <v>3213</v>
      </c>
      <c r="C937" s="92" t="n">
        <f aca="false">SRC_Perf!C14</f>
        <v>3405.2</v>
      </c>
      <c r="D937" s="61" t="n">
        <v>3405.2</v>
      </c>
      <c r="E937" s="105" t="n">
        <f aca="false">IF(ABS(C937-D937)&lt;=0.000000001*ABS(D937)+0.000000000001,0,1)</f>
        <v>0</v>
      </c>
    </row>
    <row r="938" customFormat="false" ht="15" hidden="false" customHeight="false" outlineLevel="0" collapsed="false">
      <c r="A938" s="62" t="s">
        <v>3373</v>
      </c>
      <c r="B938" s="62" t="s">
        <v>3378</v>
      </c>
      <c r="C938" s="92" t="n">
        <f aca="false">SRC_Perf!AC14</f>
        <v>8192</v>
      </c>
      <c r="D938" s="61" t="n">
        <v>8192</v>
      </c>
      <c r="E938" s="105" t="n">
        <f aca="false">IF(ABS(C938-D938)&lt;=0.000000001*ABS(D938)+0.000000000001,0,1)</f>
        <v>0</v>
      </c>
    </row>
    <row r="939" customFormat="false" ht="15" hidden="false" customHeight="false" outlineLevel="0" collapsed="false">
      <c r="A939" s="62" t="s">
        <v>3373</v>
      </c>
      <c r="B939" s="62" t="s">
        <v>3379</v>
      </c>
      <c r="C939" s="92" t="n">
        <f aca="false">SRC_Perf!AD14</f>
        <v>1024</v>
      </c>
      <c r="D939" s="61" t="n">
        <v>1024</v>
      </c>
      <c r="E939" s="105" t="n">
        <f aca="false">IF(ABS(C939-D939)&lt;=0.000000001*ABS(D939)+0.000000000001,0,1)</f>
        <v>0</v>
      </c>
    </row>
    <row r="940" customFormat="false" ht="15" hidden="false" customHeight="false" outlineLevel="0" collapsed="false">
      <c r="A940" s="62" t="s">
        <v>3373</v>
      </c>
      <c r="B940" s="62" t="s">
        <v>3380</v>
      </c>
      <c r="C940" s="92" t="n">
        <f aca="false">SRC_Perf!AE14</f>
        <v>130</v>
      </c>
      <c r="D940" s="61" t="n">
        <v>130</v>
      </c>
      <c r="E940" s="105" t="n">
        <f aca="false">IF(ABS(C940-D940)&lt;=0.000000001*ABS(D940)+0.000000000001,0,1)</f>
        <v>0</v>
      </c>
    </row>
    <row r="941" customFormat="false" ht="15" hidden="false" customHeight="false" outlineLevel="0" collapsed="false">
      <c r="A941" s="62" t="s">
        <v>3373</v>
      </c>
      <c r="B941" s="62" t="s">
        <v>3381</v>
      </c>
      <c r="C941" s="92" t="n">
        <f aca="false">SRC_Perf!AF14</f>
        <v>1</v>
      </c>
      <c r="D941" s="61" t="n">
        <v>1</v>
      </c>
      <c r="E941" s="105" t="n">
        <f aca="false">IF(ABS(C941-D941)&lt;=0.000000001*ABS(D941)+0.000000000001,0,1)</f>
        <v>0</v>
      </c>
    </row>
    <row r="942" customFormat="false" ht="15" hidden="false" customHeight="false" outlineLevel="0" collapsed="false">
      <c r="A942" s="62" t="s">
        <v>3373</v>
      </c>
      <c r="B942" s="62" t="s">
        <v>3382</v>
      </c>
      <c r="C942" s="92" t="n">
        <f aca="false">SRC_Perf!C70</f>
        <v>116.5</v>
      </c>
      <c r="D942" s="61" t="n">
        <v>116.5</v>
      </c>
      <c r="E942" s="105" t="n">
        <f aca="false">IF(ABS(C942-D942)&lt;=0.000000001*ABS(D942)+0.000000000001,0,1)</f>
        <v>0</v>
      </c>
    </row>
    <row r="943" customFormat="false" ht="15" hidden="false" customHeight="false" outlineLevel="0" collapsed="false">
      <c r="A943" s="62" t="s">
        <v>3373</v>
      </c>
      <c r="B943" s="62" t="s">
        <v>3383</v>
      </c>
      <c r="C943" s="92" t="n">
        <f aca="false">SRC_Perf!C71</f>
        <v>61</v>
      </c>
      <c r="D943" s="61" t="n">
        <v>61</v>
      </c>
      <c r="E943" s="105" t="n">
        <f aca="false">IF(ABS(C943-D943)&lt;=0.000000001*ABS(D943)+0.000000000001,0,1)</f>
        <v>0</v>
      </c>
    </row>
    <row r="944" customFormat="false" ht="15" hidden="false" customHeight="false" outlineLevel="0" collapsed="false">
      <c r="A944" s="62" t="s">
        <v>3373</v>
      </c>
      <c r="B944" s="62" t="s">
        <v>3384</v>
      </c>
      <c r="C944" s="92" t="n">
        <f aca="false">SRC_Perf!C72</f>
        <v>50.7</v>
      </c>
      <c r="D944" s="61" t="n">
        <v>50.7</v>
      </c>
      <c r="E944" s="105" t="n">
        <f aca="false">IF(ABS(C944-D944)&lt;=0.000000001*ABS(D944)+0.000000000001,0,1)</f>
        <v>0</v>
      </c>
    </row>
    <row r="945" customFormat="false" ht="15" hidden="false" customHeight="false" outlineLevel="0" collapsed="false">
      <c r="A945" s="62" t="s">
        <v>3373</v>
      </c>
      <c r="B945" s="62" t="s">
        <v>3385</v>
      </c>
      <c r="C945" s="92" t="n">
        <f aca="false">SRC_Perf!C73</f>
        <v>37</v>
      </c>
      <c r="D945" s="61" t="n">
        <v>37</v>
      </c>
      <c r="E945" s="105" t="n">
        <f aca="false">IF(ABS(C945-D945)&lt;=0.000000001*ABS(D945)+0.000000000001,0,1)</f>
        <v>0</v>
      </c>
    </row>
    <row r="946" customFormat="false" ht="15" hidden="false" customHeight="false" outlineLevel="0" collapsed="false">
      <c r="A946" s="62" t="s">
        <v>3373</v>
      </c>
      <c r="B946" s="62" t="s">
        <v>3386</v>
      </c>
      <c r="C946" s="92" t="n">
        <f aca="false">SRC_Perf!C74</f>
        <v>52.1</v>
      </c>
      <c r="D946" s="61" t="n">
        <v>52.1</v>
      </c>
      <c r="E946" s="105" t="n">
        <f aca="false">IF(ABS(C946-D946)&lt;=0.000000001*ABS(D946)+0.000000000001,0,1)</f>
        <v>0</v>
      </c>
    </row>
    <row r="947" customFormat="false" ht="15" hidden="false" customHeight="false" outlineLevel="0" collapsed="false">
      <c r="A947" s="62" t="s">
        <v>3373</v>
      </c>
      <c r="B947" s="62" t="s">
        <v>3387</v>
      </c>
      <c r="C947" s="92" t="n">
        <f aca="false">SRC_Perf!C75</f>
        <v>32</v>
      </c>
      <c r="D947" s="61" t="n">
        <v>32</v>
      </c>
      <c r="E947" s="105" t="n">
        <f aca="false">IF(ABS(C947-D947)&lt;=0.000000001*ABS(D947)+0.000000000001,0,1)</f>
        <v>0</v>
      </c>
    </row>
    <row r="948" customFormat="false" ht="15" hidden="false" customHeight="false" outlineLevel="0" collapsed="false">
      <c r="A948" s="62" t="s">
        <v>3388</v>
      </c>
      <c r="B948" s="62" t="s">
        <v>3308</v>
      </c>
      <c r="C948" s="92" t="n">
        <f aca="false">SRC_Price!C7</f>
        <v>0.1</v>
      </c>
      <c r="D948" s="61" t="n">
        <v>0.1</v>
      </c>
      <c r="E948" s="105" t="n">
        <f aca="false">IF(ABS(C948-D948)&lt;=0.000000001*ABS(D948)+0.000000000001,0,1)</f>
        <v>0</v>
      </c>
    </row>
    <row r="949" customFormat="false" ht="15" hidden="false" customHeight="false" outlineLevel="0" collapsed="false">
      <c r="A949" s="62" t="s">
        <v>3388</v>
      </c>
      <c r="B949" s="62" t="s">
        <v>3173</v>
      </c>
      <c r="C949" s="92" t="n">
        <f aca="false">SRC_Price!C8</f>
        <v>0.01</v>
      </c>
      <c r="D949" s="61" t="n">
        <v>0.01</v>
      </c>
      <c r="E949" s="105" t="n">
        <f aca="false">IF(ABS(C949-D949)&lt;=0.000000001*ABS(D949)+0.000000000001,0,1)</f>
        <v>0</v>
      </c>
    </row>
    <row r="950" customFormat="false" ht="15" hidden="false" customHeight="false" outlineLevel="0" collapsed="false">
      <c r="A950" s="62" t="s">
        <v>3388</v>
      </c>
      <c r="B950" s="62" t="s">
        <v>3175</v>
      </c>
      <c r="C950" s="92" t="n">
        <f aca="false">SRC_Price!C9</f>
        <v>0.5</v>
      </c>
      <c r="D950" s="61" t="n">
        <v>0.5</v>
      </c>
      <c r="E950" s="105" t="n">
        <f aca="false">IF(ABS(C950-D950)&lt;=0.000000001*ABS(D950)+0.000000000001,0,1)</f>
        <v>0</v>
      </c>
    </row>
    <row r="951" customFormat="false" ht="15" hidden="false" customHeight="false" outlineLevel="0" collapsed="false">
      <c r="A951" s="62" t="s">
        <v>3388</v>
      </c>
      <c r="B951" s="62" t="s">
        <v>3177</v>
      </c>
      <c r="C951" s="92" t="n">
        <f aca="false">SRC_Price!C10</f>
        <v>2</v>
      </c>
      <c r="D951" s="61" t="n">
        <v>2</v>
      </c>
      <c r="E951" s="105" t="n">
        <f aca="false">IF(ABS(C951-D951)&lt;=0.000000001*ABS(D951)+0.000000000001,0,1)</f>
        <v>0</v>
      </c>
    </row>
    <row r="952" customFormat="false" ht="15" hidden="false" customHeight="false" outlineLevel="0" collapsed="false">
      <c r="A952" s="62" t="s">
        <v>3388</v>
      </c>
      <c r="B952" s="62" t="s">
        <v>3179</v>
      </c>
      <c r="C952" s="92" t="n">
        <f aca="false">SRC_Price!C11</f>
        <v>0.2</v>
      </c>
      <c r="D952" s="61" t="n">
        <v>0.2</v>
      </c>
      <c r="E952" s="105" t="n">
        <f aca="false">IF(ABS(C952-D952)&lt;=0.000000001*ABS(D952)+0.000000000001,0,1)</f>
        <v>0</v>
      </c>
    </row>
    <row r="953" customFormat="false" ht="15" hidden="false" customHeight="false" outlineLevel="0" collapsed="false">
      <c r="A953" s="62" t="s">
        <v>3388</v>
      </c>
      <c r="B953" s="62" t="s">
        <v>3180</v>
      </c>
      <c r="C953" s="92" t="n">
        <f aca="false">SRC_Price!C12</f>
        <v>10</v>
      </c>
      <c r="D953" s="61" t="n">
        <v>10</v>
      </c>
      <c r="E953" s="105" t="n">
        <f aca="false">IF(ABS(C953-D953)&lt;=0.000000001*ABS(D953)+0.000000000001,0,1)</f>
        <v>0</v>
      </c>
    </row>
    <row r="954" customFormat="false" ht="15" hidden="false" customHeight="false" outlineLevel="0" collapsed="false">
      <c r="A954" s="62" t="s">
        <v>3388</v>
      </c>
      <c r="B954" s="62" t="s">
        <v>3184</v>
      </c>
      <c r="C954" s="92" t="n">
        <f aca="false">SRC_Price!C13</f>
        <v>10</v>
      </c>
      <c r="D954" s="61" t="n">
        <v>10</v>
      </c>
      <c r="E954" s="105" t="n">
        <f aca="false">IF(ABS(C954-D954)&lt;=0.000000001*ABS(D954)+0.000000000001,0,1)</f>
        <v>0</v>
      </c>
    </row>
    <row r="955" customFormat="false" ht="15" hidden="false" customHeight="false" outlineLevel="0" collapsed="false">
      <c r="A955" s="62" t="s">
        <v>3388</v>
      </c>
      <c r="B955" s="62" t="s">
        <v>3213</v>
      </c>
      <c r="C955" s="92" t="n">
        <f aca="false">SRC_Price!C14</f>
        <v>1</v>
      </c>
      <c r="D955" s="61" t="n">
        <v>1</v>
      </c>
      <c r="E955" s="105" t="n">
        <f aca="false">IF(ABS(C955-D955)&lt;=0.000000001*ABS(D955)+0.000000000001,0,1)</f>
        <v>0</v>
      </c>
    </row>
    <row r="956" customFormat="false" ht="15" hidden="false" customHeight="false" outlineLevel="0" collapsed="false">
      <c r="A956" s="62" t="s">
        <v>3388</v>
      </c>
      <c r="B956" s="62" t="s">
        <v>3214</v>
      </c>
      <c r="C956" s="92" t="n">
        <f aca="false">SRC_Price!C15</f>
        <v>50</v>
      </c>
      <c r="D956" s="61" t="n">
        <v>50</v>
      </c>
      <c r="E956" s="105" t="n">
        <f aca="false">IF(ABS(C956-D956)&lt;=0.000000001*ABS(D956)+0.000000000001,0,1)</f>
        <v>0</v>
      </c>
    </row>
    <row r="957" customFormat="false" ht="15" hidden="false" customHeight="false" outlineLevel="0" collapsed="false">
      <c r="A957" s="62" t="s">
        <v>3389</v>
      </c>
      <c r="B957" s="62" t="s">
        <v>3173</v>
      </c>
      <c r="C957" s="92" t="n">
        <f aca="false">SRC_Demand!C8</f>
        <v>8.4</v>
      </c>
      <c r="D957" s="61" t="n">
        <v>8.4</v>
      </c>
      <c r="E957" s="105" t="n">
        <f aca="false">IF(ABS(C957-D957)&lt;=0.000000001*ABS(D957)+0.000000000001,0,1)</f>
        <v>0</v>
      </c>
    </row>
    <row r="958" customFormat="false" ht="15" hidden="false" customHeight="false" outlineLevel="0" collapsed="false">
      <c r="A958" s="62" t="s">
        <v>3389</v>
      </c>
      <c r="B958" s="62" t="s">
        <v>3175</v>
      </c>
      <c r="C958" s="92" t="n">
        <f aca="false">SRC_Demand!C9</f>
        <v>3.9</v>
      </c>
      <c r="D958" s="61" t="n">
        <v>3.9</v>
      </c>
      <c r="E958" s="105" t="n">
        <f aca="false">IF(ABS(C958-D958)&lt;=0.000000001*ABS(D958)+0.000000000001,0,1)</f>
        <v>0</v>
      </c>
    </row>
    <row r="959" customFormat="false" ht="15" hidden="false" customHeight="false" outlineLevel="0" collapsed="false">
      <c r="A959" s="62" t="s">
        <v>3389</v>
      </c>
      <c r="B959" s="62" t="s">
        <v>3177</v>
      </c>
      <c r="C959" s="92" t="n">
        <f aca="false">SRC_Demand!C10</f>
        <v>12</v>
      </c>
      <c r="D959" s="61" t="n">
        <v>12</v>
      </c>
      <c r="E959" s="105" t="n">
        <f aca="false">IF(ABS(C959-D959)&lt;=0.000000001*ABS(D959)+0.000000000001,0,1)</f>
        <v>0</v>
      </c>
    </row>
    <row r="960" customFormat="false" ht="15" hidden="false" customHeight="false" outlineLevel="0" collapsed="false">
      <c r="A960" s="62" t="s">
        <v>3389</v>
      </c>
      <c r="B960" s="62" t="s">
        <v>3213</v>
      </c>
      <c r="C960" s="92" t="n">
        <f aca="false">SRC_Demand!C14</f>
        <v>6</v>
      </c>
      <c r="D960" s="61" t="n">
        <v>6</v>
      </c>
      <c r="E960" s="105" t="n">
        <f aca="false">IF(ABS(C960-D960)&lt;=0.000000001*ABS(D960)+0.000000000001,0,1)</f>
        <v>0</v>
      </c>
    </row>
    <row r="961" customFormat="false" ht="15" hidden="false" customHeight="false" outlineLevel="0" collapsed="false">
      <c r="A961" s="62" t="s">
        <v>3389</v>
      </c>
      <c r="B961" s="62" t="s">
        <v>3215</v>
      </c>
      <c r="C961" s="92" t="n">
        <f aca="false">SRC_Demand!C16</f>
        <v>2.5</v>
      </c>
      <c r="D961" s="61" t="n">
        <v>2.5</v>
      </c>
      <c r="E961" s="105" t="n">
        <f aca="false">IF(ABS(C961-D961)&lt;=0.000000001*ABS(D961)+0.000000000001,0,1)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3390</v>
      </c>
    </row>
    <row r="2" customFormat="false" ht="15" hidden="false" customHeight="false" outlineLevel="0" collapsed="false">
      <c r="A2" s="65" t="s">
        <v>3391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90" t="n">
        <f aca="false">Perf!C6</f>
        <v>1</v>
      </c>
      <c r="D6" s="90" t="n">
        <f aca="false">Perf!D6</f>
        <v>1</v>
      </c>
      <c r="E6" s="90" t="n">
        <f aca="false">Perf!E6</f>
        <v>1</v>
      </c>
      <c r="F6" s="90" t="n">
        <f aca="false">Perf!F6</f>
        <v>2</v>
      </c>
      <c r="G6" s="90" t="n">
        <f aca="false">Perf!G6</f>
        <v>2</v>
      </c>
      <c r="H6" s="90" t="n">
        <f aca="false">Perf!H6</f>
        <v>2</v>
      </c>
      <c r="I6" s="90" t="n">
        <f aca="false">Perf!I6</f>
        <v>3</v>
      </c>
      <c r="J6" s="90" t="n">
        <f aca="false">Perf!J6</f>
        <v>3</v>
      </c>
      <c r="K6" s="90" t="n">
        <f aca="false">Perf!K6</f>
        <v>3</v>
      </c>
      <c r="L6" s="90" t="n">
        <f aca="false">Perf!L6</f>
        <v>4</v>
      </c>
      <c r="M6" s="90" t="n">
        <f aca="false">Perf!M6</f>
        <v>4</v>
      </c>
      <c r="N6" s="90" t="n">
        <f aca="false">Perf!N6</f>
        <v>4</v>
      </c>
      <c r="O6" s="90" t="n">
        <f aca="false">Perf!O6</f>
        <v>5</v>
      </c>
      <c r="P6" s="90" t="n">
        <f aca="false">Perf!P6</f>
        <v>5</v>
      </c>
      <c r="Q6" s="90" t="n">
        <f aca="false">Perf!Q6</f>
        <v>5</v>
      </c>
      <c r="S6" s="90" t="n">
        <f aca="false">Perf!C6</f>
        <v>1</v>
      </c>
      <c r="T6" s="90" t="n">
        <f aca="false">Perf!D6</f>
        <v>1</v>
      </c>
      <c r="U6" s="90" t="n">
        <f aca="false">Perf!E6</f>
        <v>1</v>
      </c>
      <c r="V6" s="90" t="n">
        <f aca="false">Perf!F6</f>
        <v>2</v>
      </c>
      <c r="W6" s="90" t="n">
        <f aca="false">Perf!G6</f>
        <v>2</v>
      </c>
      <c r="X6" s="90" t="n">
        <f aca="false">Perf!H6</f>
        <v>2</v>
      </c>
      <c r="Y6" s="90" t="n">
        <f aca="false">Perf!I6</f>
        <v>3</v>
      </c>
      <c r="Z6" s="90" t="n">
        <f aca="false">Perf!J6</f>
        <v>3</v>
      </c>
      <c r="AA6" s="90" t="n">
        <f aca="false">Perf!K6</f>
        <v>3</v>
      </c>
      <c r="AB6" s="90" t="n">
        <f aca="false">Perf!L6</f>
        <v>4</v>
      </c>
      <c r="AC6" s="90" t="n">
        <f aca="false">Perf!M6</f>
        <v>4</v>
      </c>
      <c r="AD6" s="90" t="n">
        <f aca="false">Perf!N6</f>
        <v>4</v>
      </c>
      <c r="AE6" s="90" t="n">
        <f aca="false">Perf!O6</f>
        <v>5</v>
      </c>
      <c r="AF6" s="90" t="n">
        <f aca="false">Perf!P6</f>
        <v>5</v>
      </c>
      <c r="AG6" s="90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90" t="n">
        <f aca="false">Perf!C7</f>
        <v>1</v>
      </c>
      <c r="D7" s="90" t="n">
        <f aca="false">Perf!D7</f>
        <v>2</v>
      </c>
      <c r="E7" s="90" t="n">
        <f aca="false">Perf!E7</f>
        <v>3</v>
      </c>
      <c r="F7" s="90" t="n">
        <f aca="false">Perf!F7</f>
        <v>1</v>
      </c>
      <c r="G7" s="90" t="n">
        <f aca="false">Perf!G7</f>
        <v>2</v>
      </c>
      <c r="H7" s="90" t="n">
        <f aca="false">Perf!H7</f>
        <v>3</v>
      </c>
      <c r="I7" s="90" t="n">
        <f aca="false">Perf!I7</f>
        <v>1</v>
      </c>
      <c r="J7" s="90" t="n">
        <f aca="false">Perf!J7</f>
        <v>2</v>
      </c>
      <c r="K7" s="90" t="n">
        <f aca="false">Perf!K7</f>
        <v>3</v>
      </c>
      <c r="L7" s="90" t="n">
        <f aca="false">Perf!L7</f>
        <v>1</v>
      </c>
      <c r="M7" s="90" t="n">
        <f aca="false">Perf!M7</f>
        <v>2</v>
      </c>
      <c r="N7" s="90" t="n">
        <f aca="false">Perf!N7</f>
        <v>3</v>
      </c>
      <c r="O7" s="90" t="n">
        <f aca="false">Perf!O7</f>
        <v>1</v>
      </c>
      <c r="P7" s="90" t="n">
        <f aca="false">Perf!P7</f>
        <v>2</v>
      </c>
      <c r="Q7" s="90" t="n">
        <f aca="false">Perf!Q7</f>
        <v>3</v>
      </c>
      <c r="S7" s="90" t="n">
        <f aca="false">Perf!C7</f>
        <v>1</v>
      </c>
      <c r="T7" s="90" t="n">
        <f aca="false">Perf!D7</f>
        <v>2</v>
      </c>
      <c r="U7" s="90" t="n">
        <f aca="false">Perf!E7</f>
        <v>3</v>
      </c>
      <c r="V7" s="90" t="n">
        <f aca="false">Perf!F7</f>
        <v>1</v>
      </c>
      <c r="W7" s="90" t="n">
        <f aca="false">Perf!G7</f>
        <v>2</v>
      </c>
      <c r="X7" s="90" t="n">
        <f aca="false">Perf!H7</f>
        <v>3</v>
      </c>
      <c r="Y7" s="90" t="n">
        <f aca="false">Perf!I7</f>
        <v>1</v>
      </c>
      <c r="Z7" s="90" t="n">
        <f aca="false">Perf!J7</f>
        <v>2</v>
      </c>
      <c r="AA7" s="90" t="n">
        <f aca="false">Perf!K7</f>
        <v>3</v>
      </c>
      <c r="AB7" s="90" t="n">
        <f aca="false">Perf!L7</f>
        <v>1</v>
      </c>
      <c r="AC7" s="90" t="n">
        <f aca="false">Perf!M7</f>
        <v>2</v>
      </c>
      <c r="AD7" s="90" t="n">
        <f aca="false">Perf!N7</f>
        <v>3</v>
      </c>
      <c r="AE7" s="90" t="n">
        <f aca="false">Perf!O7</f>
        <v>1</v>
      </c>
      <c r="AF7" s="90" t="n">
        <f aca="false">Perf!P7</f>
        <v>2</v>
      </c>
      <c r="AG7" s="90" t="n">
        <f aca="false">Perf!Q7</f>
        <v>3</v>
      </c>
    </row>
    <row r="50" customFormat="false" ht="15" hidden="false" customHeight="false" outlineLevel="0" collapsed="false">
      <c r="A50" s="61" t="s">
        <v>408</v>
      </c>
      <c r="B50" s="59" t="s">
        <v>132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945</v>
      </c>
      <c r="B51" s="59" t="s">
        <v>127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947</v>
      </c>
      <c r="B53" s="59" t="s">
        <v>127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949</v>
      </c>
      <c r="B55" s="59" t="s">
        <v>602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966</v>
      </c>
      <c r="B75" s="59" t="s">
        <v>414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967</v>
      </c>
      <c r="B76" s="59" t="s">
        <v>417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968</v>
      </c>
      <c r="B77" s="65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970</v>
      </c>
      <c r="B79" s="59" t="s">
        <v>589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971</v>
      </c>
      <c r="B80" s="59" t="s">
        <v>589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974</v>
      </c>
      <c r="B83" s="59" t="s">
        <v>589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976</v>
      </c>
      <c r="B85" s="65" t="s">
        <v>3393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978</v>
      </c>
      <c r="B87" s="65" t="s">
        <v>3393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979</v>
      </c>
      <c r="B88" s="59" t="s">
        <v>414</v>
      </c>
      <c r="C88" s="182" t="n">
        <f aca="false">IF(Perf_Prod!C87&gt;0,Perf_Prod!C87*Perf!C49/((Perf_Prod!C79+Perf_Prod!C87*Perf_Prod!C83)/1000),0)</f>
        <v>551.74734558634</v>
      </c>
      <c r="D88" s="182" t="n">
        <f aca="false">IF(Perf_Prod!D87&gt;0,Perf_Prod!D87*Perf!D49/((Perf_Prod!D79+Perf_Prod!D87*Perf_Prod!D83)/1000),0)</f>
        <v>175.100161333118</v>
      </c>
      <c r="E88" s="182" t="n">
        <f aca="false">IF(Perf_Prod!E87&gt;0,Perf_Prod!E87*Perf!E49/((Perf_Prod!E79+Perf_Prod!E87*Perf_Prod!E83)/1000),0)</f>
        <v>28.4771083308666</v>
      </c>
      <c r="F88" s="182" t="n">
        <f aca="false">IF(Perf_Prod!F87&gt;0,Perf_Prod!F87*Perf!F49/((Perf_Prod!F79+Perf_Prod!F87*Perf_Prod!F83)/1000),0)</f>
        <v>3313.62948545412</v>
      </c>
      <c r="G88" s="182" t="n">
        <f aca="false">IF(Perf_Prod!G87&gt;0,Perf_Prod!G87*Perf!G49/((Perf_Prod!G79+Perf_Prod!G87*Perf_Prod!G83)/1000),0)</f>
        <v>995.330949136974</v>
      </c>
      <c r="H88" s="182" t="n">
        <f aca="false">IF(Perf_Prod!H87&gt;0,Perf_Prod!H87*Perf!H49/((Perf_Prod!H79+Perf_Prod!H87*Perf_Prod!H83)/1000),0)</f>
        <v>182.627323038758</v>
      </c>
      <c r="I88" s="182" t="n">
        <f aca="false">IF(Perf_Prod!I87&gt;0,Perf_Prod!I87*Perf!I49/((Perf_Prod!I79+Perf_Prod!I87*Perf_Prod!I83)/1000),0)</f>
        <v>4970.44422818118</v>
      </c>
      <c r="J88" s="182" t="n">
        <f aca="false">IF(Perf_Prod!J87&gt;0,Perf_Prod!J87*Perf!J49/((Perf_Prod!J79+Perf_Prod!J87*Perf_Prod!J83)/1000),0)</f>
        <v>1492.99642370546</v>
      </c>
      <c r="K88" s="182" t="n">
        <f aca="false">IF(Perf_Prod!K87&gt;0,Perf_Prod!K87*Perf!K49/((Perf_Prod!K79+Perf_Prod!K87*Perf_Prod!K83)/1000),0)</f>
        <v>242.594708577338</v>
      </c>
      <c r="L88" s="182" t="n">
        <f aca="false">IF(Perf_Prod!L87&gt;0,Perf_Prod!L87*Perf!L49/((Perf_Prod!L79+Perf_Prod!L87*Perf_Prod!L83)/1000),0)</f>
        <v>12072.3810462224</v>
      </c>
      <c r="M88" s="182" t="n">
        <f aca="false">IF(Perf_Prod!M87&gt;0,Perf_Prod!M87*Perf!M49/((Perf_Prod!M79+Perf_Prod!M87*Perf_Prod!M83)/1000),0)</f>
        <v>3813.69678049048</v>
      </c>
      <c r="N88" s="182" t="n">
        <f aca="false">IF(Perf_Prod!N87&gt;0,Perf_Prod!N87*Perf!N49/((Perf_Prod!N79+Perf_Prod!N87*Perf_Prod!N83)/1000),0)</f>
        <v>758.795818920343</v>
      </c>
      <c r="O88" s="182" t="n">
        <f aca="false">IF(Perf_Prod!O87&gt;0,Perf_Prod!O87*Perf!O49/((Perf_Prod!O79+Perf_Prod!O87*Perf_Prod!O83)/1000),0)</f>
        <v>24402.8727612029</v>
      </c>
      <c r="P88" s="182" t="n">
        <f aca="false">IF(Perf_Prod!P87&gt;0,Perf_Prod!P87*Perf!P49/((Perf_Prod!P79+Perf_Prod!P87*Perf_Prod!P83)/1000),0)</f>
        <v>7820.2007375987</v>
      </c>
      <c r="Q88" s="182" t="n">
        <f aca="false">IF(Perf_Prod!Q87&gt;0,Perf_Prod!Q87*Perf!Q49/((Perf_Prod!Q79+Perf_Prod!Q87*Perf_Prod!Q83)/1000),0)</f>
        <v>1630.79700261094</v>
      </c>
      <c r="S88" s="182" t="n">
        <f aca="false">IF(Perf_Prod!S87&gt;0,Perf_Prod!S87*Perf!C49/((Perf_Prod!S79+Perf_Prod!S87*Perf_Prod!S83)/1000),0)</f>
        <v>739.802932940398</v>
      </c>
      <c r="T88" s="182" t="n">
        <f aca="false">IF(Perf_Prod!T87&gt;0,Perf_Prod!T87*Perf!D49/((Perf_Prod!T79+Perf_Prod!T87*Perf_Prod!T83)/1000),0)</f>
        <v>224.823591539841</v>
      </c>
      <c r="U88" s="182" t="n">
        <f aca="false">IF(Perf_Prod!U87&gt;0,Perf_Prod!U87*Perf!E49/((Perf_Prod!U79+Perf_Prod!U87*Perf_Prod!U83)/1000),0)</f>
        <v>40.6742374235114</v>
      </c>
      <c r="V88" s="182" t="n">
        <f aca="false">IF(Perf_Prod!V87&gt;0,Perf_Prod!V87*Perf!F49/((Perf_Prod!V79+Perf_Prod!V87*Perf_Prod!V83)/1000),0)</f>
        <v>4152.97302302101</v>
      </c>
      <c r="W88" s="182" t="n">
        <f aca="false">IF(Perf_Prod!W87&gt;0,Perf_Prod!W87*Perf!G49/((Perf_Prod!W79+Perf_Prod!W87*Perf_Prod!W83)/1000),0)</f>
        <v>1223.81965598695</v>
      </c>
      <c r="X88" s="182" t="n">
        <f aca="false">IF(Perf_Prod!X87&gt;0,Perf_Prod!X87*Perf!H49/((Perf_Prod!X79+Perf_Prod!X87*Perf_Prod!X83)/1000),0)</f>
        <v>234.988617384446</v>
      </c>
      <c r="Y88" s="182" t="n">
        <f aca="false">IF(Perf_Prod!Y87&gt;0,Perf_Prod!Y87*Perf!I49/((Perf_Prod!Y79+Perf_Prod!Y87*Perf_Prod!Y83)/1000),0)</f>
        <v>6229.45953453152</v>
      </c>
      <c r="Z88" s="182" t="n">
        <f aca="false">IF(Perf_Prod!Z87&gt;0,Perf_Prod!Z87*Perf!J49/((Perf_Prod!Z79+Perf_Prod!Z87*Perf_Prod!Z83)/1000),0)</f>
        <v>1835.72948398042</v>
      </c>
      <c r="AA88" s="182" t="n">
        <f aca="false">IF(Perf_Prod!AA87&gt;0,Perf_Prod!AA87*Perf!K49/((Perf_Prod!AA79+Perf_Prod!AA87*Perf_Prod!AA83)/1000),0)</f>
        <v>315.604954334554</v>
      </c>
      <c r="AB88" s="182" t="n">
        <f aca="false">IF(Perf_Prod!AB87&gt;0,Perf_Prod!AB87*Perf!L49/((Perf_Prod!AB79+Perf_Prod!AB87*Perf_Prod!AB83)/1000),0)</f>
        <v>15093.8501066124</v>
      </c>
      <c r="AC88" s="182" t="n">
        <f aca="false">IF(Perf_Prod!AC87&gt;0,Perf_Prod!AC87*Perf!M49/((Perf_Prod!AC79+Perf_Prod!AC87*Perf_Prod!AC83)/1000),0)</f>
        <v>4671.64933537911</v>
      </c>
      <c r="AD88" s="182" t="n">
        <f aca="false">IF(Perf_Prod!AD87&gt;0,Perf_Prod!AD87*Perf!N49/((Perf_Prod!AD79+Perf_Prod!AD87*Perf_Prod!AD83)/1000),0)</f>
        <v>963.166264709904</v>
      </c>
      <c r="AE88" s="182" t="n">
        <f aca="false">IF(Perf_Prod!AE87&gt;0,Perf_Prod!AE87*Perf!O49/((Perf_Prod!AE79+Perf_Prod!AE87*Perf_Prod!AE83)/1000),0)</f>
        <v>30491.3598235283</v>
      </c>
      <c r="AF88" s="182" t="n">
        <f aca="false">IF(Perf_Prod!AF87&gt;0,Perf_Prod!AF87*Perf!P49/((Perf_Prod!AF79+Perf_Prod!AF87*Perf_Prod!AF83)/1000),0)</f>
        <v>9570.13064324968</v>
      </c>
      <c r="AG88" s="182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985</v>
      </c>
      <c r="B93" s="59" t="s">
        <v>986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989</v>
      </c>
      <c r="B95" s="59" t="s">
        <v>414</v>
      </c>
      <c r="C95" s="182" t="n">
        <f aca="false">IF(ISNUMBER(Perf_Prod!C93),IF(Perf_Prod!C93&gt;0,Perf!C22*(Perf!C43+Perf!C44)/Perf_Prod!C93,0),Perf_Prod!C93)</f>
        <v>122107.889753965</v>
      </c>
      <c r="D95" s="182" t="n">
        <f aca="false">IF(ISNUMBER(Perf_Prod!D93),IF(Perf_Prod!D93&gt;0,Perf!D22*(Perf!D43+Perf!D44)/Perf_Prod!D93,0),Perf_Prod!D93)</f>
        <v>37861.9729294478</v>
      </c>
      <c r="E95" s="182" t="n">
        <f aca="false">IF(ISNUMBER(Perf_Prod!E93),IF(Perf_Prod!E93&gt;0,Perf!E22*(Perf!E43+Perf!E44)/Perf_Prod!E93,0),Perf_Prod!E93)</f>
        <v>6955.79024662274</v>
      </c>
      <c r="F95" s="182" t="n">
        <f aca="false">IF(ISNUMBER(Perf_Prod!F93),IF(Perf_Prod!F93&gt;0,Perf!F22*(Perf!F43+Perf!F44)/Perf_Prod!F93,0),Perf_Prod!F93)</f>
        <v>1821259.41148412</v>
      </c>
      <c r="G95" s="182" t="n">
        <f aca="false">IF(ISNUMBER(Perf_Prod!G93),IF(Perf_Prod!G93&gt;0,Perf!G22*(Perf!G43+Perf!G44)/Perf_Prod!G93,0),Perf_Prod!G93)</f>
        <v>543550.378884681</v>
      </c>
      <c r="H95" s="182" t="n">
        <f aca="false">IF(ISNUMBER(Perf_Prod!H93),IF(Perf_Prod!H93&gt;0,Perf!H22*(Perf!H43+Perf!H44)/Perf_Prod!H93,0),Perf_Prod!H93)</f>
        <v>106272.060093027</v>
      </c>
      <c r="I95" s="182" t="n">
        <f aca="false">IF(ISNUMBER(Perf_Prod!I93),IF(Perf_Prod!I93&gt;0,Perf!I22*(Perf!I43+Perf!I44)/Perf_Prod!I93,0),Perf_Prod!I93)</f>
        <v>2731889.11722618</v>
      </c>
      <c r="J95" s="182" t="n">
        <f aca="false">IF(ISNUMBER(Perf_Prod!J93),IF(Perf_Prod!J93&gt;0,Perf!J22*(Perf!J43+Perf!J44)/Perf_Prod!J93,0),Perf_Prod!J93)</f>
        <v>815325.568327021</v>
      </c>
      <c r="K95" s="182" t="n">
        <f aca="false">IF(ISNUMBER(Perf_Prod!K93),IF(Perf_Prod!K93&gt;0,Perf!K22*(Perf!K43+Perf!K44)/Perf_Prod!K93,0),Perf_Prod!K93)</f>
        <v>142834.517316183</v>
      </c>
      <c r="L95" s="182" t="n">
        <f aca="false">IF(ISNUMBER(Perf_Prod!L93),IF(Perf_Prod!L93&gt;0,Perf!L22*(Perf!L43+Perf!L44)/Perf_Prod!L93,0),Perf_Prod!L93)</f>
        <v>6594330.40261826</v>
      </c>
      <c r="M95" s="182" t="n">
        <f aca="false">IF(ISNUMBER(Perf_Prod!M93),IF(Perf_Prod!M93&gt;0,Perf!M22*(Perf!M43+Perf!M44)/Perf_Prod!M93,0),Perf_Prod!M93)</f>
        <v>2052088.39433295</v>
      </c>
      <c r="N95" s="182" t="n">
        <f aca="false">IF(ISNUMBER(Perf_Prod!N93),IF(Perf_Prod!N93&gt;0,Perf!N22*(Perf!N43+Perf!N44)/Perf_Prod!N93,0),Perf_Prod!N93)</f>
        <v>433279.441494085</v>
      </c>
      <c r="O95" s="182" t="n">
        <f aca="false">IF(ISNUMBER(Perf_Prod!O93),IF(Perf_Prod!O93&gt;0,Perf!O22*(Perf!O43+Perf!O44)/Perf_Prod!O93,0),Perf_Prod!O93)</f>
        <v>13307308.1371504</v>
      </c>
      <c r="P95" s="182" t="n">
        <f aca="false">IF(ISNUMBER(Perf_Prod!P93),IF(Perf_Prod!P93&gt;0,Perf!P22*(Perf!P43+Perf!P44)/Perf_Prod!P93,0),Perf_Prod!P93)</f>
        <v>4189957.53358947</v>
      </c>
      <c r="Q95" s="182" t="n">
        <f aca="false">IF(ISNUMBER(Perf_Prod!Q93),IF(Perf_Prod!Q93&gt;0,Perf!Q22*(Perf!Q43+Perf!Q44)/Perf_Prod!Q93,0),Perf_Prod!Q93)</f>
        <v>923019.570338794</v>
      </c>
      <c r="S95" s="182" t="n">
        <f aca="false">IF(ISNUMBER(Perf_Prod!S93),IF(Perf_Prod!S93&gt;0,Perf!C22*(Perf!C43+Perf!C44)/Perf_Prod!S93,0),Perf_Prod!S93)</f>
        <v>158595.933922677</v>
      </c>
      <c r="T95" s="182" t="n">
        <f aca="false">IF(ISNUMBER(Perf_Prod!T93),IF(Perf_Prod!T93&gt;0,Perf!D22*(Perf!D43+Perf!D44)/Perf_Prod!T93,0),Perf_Prod!T93)</f>
        <v>47531.3605802762</v>
      </c>
      <c r="U95" s="182" t="n">
        <f aca="false">IF(ISNUMBER(Perf_Prod!U93),IF(Perf_Prod!U93&gt;0,Perf!E22*(Perf!E43+Perf!E44)/Perf_Prod!U93,0),Perf_Prod!U93)</f>
        <v>9622.21082709152</v>
      </c>
      <c r="V95" s="182" t="n">
        <f aca="false">IF(ISNUMBER(Perf_Prod!V93),IF(Perf_Prod!V93&gt;0,Perf!F22*(Perf!F43+Perf!F44)/Perf_Prod!V93,0),Perf_Prod!V93)</f>
        <v>2260177.59312208</v>
      </c>
      <c r="W95" s="182" t="n">
        <f aca="false">IF(ISNUMBER(Perf_Prod!W93),IF(Perf_Prod!W93&gt;0,Perf!G22*(Perf!G43+Perf!G44)/Perf_Prod!W93,0),Perf_Prod!W93)</f>
        <v>663618.88067237</v>
      </c>
      <c r="X95" s="182" t="n">
        <f aca="false">IF(ISNUMBER(Perf_Prod!X93),IF(Perf_Prod!X93&gt;0,Perf!H22*(Perf!H43+Perf!H44)/Perf_Prod!X93,0),Perf_Prod!X93)</f>
        <v>135446.917360121</v>
      </c>
      <c r="Y95" s="182" t="n">
        <f aca="false">IF(ISNUMBER(Perf_Prod!Y93),IF(Perf_Prod!Y93&gt;0,Perf!I22*(Perf!I43+Perf!I44)/Perf_Prod!Y93,0),Perf_Prod!Y93)</f>
        <v>3390266.38968311</v>
      </c>
      <c r="Z95" s="182" t="n">
        <f aca="false">IF(ISNUMBER(Perf_Prod!Z93),IF(Perf_Prod!Z93&gt;0,Perf!J22*(Perf!J43+Perf!J44)/Perf_Prod!Z93,0),Perf_Prod!Z93)</f>
        <v>995428.321008554</v>
      </c>
      <c r="AA95" s="182" t="n">
        <f aca="false">IF(ISNUMBER(Perf_Prod!AA93),IF(Perf_Prod!AA93&gt;0,Perf!K22*(Perf!K43+Perf!K44)/Perf_Prod!AA93,0),Perf_Prod!AA93)</f>
        <v>184041.626877104</v>
      </c>
      <c r="AB95" s="182" t="n">
        <f aca="false">IF(ISNUMBER(Perf_Prod!AB93),IF(Perf_Prod!AB93&gt;0,Perf!L22*(Perf!L43+Perf!L44)/Perf_Prod!AB93,0),Perf_Prod!AB93)</f>
        <v>8164314.39538053</v>
      </c>
      <c r="AC95" s="182" t="n">
        <f aca="false">IF(ISNUMBER(Perf_Prod!AC93),IF(Perf_Prod!AC93&gt;0,Perf!M22*(Perf!M43+Perf!M44)/Perf_Prod!AC93,0),Perf_Prod!AC93)</f>
        <v>2496284.49057369</v>
      </c>
      <c r="AD95" s="182" t="n">
        <f aca="false">IF(ISNUMBER(Perf_Prod!AD93),IF(Perf_Prod!AD93&gt;0,Perf!N22*(Perf!N43+Perf!N44)/Perf_Prod!AD93,0),Perf_Prod!AD93)</f>
        <v>544866.832675706</v>
      </c>
      <c r="AE95" s="182" t="n">
        <f aca="false">IF(ISNUMBER(Perf_Prod!AE93),IF(Perf_Prod!AE93&gt;0,Perf!O22*(Perf!O43+Perf!O44)/Perf_Prod!AE93,0),Perf_Prod!AE93)</f>
        <v>16465505.637269</v>
      </c>
      <c r="AF95" s="182" t="n">
        <f aca="false">IF(ISNUMBER(Perf_Prod!AF93),IF(Perf_Prod!AF93&gt;0,Perf!P22*(Perf!P43+Perf!P44)/Perf_Prod!AF93,0),Perf_Prod!AF93)</f>
        <v>5092093.85576685</v>
      </c>
      <c r="AG95" s="182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992</v>
      </c>
      <c r="B98" s="59" t="s">
        <v>3394</v>
      </c>
      <c r="C98" s="182" t="n">
        <f aca="false">IF(ISNUMBER(Perf_Prod!C95),Perf_Prod!C95*Perf!C25*8760*3600/1000000,Perf_Prod!C95)</f>
        <v>86407975794.7352</v>
      </c>
      <c r="D98" s="182" t="n">
        <f aca="false">IF(ISNUMBER(Perf_Prod!D95),Perf_Prod!D95*Perf!D25*8760*3600/1000000,Perf_Prod!D95)</f>
        <v>26792506585.9425</v>
      </c>
      <c r="E98" s="182" t="n">
        <f aca="false">IF(ISNUMBER(Perf_Prod!E95),Perf_Prod!E95*Perf!E25*8760*3600/1000000,Perf_Prod!E95)</f>
        <v>4922169701.51936</v>
      </c>
      <c r="F98" s="182" t="n">
        <f aca="false">IF(ISNUMBER(Perf_Prod!F95),Perf_Prod!F95*Perf!F25*8760*3600/1000000,Perf_Prod!F95)</f>
        <v>400266165263.125</v>
      </c>
      <c r="G98" s="182" t="n">
        <f aca="false">IF(ISNUMBER(Perf_Prod!G95),Perf_Prod!G95*Perf!G25*8760*3600/1000000,Perf_Prod!G95)</f>
        <v>119458449692.347</v>
      </c>
      <c r="H98" s="182" t="n">
        <f aca="false">IF(ISNUMBER(Perf_Prod!H95),Perf_Prod!H95*Perf!H25*8760*3600/1000000,Perf_Prod!H95)</f>
        <v>23355876543.356</v>
      </c>
      <c r="I98" s="182" t="n">
        <f aca="false">IF(ISNUMBER(Perf_Prod!I95),Perf_Prod!I95*Perf!I25*8760*3600/1000000,Perf_Prod!I95)</f>
        <v>582737912578.515</v>
      </c>
      <c r="J98" s="182" t="n">
        <f aca="false">IF(ISNUMBER(Perf_Prod!J95),Perf_Prod!J95*Perf!J25*8760*3600/1000000,Perf_Prod!J95)</f>
        <v>173916692578.355</v>
      </c>
      <c r="K98" s="182" t="n">
        <f aca="false">IF(ISNUMBER(Perf_Prod!K95),Perf_Prod!K95*Perf!K25*8760*3600/1000000,Perf_Prod!K95)</f>
        <v>30467960042.7945</v>
      </c>
      <c r="L98" s="182" t="n">
        <f aca="false">IF(ISNUMBER(Perf_Prod!L95),Perf_Prod!L95*Perf!L25*8760*3600/1000000,Perf_Prod!L95)</f>
        <v>842649072093.88</v>
      </c>
      <c r="M98" s="182" t="n">
        <f aca="false">IF(ISNUMBER(Perf_Prod!M95),Perf_Prod!M95*Perf!M25*8760*3600/1000000,Perf_Prod!M95)</f>
        <v>262223800714.127</v>
      </c>
      <c r="N98" s="182" t="n">
        <f aca="false">IF(ISNUMBER(Perf_Prod!N95),Perf_Prod!N95*Perf!N25*8760*3600/1000000,Perf_Prod!N95)</f>
        <v>55366124692.1116</v>
      </c>
      <c r="O98" s="182" t="n">
        <f aca="false">IF(ISNUMBER(Perf_Prod!O95),Perf_Prod!O95*Perf!O25*8760*3600/1000000,Perf_Prod!O95)</f>
        <v>1135178323762.64</v>
      </c>
      <c r="P98" s="182" t="n">
        <f aca="false">IF(ISNUMBER(Perf_Prod!P95),Perf_Prod!P95*Perf!P25*8760*3600/1000000,Perf_Prod!P95)</f>
        <v>357423824607.946</v>
      </c>
      <c r="Q98" s="182" t="n">
        <f aca="false">IF(ISNUMBER(Perf_Prod!Q95),Perf_Prod!Q95*Perf!Q25*8760*3600/1000000,Perf_Prod!Q95)</f>
        <v>78738073685.4024</v>
      </c>
      <c r="S98" s="182" t="n">
        <f aca="false">IF(ISNUMBER(Perf_Prod!S95),Perf_Prod!S95*Perf!C25*8760*3600/1000000,Perf_Prod!S95)</f>
        <v>112228240510.472</v>
      </c>
      <c r="T98" s="182" t="n">
        <f aca="false">IF(ISNUMBER(Perf_Prod!T95),Perf_Prod!T95*Perf!D25*8760*3600/1000000,Perf_Prod!T95)</f>
        <v>33634916325.118</v>
      </c>
      <c r="U98" s="182" t="n">
        <f aca="false">IF(ISNUMBER(Perf_Prod!U95),Perf_Prod!U95*Perf!E25*8760*3600/1000000,Perf_Prod!U95)</f>
        <v>6809025705.99183</v>
      </c>
      <c r="V98" s="182" t="n">
        <f aca="false">IF(ISNUMBER(Perf_Prod!V95),Perf_Prod!V95*Perf!F25*8760*3600/1000000,Perf_Prod!V95)</f>
        <v>496729138259.007</v>
      </c>
      <c r="W98" s="182" t="n">
        <f aca="false">IF(ISNUMBER(Perf_Prod!W95),Perf_Prod!W95*Perf!G25*8760*3600/1000000,Perf_Prod!W95)</f>
        <v>145846430710.54</v>
      </c>
      <c r="X98" s="182" t="n">
        <f aca="false">IF(ISNUMBER(Perf_Prod!X95),Perf_Prod!X95*Perf!H25*8760*3600/1000000,Perf_Prod!X95)</f>
        <v>29767762827.5194</v>
      </c>
      <c r="Y98" s="182" t="n">
        <f aca="false">IF(ISNUMBER(Perf_Prod!Y95),Perf_Prod!Y95*Perf!I25*8760*3600/1000000,Perf_Prod!Y95)</f>
        <v>723176042011.176</v>
      </c>
      <c r="Z98" s="182" t="n">
        <f aca="false">IF(ISNUMBER(Perf_Prod!Z95),Perf_Prod!Z95*Perf!J25*8760*3600/1000000,Perf_Prod!Z95)</f>
        <v>212334321421.888</v>
      </c>
      <c r="AA98" s="182" t="n">
        <f aca="false">IF(ISNUMBER(Perf_Prod!AA95),Perf_Prod!AA95*Perf!K25*8760*3600/1000000,Perf_Prod!AA95)</f>
        <v>39257828144.5082</v>
      </c>
      <c r="AB98" s="182" t="n">
        <f aca="false">IF(ISNUMBER(Perf_Prod!AB95),Perf_Prod!AB95*Perf!L25*8760*3600/1000000,Perf_Prod!AB95)</f>
        <v>1043267705667.06</v>
      </c>
      <c r="AC98" s="182" t="n">
        <f aca="false">IF(ISNUMBER(Perf_Prod!AC95),Perf_Prod!AC95*Perf!M25*8760*3600/1000000,Perf_Prod!AC95)</f>
        <v>318984897819.054</v>
      </c>
      <c r="AD98" s="182" t="n">
        <f aca="false">IF(ISNUMBER(Perf_Prod!AD95),Perf_Prod!AD95*Perf!N25*8760*3600/1000000,Perf_Prod!AD95)</f>
        <v>69625193603.6778</v>
      </c>
      <c r="AE98" s="182" t="n">
        <f aca="false">IF(ISNUMBER(Perf_Prod!AE95),Perf_Prod!AE95*Perf!O25*8760*3600/1000000,Perf_Prod!AE95)</f>
        <v>1404587982526.55</v>
      </c>
      <c r="AF98" s="182" t="n">
        <f aca="false">IF(ISNUMBER(Perf_Prod!AF95),Perf_Prod!AF95*Perf!P25*8760*3600/1000000,Perf_Prod!AF95)</f>
        <v>434380455314.928</v>
      </c>
      <c r="AG98" s="182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997</v>
      </c>
      <c r="B101" s="59" t="s">
        <v>998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1000</v>
      </c>
      <c r="B103" s="59" t="s">
        <v>998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3395</v>
      </c>
    </row>
    <row r="2" customFormat="false" ht="15" hidden="false" customHeight="false" outlineLevel="0" collapsed="false">
      <c r="A2" s="65" t="s">
        <v>3396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90" t="n">
        <f aca="false">Perf_Batch!C6</f>
        <v>1</v>
      </c>
      <c r="D6" s="90" t="n">
        <f aca="false">Perf_Batch!D6</f>
        <v>1</v>
      </c>
      <c r="E6" s="90" t="n">
        <f aca="false">Perf_Batch!E6</f>
        <v>1</v>
      </c>
      <c r="F6" s="90" t="n">
        <f aca="false">Perf_Batch!F6</f>
        <v>2</v>
      </c>
      <c r="G6" s="90" t="n">
        <f aca="false">Perf_Batch!G6</f>
        <v>2</v>
      </c>
      <c r="H6" s="90" t="n">
        <f aca="false">Perf_Batch!H6</f>
        <v>2</v>
      </c>
      <c r="I6" s="90" t="n">
        <f aca="false">Perf_Batch!I6</f>
        <v>3</v>
      </c>
      <c r="J6" s="90" t="n">
        <f aca="false">Perf_Batch!J6</f>
        <v>3</v>
      </c>
      <c r="K6" s="90" t="n">
        <f aca="false">Perf_Batch!K6</f>
        <v>3</v>
      </c>
      <c r="L6" s="90" t="n">
        <f aca="false">Perf_Batch!L6</f>
        <v>4</v>
      </c>
      <c r="M6" s="90" t="n">
        <f aca="false">Perf_Batch!M6</f>
        <v>4</v>
      </c>
      <c r="N6" s="90" t="n">
        <f aca="false">Perf_Batch!N6</f>
        <v>4</v>
      </c>
      <c r="O6" s="90" t="n">
        <f aca="false">Perf_Batch!O6</f>
        <v>5</v>
      </c>
      <c r="P6" s="90" t="n">
        <f aca="false">Perf_Batch!P6</f>
        <v>5</v>
      </c>
      <c r="Q6" s="90" t="n">
        <f aca="false">Perf_Batch!Q6</f>
        <v>5</v>
      </c>
      <c r="S6" s="90" t="n">
        <f aca="false">Perf_Batch!C6</f>
        <v>1</v>
      </c>
      <c r="T6" s="90" t="n">
        <f aca="false">Perf_Batch!D6</f>
        <v>1</v>
      </c>
      <c r="U6" s="90" t="n">
        <f aca="false">Perf_Batch!E6</f>
        <v>1</v>
      </c>
      <c r="V6" s="90" t="n">
        <f aca="false">Perf_Batch!F6</f>
        <v>2</v>
      </c>
      <c r="W6" s="90" t="n">
        <f aca="false">Perf_Batch!G6</f>
        <v>2</v>
      </c>
      <c r="X6" s="90" t="n">
        <f aca="false">Perf_Batch!H6</f>
        <v>2</v>
      </c>
      <c r="Y6" s="90" t="n">
        <f aca="false">Perf_Batch!I6</f>
        <v>3</v>
      </c>
      <c r="Z6" s="90" t="n">
        <f aca="false">Perf_Batch!J6</f>
        <v>3</v>
      </c>
      <c r="AA6" s="90" t="n">
        <f aca="false">Perf_Batch!K6</f>
        <v>3</v>
      </c>
      <c r="AB6" s="90" t="n">
        <f aca="false">Perf_Batch!L6</f>
        <v>4</v>
      </c>
      <c r="AC6" s="90" t="n">
        <f aca="false">Perf_Batch!M6</f>
        <v>4</v>
      </c>
      <c r="AD6" s="90" t="n">
        <f aca="false">Perf_Batch!N6</f>
        <v>4</v>
      </c>
      <c r="AE6" s="90" t="n">
        <f aca="false">Perf_Batch!O6</f>
        <v>5</v>
      </c>
      <c r="AF6" s="90" t="n">
        <f aca="false">Perf_Batch!P6</f>
        <v>5</v>
      </c>
      <c r="AG6" s="90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90" t="n">
        <f aca="false">Perf_Batch!C7</f>
        <v>1</v>
      </c>
      <c r="D7" s="90" t="n">
        <f aca="false">Perf_Batch!D7</f>
        <v>2</v>
      </c>
      <c r="E7" s="90" t="n">
        <f aca="false">Perf_Batch!E7</f>
        <v>3</v>
      </c>
      <c r="F7" s="90" t="n">
        <f aca="false">Perf_Batch!F7</f>
        <v>1</v>
      </c>
      <c r="G7" s="90" t="n">
        <f aca="false">Perf_Batch!G7</f>
        <v>2</v>
      </c>
      <c r="H7" s="90" t="n">
        <f aca="false">Perf_Batch!H7</f>
        <v>3</v>
      </c>
      <c r="I7" s="90" t="n">
        <f aca="false">Perf_Batch!I7</f>
        <v>1</v>
      </c>
      <c r="J7" s="90" t="n">
        <f aca="false">Perf_Batch!J7</f>
        <v>2</v>
      </c>
      <c r="K7" s="90" t="n">
        <f aca="false">Perf_Batch!K7</f>
        <v>3</v>
      </c>
      <c r="L7" s="90" t="n">
        <f aca="false">Perf_Batch!L7</f>
        <v>1</v>
      </c>
      <c r="M7" s="90" t="n">
        <f aca="false">Perf_Batch!M7</f>
        <v>2</v>
      </c>
      <c r="N7" s="90" t="n">
        <f aca="false">Perf_Batch!N7</f>
        <v>3</v>
      </c>
      <c r="O7" s="90" t="n">
        <f aca="false">Perf_Batch!O7</f>
        <v>1</v>
      </c>
      <c r="P7" s="90" t="n">
        <f aca="false">Perf_Batch!P7</f>
        <v>2</v>
      </c>
      <c r="Q7" s="90" t="n">
        <f aca="false">Perf_Batch!Q7</f>
        <v>3</v>
      </c>
      <c r="S7" s="90" t="n">
        <f aca="false">Perf_Batch!C7</f>
        <v>1</v>
      </c>
      <c r="T7" s="90" t="n">
        <f aca="false">Perf_Batch!D7</f>
        <v>2</v>
      </c>
      <c r="U7" s="90" t="n">
        <f aca="false">Perf_Batch!E7</f>
        <v>3</v>
      </c>
      <c r="V7" s="90" t="n">
        <f aca="false">Perf_Batch!F7</f>
        <v>1</v>
      </c>
      <c r="W7" s="90" t="n">
        <f aca="false">Perf_Batch!G7</f>
        <v>2</v>
      </c>
      <c r="X7" s="90" t="n">
        <f aca="false">Perf_Batch!H7</f>
        <v>3</v>
      </c>
      <c r="Y7" s="90" t="n">
        <f aca="false">Perf_Batch!I7</f>
        <v>1</v>
      </c>
      <c r="Z7" s="90" t="n">
        <f aca="false">Perf_Batch!J7</f>
        <v>2</v>
      </c>
      <c r="AA7" s="90" t="n">
        <f aca="false">Perf_Batch!K7</f>
        <v>3</v>
      </c>
      <c r="AB7" s="90" t="n">
        <f aca="false">Perf_Batch!L7</f>
        <v>1</v>
      </c>
      <c r="AC7" s="90" t="n">
        <f aca="false">Perf_Batch!M7</f>
        <v>2</v>
      </c>
      <c r="AD7" s="90" t="n">
        <f aca="false">Perf_Batch!N7</f>
        <v>3</v>
      </c>
      <c r="AE7" s="90" t="n">
        <f aca="false">Perf_Batch!O7</f>
        <v>1</v>
      </c>
      <c r="AF7" s="90" t="n">
        <f aca="false">Perf_Batch!P7</f>
        <v>2</v>
      </c>
      <c r="AG7" s="90" t="n">
        <f aca="false">Perf_Batch!Q7</f>
        <v>3</v>
      </c>
    </row>
    <row r="50" customFormat="false" ht="15" hidden="false" customHeight="false" outlineLevel="0" collapsed="false">
      <c r="A50" s="61" t="s">
        <v>408</v>
      </c>
      <c r="B50" s="59" t="s">
        <v>132</v>
      </c>
      <c r="C50" s="78" t="n">
        <f aca="false">CTL_ProdDerate</f>
        <v>0.85</v>
      </c>
      <c r="D50" s="78" t="n">
        <f aca="false">CTL_ProdDerate</f>
        <v>0.85</v>
      </c>
      <c r="E50" s="78" t="n">
        <f aca="false">CTL_ProdDerate</f>
        <v>0.85</v>
      </c>
      <c r="F50" s="78" t="n">
        <f aca="false">CTL_ProdDerate</f>
        <v>0.85</v>
      </c>
      <c r="G50" s="78" t="n">
        <f aca="false">CTL_ProdDerate</f>
        <v>0.85</v>
      </c>
      <c r="H50" s="78" t="n">
        <f aca="false">CTL_ProdDerate</f>
        <v>0.85</v>
      </c>
      <c r="I50" s="78" t="n">
        <f aca="false">CTL_ProdDerate</f>
        <v>0.85</v>
      </c>
      <c r="J50" s="78" t="n">
        <f aca="false">CTL_ProdDerate</f>
        <v>0.85</v>
      </c>
      <c r="K50" s="78" t="n">
        <f aca="false">CTL_ProdDerate</f>
        <v>0.85</v>
      </c>
      <c r="L50" s="78" t="n">
        <f aca="false">CTL_ProdDerate</f>
        <v>0.85</v>
      </c>
      <c r="M50" s="78" t="n">
        <f aca="false">CTL_ProdDerate</f>
        <v>0.85</v>
      </c>
      <c r="N50" s="78" t="n">
        <f aca="false">CTL_ProdDerate</f>
        <v>0.85</v>
      </c>
      <c r="O50" s="78" t="n">
        <f aca="false">CTL_ProdDerate</f>
        <v>0.85</v>
      </c>
      <c r="P50" s="78" t="n">
        <f aca="false">CTL_ProdDerate</f>
        <v>0.85</v>
      </c>
      <c r="Q50" s="78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945</v>
      </c>
      <c r="B51" s="59" t="s">
        <v>127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947</v>
      </c>
      <c r="B53" s="59" t="s">
        <v>127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0.0717245972007665</v>
      </c>
      <c r="G53" s="113" t="n">
        <f aca="false">INDEX(Calib!$C$70:$G$70,Perf_Batch!G$6)*Perf_Batch!G52*Perf_Batch_Prod!G50*INDEX(CAL_BatchEtaD,1,Perf_Batch!G$6)</f>
        <v>0.0717245972007665</v>
      </c>
      <c r="H53" s="113" t="n">
        <f aca="false">INDEX(Calib!$C$70:$G$70,Perf_Batch!H$6)*Perf_Batch!H52*Perf_Batch_Prod!H50*INDEX(CAL_BatchEtaD,1,Perf_Batch!H$6)</f>
        <v>0.0717245972007665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0.0843818790597254</v>
      </c>
      <c r="W53" s="113" t="n">
        <f aca="false">INDEX(Calib!$C$70:$G$70,Perf_Batch!G$6)*Perf_Batch!G52*Perf_Batch_Prod!W50*INDEX(CAL_BatchEtaD,1,Perf_Batch!G$6)</f>
        <v>0.0843818790597254</v>
      </c>
      <c r="X53" s="113" t="n">
        <f aca="false">INDEX(Calib!$C$70:$G$70,Perf_Batch!H$6)*Perf_Batch!H52*Perf_Batch_Prod!X50*INDEX(CAL_BatchEtaD,1,Perf_Batch!H$6)</f>
        <v>0.0843818790597254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949</v>
      </c>
      <c r="B55" s="59" t="s">
        <v>602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966</v>
      </c>
      <c r="B75" s="59" t="s">
        <v>414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1235</v>
      </c>
      <c r="B76" s="59" t="s">
        <v>417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968</v>
      </c>
      <c r="B77" s="65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970</v>
      </c>
      <c r="B79" s="59" t="s">
        <v>589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971</v>
      </c>
      <c r="B80" s="59" t="s">
        <v>589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0.215921445907822</v>
      </c>
      <c r="G80" s="96" t="n">
        <f aca="false">(Perf_Batch!G47+1)*Perf_Batch!G65/(Perf_Batch!G14*Perf_Batch_Prod!G53)/1000</f>
        <v>0.743464584901311</v>
      </c>
      <c r="H80" s="96" t="n">
        <f aca="false">(Perf_Batch!H47+1)*Perf_Batch!H65/(Perf_Batch!H14*Perf_Batch_Prod!H53)/1000</f>
        <v>2.90590003393944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0.183533229021648</v>
      </c>
      <c r="W80" s="96" t="n">
        <f aca="false">(Perf_Batch!G47+1)*Perf_Batch!G65/(Perf_Batch!G14*Perf_Batch_Prod!W53)/1000</f>
        <v>0.631944897166114</v>
      </c>
      <c r="X80" s="96" t="n">
        <f aca="false">(Perf_Batch!H47+1)*Perf_Batch!H65/(Perf_Batch!H14*Perf_Batch_Prod!X53)/1000</f>
        <v>2.47001502884852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974</v>
      </c>
      <c r="B83" s="59" t="s">
        <v>589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0.215921445907822</v>
      </c>
      <c r="G83" s="96" t="n">
        <f aca="false">MAX(Perf_Batch_Prod!G80,Perf_Batch!G81,Perf_Batch!G82)</f>
        <v>0.743464584901311</v>
      </c>
      <c r="H83" s="96" t="n">
        <f aca="false">MAX(Perf_Batch_Prod!H80,Perf_Batch!H81,Perf_Batch!H82)</f>
        <v>2.90590003393944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0.183533229021648</v>
      </c>
      <c r="W83" s="96" t="n">
        <f aca="false">MAX(Perf_Batch_Prod!W80,Perf_Batch!G81,Perf_Batch!G82)</f>
        <v>0.631944897166114</v>
      </c>
      <c r="X83" s="96" t="n">
        <f aca="false">MAX(Perf_Batch_Prod!X80,Perf_Batch!H81,Perf_Batch!H82)</f>
        <v>2.47001502884852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976</v>
      </c>
      <c r="B85" s="65" t="s">
        <v>3393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540.189032328358</v>
      </c>
      <c r="G85" s="98" t="n">
        <f aca="false">(1000*Perf_Batch!G49/Perf_Batch!G41-Perf_Batch_Prod!G79)/Perf_Batch_Prod!G83</f>
        <v>145.94898376205</v>
      </c>
      <c r="H85" s="98" t="n">
        <f aca="false">(1000*Perf_Batch!H49/Perf_Batch!H41-Perf_Batch_Prod!H79)/Perf_Batch_Prod!H83</f>
        <v>32.9951189645649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642.64571183456</v>
      </c>
      <c r="W85" s="98" t="n">
        <f aca="false">(1000*Perf_Batch!G49/Perf_Batch!G41-Perf_Batch_Prod!W79)/Perf_Batch_Prod!W83</f>
        <v>174.585390745362</v>
      </c>
      <c r="X85" s="98" t="n">
        <f aca="false">(1000*Perf_Batch!H49/Perf_Batch!H41-Perf_Batch_Prod!X79)/Perf_Batch_Prod!X83</f>
        <v>40.0039257748446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978</v>
      </c>
      <c r="B87" s="65" t="s">
        <v>3393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540.189032328358</v>
      </c>
      <c r="G87" s="164" t="n">
        <f aca="false">MAX(0,MIN(Perf_Batch_Prod!G85,Perf_Batch!G86))</f>
        <v>145.94898376205</v>
      </c>
      <c r="H87" s="164" t="n">
        <f aca="false">MAX(0,MIN(Perf_Batch_Prod!H85,Perf_Batch!H86))</f>
        <v>32.9951189645649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642.64571183456</v>
      </c>
      <c r="W87" s="164" t="n">
        <f aca="false">MAX(0,MIN(Perf_Batch_Prod!W85,Perf_Batch!G86))</f>
        <v>174.585390745362</v>
      </c>
      <c r="X87" s="164" t="n">
        <f aca="false">MAX(0,MIN(Perf_Batch_Prod!X85,Perf_Batch!H86))</f>
        <v>40.0039257748446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979</v>
      </c>
      <c r="B88" s="59" t="s">
        <v>414</v>
      </c>
      <c r="C88" s="182" t="n">
        <f aca="false">IF(Perf_Batch_Prod!C87&gt;0,Perf_Batch_Prod!C87*Perf_Batch!C49/((Perf_Batch_Prod!C79+Perf_Batch_Prod!C87*Perf_Batch_Prod!C83)/1000),0)</f>
        <v>1031.34310467374</v>
      </c>
      <c r="D88" s="182" t="n">
        <f aca="false">IF(Perf_Batch_Prod!D87&gt;0,Perf_Batch_Prod!D87*Perf_Batch!D49/((Perf_Batch_Prod!D79+Perf_Batch_Prod!D87*Perf_Batch_Prod!D83)/1000),0)</f>
        <v>265.421633696737</v>
      </c>
      <c r="E88" s="182" t="n">
        <f aca="false">IF(Perf_Batch_Prod!E87&gt;0,Perf_Batch_Prod!E87*Perf_Batch!E49/((Perf_Batch_Prod!E79+Perf_Batch_Prod!E87*Perf_Batch_Prod!E83)/1000),0)</f>
        <v>58.9681488443982</v>
      </c>
      <c r="F88" s="182" t="n">
        <f aca="false">IF(Perf_Batch_Prod!F87&gt;0,Perf_Batch_Prod!F87*Perf_Batch!F49/((Perf_Batch_Prod!F79+Perf_Batch_Prod!F87*Perf_Batch_Prod!F83)/1000),0)</f>
        <v>10803.7806465671</v>
      </c>
      <c r="G88" s="182" t="n">
        <f aca="false">IF(Perf_Batch_Prod!G87&gt;0,Perf_Batch_Prod!G87*Perf_Batch!G49/((Perf_Batch_Prod!G79+Perf_Batch_Prod!G87*Perf_Batch_Prod!G83)/1000),0)</f>
        <v>2918.979675241</v>
      </c>
      <c r="H88" s="182" t="n">
        <f aca="false">IF(Perf_Batch_Prod!H87&gt;0,Perf_Batch_Prod!H87*Perf_Batch!H49/((Perf_Batch_Prod!H79+Perf_Batch_Prod!H87*Perf_Batch_Prod!H83)/1000),0)</f>
        <v>659.902379291298</v>
      </c>
      <c r="I88" s="182" t="n">
        <f aca="false">IF(Perf_Batch_Prod!I87&gt;0,Perf_Batch_Prod!I87*Perf_Batch!I49/((Perf_Batch_Prod!I79+Perf_Batch_Prod!I87*Perf_Batch_Prod!I83)/1000),0)</f>
        <v>6866.8097329876</v>
      </c>
      <c r="J88" s="182" t="n">
        <f aca="false">IF(Perf_Batch_Prod!J87&gt;0,Perf_Batch_Prod!J87*Perf_Batch!J49/((Perf_Batch_Prod!J79+Perf_Batch_Prod!J87*Perf_Batch_Prod!J83)/1000),0)</f>
        <v>1855.28369189047</v>
      </c>
      <c r="K88" s="182" t="n">
        <f aca="false">IF(Perf_Batch_Prod!K87&gt;0,Perf_Batch_Prod!K87*Perf_Batch!K49/((Perf_Batch_Prod!K79+Perf_Batch_Prod!K87*Perf_Batch_Prod!K83)/1000),0)</f>
        <v>403.778835768406</v>
      </c>
      <c r="L88" s="182" t="n">
        <f aca="false">IF(Perf_Batch_Prod!L87&gt;0,Perf_Batch_Prod!L87*Perf_Batch!L49/((Perf_Batch_Prod!L79+Perf_Batch_Prod!L87*Perf_Batch_Prod!L83)/1000),0)</f>
        <v>12101.4032239796</v>
      </c>
      <c r="M88" s="182" t="n">
        <f aca="false">IF(Perf_Batch_Prod!M87&gt;0,Perf_Batch_Prod!M87*Perf_Batch!M49/((Perf_Batch_Prod!M79+Perf_Batch_Prod!M87*Perf_Batch_Prod!M83)/1000),0)</f>
        <v>3361.1034268649</v>
      </c>
      <c r="N88" s="182" t="n">
        <f aca="false">IF(Perf_Batch_Prod!N87&gt;0,Perf_Batch_Prod!N87*Perf_Batch!N49/((Perf_Batch_Prod!N79+Perf_Batch_Prod!N87*Perf_Batch_Prod!N83)/1000),0)</f>
        <v>778.787285177779</v>
      </c>
      <c r="O88" s="182" t="n">
        <f aca="false">IF(Perf_Batch_Prod!O87&gt;0,Perf_Batch_Prod!O87*Perf_Batch!O49/((Perf_Batch_Prod!O79+Perf_Batch_Prod!O87*Perf_Batch_Prod!O83)/1000),0)</f>
        <v>32331.6621750656</v>
      </c>
      <c r="P88" s="182" t="n">
        <f aca="false">IF(Perf_Batch_Prod!P87&gt;0,Perf_Batch_Prod!P87*Perf_Batch!P49/((Perf_Batch_Prod!P79+Perf_Batch_Prod!P87*Perf_Batch_Prod!P83)/1000),0)</f>
        <v>9052.01832803705</v>
      </c>
      <c r="Q88" s="182" t="n">
        <f aca="false">IF(Perf_Batch_Prod!Q87&gt;0,Perf_Batch_Prod!Q87*Perf_Batch!Q49/((Perf_Batch_Prod!Q79+Perf_Batch_Prod!Q87*Perf_Batch_Prod!Q83)/1000),0)</f>
        <v>2133.28753529883</v>
      </c>
      <c r="S88" s="182" t="n">
        <f aca="false">IF(Perf_Batch_Prod!S87&gt;0,Perf_Batch_Prod!S87*Perf_Batch!C49/((Perf_Batch_Prod!S79+Perf_Batch_Prod!S87*Perf_Batch_Prod!S83)/1000),0)</f>
        <v>1234.86656435438</v>
      </c>
      <c r="T88" s="182" t="n">
        <f aca="false">IF(Perf_Batch_Prod!T87&gt;0,Perf_Batch_Prod!T87*Perf_Batch!D49/((Perf_Batch_Prod!T79+Perf_Batch_Prod!T87*Perf_Batch_Prod!T83)/1000),0)</f>
        <v>320.957053719974</v>
      </c>
      <c r="U88" s="182" t="n">
        <f aca="false">IF(Perf_Batch_Prod!U87&gt;0,Perf_Batch_Prod!U87*Perf_Batch!E49/((Perf_Batch_Prod!U79+Perf_Batch_Prod!U87*Perf_Batch_Prod!U83)/1000),0)</f>
        <v>72.9550245231261</v>
      </c>
      <c r="V88" s="182" t="n">
        <f aca="false">IF(Perf_Batch_Prod!V87&gt;0,Perf_Batch_Prod!V87*Perf_Batch!F49/((Perf_Batch_Prod!V79+Perf_Batch_Prod!V87*Perf_Batch_Prod!V83)/1000),0)</f>
        <v>12852.9142366912</v>
      </c>
      <c r="W88" s="182" t="n">
        <f aca="false">IF(Perf_Batch_Prod!W87&gt;0,Perf_Batch_Prod!W87*Perf_Batch!G49/((Perf_Batch_Prod!W79+Perf_Batch_Prod!W87*Perf_Batch_Prod!W83)/1000),0)</f>
        <v>3491.70781490724</v>
      </c>
      <c r="X88" s="182" t="n">
        <f aca="false">IF(Perf_Batch_Prod!X87&gt;0,Perf_Batch_Prod!X87*Perf_Batch!H49/((Perf_Batch_Prod!X79+Perf_Batch_Prod!X87*Perf_Batch_Prod!X83)/1000),0)</f>
        <v>800.078515496892</v>
      </c>
      <c r="Y88" s="182" t="n">
        <f aca="false">IF(Perf_Batch_Prod!Y87&gt;0,Perf_Batch_Prod!Y87*Perf_Batch!I49/((Perf_Batch_Prod!Y79+Perf_Batch_Prod!Y87*Perf_Batch_Prod!Y83)/1000),0)</f>
        <v>8169.22515043932</v>
      </c>
      <c r="Z88" s="182" t="n">
        <f aca="false">IF(Perf_Batch_Prod!Z87&gt;0,Perf_Batch_Prod!Z87*Perf_Batch!J49/((Perf_Batch_Prod!Z79+Perf_Batch_Prod!Z87*Perf_Batch_Prod!Z83)/1000),0)</f>
        <v>2219.30581455969</v>
      </c>
      <c r="AA88" s="182" t="n">
        <f aca="false">IF(Perf_Batch_Prod!AA87&gt;0,Perf_Batch_Prod!AA87*Perf_Batch!K49/((Perf_Batch_Prod!AA79+Perf_Batch_Prod!AA87*Perf_Batch_Prod!AA83)/1000),0)</f>
        <v>490.111959489046</v>
      </c>
      <c r="AB88" s="182" t="n">
        <f aca="false">IF(Perf_Batch_Prod!AB87&gt;0,Perf_Batch_Prod!AB87*Perf_Batch!L49/((Perf_Batch_Prod!AB79+Perf_Batch_Prod!AB87*Perf_Batch_Prod!AB83)/1000),0)</f>
        <v>14395.539532388</v>
      </c>
      <c r="AC88" s="182" t="n">
        <f aca="false">IF(Perf_Batch_Prod!AC87&gt;0,Perf_Batch_Prod!AC87*Perf_Batch!M49/((Perf_Batch_Prod!AC79+Perf_Batch_Prod!AC87*Perf_Batch_Prod!AC83)/1000),0)</f>
        <v>4018.32278260485</v>
      </c>
      <c r="AD88" s="182" t="n">
        <f aca="false">IF(Perf_Batch_Prod!AD87&gt;0,Perf_Batch_Prod!AD87*Perf_Batch!N49/((Perf_Batch_Prod!AD79+Perf_Batch_Prod!AD87*Perf_Batch_Prod!AD83)/1000),0)</f>
        <v>942.606896850618</v>
      </c>
      <c r="AE88" s="182" t="n">
        <f aca="false">IF(Perf_Batch_Prod!AE87&gt;0,Perf_Batch_Prod!AE87*Perf_Batch!O49/((Perf_Batch_Prod!AE79+Perf_Batch_Prod!AE87*Perf_Batch_Prod!AE83)/1000),0)</f>
        <v>38460.1684523914</v>
      </c>
      <c r="AF88" s="182" t="n">
        <f aca="false">IF(Perf_Batch_Prod!AF87&gt;0,Perf_Batch_Prod!AF87*Perf_Batch!P49/((Perf_Batch_Prod!AF79+Perf_Batch_Prod!AF87*Perf_Batch_Prod!AF83)/1000),0)</f>
        <v>10820.3225454529</v>
      </c>
      <c r="AG88" s="182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997</v>
      </c>
      <c r="B101" s="59" t="s">
        <v>998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1000</v>
      </c>
      <c r="B103" s="59" t="s">
        <v>998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92.5601909844167</v>
      </c>
      <c r="G103" s="98" t="n">
        <f aca="false">IF(ISNUMBER(Perf_Batch_Prod!G88),IF(Perf_Batch_Prod!G88&gt;0,IF(Perf_Batch_Prod!G77="是",1000000/Perf_Batch_Prod!G88,"TTFT 不可達"),"SLO 不可達"),"SLO 不可達")</f>
        <v>342.585461790664</v>
      </c>
      <c r="H103" s="98" t="n">
        <f aca="false">IF(ISNUMBER(Perf_Batch_Prod!H88),IF(Perf_Batch_Prod!H88&gt;0,IF(Perf_Batch_Prod!H77="是",1000000/Perf_Batch_Prod!H88,"TTFT 不可達"),"SLO 不可達"),"SLO 不可達")</f>
        <v>1515.37565461417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77.8033667372729</v>
      </c>
      <c r="W103" s="98" t="n">
        <f aca="false">IF(ISNUMBER(Perf_Batch_Prod!W88),IF(Perf_Batch_Prod!W88&gt;0,IF(Perf_Batch_Prod!W77="是",1000000/Perf_Batch_Prod!W88,"TTFT 不可達"),"SLO 不可達"),"SLO 不可達")</f>
        <v>286.392806331238</v>
      </c>
      <c r="X103" s="98" t="n">
        <f aca="false">IF(ISNUMBER(Perf_Batch_Prod!X88),IF(Perf_Batch_Prod!X88&gt;0,IF(Perf_Batch_Prod!X77="是",1000000/Perf_Batch_Prod!X88,"TTFT 不可達"),"SLO 不可達"),"SLO 不可達")</f>
        <v>1249.87733157532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3397</v>
      </c>
    </row>
    <row r="2" customFormat="false" ht="15" hidden="false" customHeight="false" outlineLevel="0" collapsed="false">
      <c r="A2" s="65" t="s">
        <v>3398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90" t="n">
        <f aca="false">Training!C6</f>
        <v>1</v>
      </c>
      <c r="D6" s="90" t="n">
        <f aca="false">Training!D6</f>
        <v>1</v>
      </c>
      <c r="E6" s="90" t="n">
        <f aca="false">Training!E6</f>
        <v>1</v>
      </c>
      <c r="F6" s="90" t="n">
        <f aca="false">Training!F6</f>
        <v>2</v>
      </c>
      <c r="G6" s="90" t="n">
        <f aca="false">Training!G6</f>
        <v>2</v>
      </c>
      <c r="H6" s="90" t="n">
        <f aca="false">Training!H6</f>
        <v>2</v>
      </c>
      <c r="I6" s="90" t="n">
        <f aca="false">Training!I6</f>
        <v>3</v>
      </c>
      <c r="J6" s="90" t="n">
        <f aca="false">Training!J6</f>
        <v>3</v>
      </c>
      <c r="K6" s="90" t="n">
        <f aca="false">Training!K6</f>
        <v>3</v>
      </c>
      <c r="L6" s="90" t="n">
        <f aca="false">Training!L6</f>
        <v>4</v>
      </c>
      <c r="M6" s="90" t="n">
        <f aca="false">Training!M6</f>
        <v>4</v>
      </c>
      <c r="N6" s="90" t="n">
        <f aca="false">Training!N6</f>
        <v>4</v>
      </c>
      <c r="O6" s="90" t="n">
        <f aca="false">Training!O6</f>
        <v>5</v>
      </c>
      <c r="P6" s="90" t="n">
        <f aca="false">Training!P6</f>
        <v>5</v>
      </c>
      <c r="Q6" s="90" t="n">
        <f aca="false">Training!Q6</f>
        <v>5</v>
      </c>
      <c r="S6" s="90" t="n">
        <f aca="false">Training!C6</f>
        <v>1</v>
      </c>
      <c r="T6" s="90" t="n">
        <f aca="false">Training!D6</f>
        <v>1</v>
      </c>
      <c r="U6" s="90" t="n">
        <f aca="false">Training!E6</f>
        <v>1</v>
      </c>
      <c r="V6" s="90" t="n">
        <f aca="false">Training!F6</f>
        <v>2</v>
      </c>
      <c r="W6" s="90" t="n">
        <f aca="false">Training!G6</f>
        <v>2</v>
      </c>
      <c r="X6" s="90" t="n">
        <f aca="false">Training!H6</f>
        <v>2</v>
      </c>
      <c r="Y6" s="90" t="n">
        <f aca="false">Training!I6</f>
        <v>3</v>
      </c>
      <c r="Z6" s="90" t="n">
        <f aca="false">Training!J6</f>
        <v>3</v>
      </c>
      <c r="AA6" s="90" t="n">
        <f aca="false">Training!K6</f>
        <v>3</v>
      </c>
      <c r="AB6" s="90" t="n">
        <f aca="false">Training!L6</f>
        <v>4</v>
      </c>
      <c r="AC6" s="90" t="n">
        <f aca="false">Training!M6</f>
        <v>4</v>
      </c>
      <c r="AD6" s="90" t="n">
        <f aca="false">Training!N6</f>
        <v>4</v>
      </c>
      <c r="AE6" s="90" t="n">
        <f aca="false">Training!O6</f>
        <v>5</v>
      </c>
      <c r="AF6" s="90" t="n">
        <f aca="false">Training!P6</f>
        <v>5</v>
      </c>
      <c r="AG6" s="90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90" t="n">
        <f aca="false">Training!C7</f>
        <v>1</v>
      </c>
      <c r="D7" s="90" t="n">
        <f aca="false">Training!D7</f>
        <v>2</v>
      </c>
      <c r="E7" s="90" t="n">
        <f aca="false">Training!E7</f>
        <v>3</v>
      </c>
      <c r="F7" s="90" t="n">
        <f aca="false">Training!F7</f>
        <v>1</v>
      </c>
      <c r="G7" s="90" t="n">
        <f aca="false">Training!G7</f>
        <v>2</v>
      </c>
      <c r="H7" s="90" t="n">
        <f aca="false">Training!H7</f>
        <v>3</v>
      </c>
      <c r="I7" s="90" t="n">
        <f aca="false">Training!I7</f>
        <v>1</v>
      </c>
      <c r="J7" s="90" t="n">
        <f aca="false">Training!J7</f>
        <v>2</v>
      </c>
      <c r="K7" s="90" t="n">
        <f aca="false">Training!K7</f>
        <v>3</v>
      </c>
      <c r="L7" s="90" t="n">
        <f aca="false">Training!L7</f>
        <v>1</v>
      </c>
      <c r="M7" s="90" t="n">
        <f aca="false">Training!M7</f>
        <v>2</v>
      </c>
      <c r="N7" s="90" t="n">
        <f aca="false">Training!N7</f>
        <v>3</v>
      </c>
      <c r="O7" s="90" t="n">
        <f aca="false">Training!O7</f>
        <v>1</v>
      </c>
      <c r="P7" s="90" t="n">
        <f aca="false">Training!P7</f>
        <v>2</v>
      </c>
      <c r="Q7" s="90" t="n">
        <f aca="false">Training!Q7</f>
        <v>3</v>
      </c>
      <c r="S7" s="90" t="n">
        <f aca="false">Training!C7</f>
        <v>1</v>
      </c>
      <c r="T7" s="90" t="n">
        <f aca="false">Training!D7</f>
        <v>2</v>
      </c>
      <c r="U7" s="90" t="n">
        <f aca="false">Training!E7</f>
        <v>3</v>
      </c>
      <c r="V7" s="90" t="n">
        <f aca="false">Training!F7</f>
        <v>1</v>
      </c>
      <c r="W7" s="90" t="n">
        <f aca="false">Training!G7</f>
        <v>2</v>
      </c>
      <c r="X7" s="90" t="n">
        <f aca="false">Training!H7</f>
        <v>3</v>
      </c>
      <c r="Y7" s="90" t="n">
        <f aca="false">Training!I7</f>
        <v>1</v>
      </c>
      <c r="Z7" s="90" t="n">
        <f aca="false">Training!J7</f>
        <v>2</v>
      </c>
      <c r="AA7" s="90" t="n">
        <f aca="false">Training!K7</f>
        <v>3</v>
      </c>
      <c r="AB7" s="90" t="n">
        <f aca="false">Training!L7</f>
        <v>1</v>
      </c>
      <c r="AC7" s="90" t="n">
        <f aca="false">Training!M7</f>
        <v>2</v>
      </c>
      <c r="AD7" s="90" t="n">
        <f aca="false">Training!N7</f>
        <v>3</v>
      </c>
      <c r="AE7" s="90" t="n">
        <f aca="false">Training!O7</f>
        <v>1</v>
      </c>
      <c r="AF7" s="90" t="n">
        <f aca="false">Training!P7</f>
        <v>2</v>
      </c>
      <c r="AG7" s="90" t="n">
        <f aca="false">Training!Q7</f>
        <v>3</v>
      </c>
    </row>
    <row r="59" customFormat="false" ht="15" hidden="false" customHeight="false" outlineLevel="0" collapsed="false">
      <c r="A59" s="62" t="s">
        <v>1310</v>
      </c>
      <c r="B59" s="59" t="s">
        <v>998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92.5601909844167</v>
      </c>
      <c r="G59" s="98" t="n">
        <f aca="false">INDEX(Perf_Batch_Prod!$C$103:$Q$103,3*(Training!G$6-1)+Training!G$7)</f>
        <v>342.585461790664</v>
      </c>
      <c r="H59" s="98" t="n">
        <f aca="false">INDEX(Perf_Batch_Prod!$C$103:$Q$103,3*(Training!H$6-1)+Training!H$7)</f>
        <v>1515.37565461417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77.8033667372729</v>
      </c>
      <c r="W59" s="98" t="n">
        <f aca="false">INDEX(Perf_Batch_Prod!$S$103:$AG$103,3*(Training!G$6-1)+Training!G$7)</f>
        <v>286.392806331238</v>
      </c>
      <c r="X59" s="98" t="n">
        <f aca="false">INDEX(Perf_Batch_Prod!$S$103:$AG$103,3*(Training!H$6-1)+Training!H$7)</f>
        <v>1249.87733157532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1311</v>
      </c>
      <c r="B60" s="59" t="s">
        <v>998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1316</v>
      </c>
      <c r="B65" s="59" t="s">
        <v>1292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71691.6304025507</v>
      </c>
      <c r="G65" s="63" t="n">
        <f aca="false">IF(AND(ISNUMBER(Training_Prod!G59)),(Training!G53*1000000*Training_Prod!G59+Training!G58*1000000*Training_Prod!G60)/3600/Training!G64,"SLO 不可達")</f>
        <v>265459.344900543</v>
      </c>
      <c r="H65" s="63" t="n">
        <f aca="false">IF(AND(ISNUMBER(Training_Prod!H59)),(Training!H53*1000000*Training_Prod!H59+Training!H58*1000000*Training_Prod!H60)/3600/Training!H64,"SLO 不可達")</f>
        <v>4769508.60188067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60264.7493667512</v>
      </c>
      <c r="W65" s="63" t="n">
        <f aca="false">IF(AND(ISNUMBER(Training_Prod!W59)),(Training!G53*1000000*Training_Prod!W59+Training!G58*1000000*Training_Prod!W60)/3600/Training!G64,"SLO 不可達")</f>
        <v>221934.752508485</v>
      </c>
      <c r="X65" s="63" t="n">
        <f aca="false">IF(AND(ISNUMBER(Training_Prod!X59)),(Training!H53*1000000*Training_Prod!X59+Training!H58*1000000*Training_Prod!X60)/3600/Training!H64,"SLO 不可達")</f>
        <v>3934264.35129513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1327</v>
      </c>
      <c r="B75" s="59" t="s">
        <v>1292</v>
      </c>
      <c r="C75" s="182" t="n">
        <f aca="false">IF(AND(ISNUMBER(Training_Prod!C65)),Training_Prod!C65+Training!C72+Training!C74,"SLO 不可達")</f>
        <v>1177914.87057968</v>
      </c>
      <c r="D75" s="182" t="n">
        <f aca="false">IF(AND(ISNUMBER(Training_Prod!D65)),Training_Prod!D65+Training!D72+Training!D74,"SLO 不可達")</f>
        <v>4387432.71000385</v>
      </c>
      <c r="E75" s="182" t="n">
        <f aca="false">IF(AND(ISNUMBER(Training_Prod!E65)),Training_Prod!E65+Training!E72+Training!E74,"SLO 不可達")</f>
        <v>74953595.3737775</v>
      </c>
      <c r="F75" s="182" t="n">
        <f aca="false">IF(AND(ISNUMBER(Training_Prod!F65)),Training_Prod!F65+Training!F72+Training!F74,"SLO 不可達")</f>
        <v>240707.794977252</v>
      </c>
      <c r="G75" s="182" t="n">
        <f aca="false">IF(AND(ISNUMBER(Training_Prod!G65)),Training_Prod!G65+Training!G72+Training!G74,"SLO 不可達")</f>
        <v>846944.982911802</v>
      </c>
      <c r="H75" s="182" t="n">
        <f aca="false">IF(AND(ISNUMBER(Training_Prod!H65)),Training_Prod!H65+Training!H72+Training!H74,"SLO 不可達")</f>
        <v>13316992.2498807</v>
      </c>
      <c r="I75" s="182" t="n">
        <f aca="false">IF(AND(ISNUMBER(Training_Prod!I65)),Training_Prod!I65+Training!I72+Training!I74,"SLO 不可達")</f>
        <v>281534.155427727</v>
      </c>
      <c r="J75" s="182" t="n">
        <f aca="false">IF(AND(ISNUMBER(Training_Prod!J65)),Training_Prod!J65+Training!J72+Training!J74,"SLO 不可達")</f>
        <v>998014.590856352</v>
      </c>
      <c r="K75" s="182" t="n">
        <f aca="false">IF(AND(ISNUMBER(Training_Prod!K65)),Training_Prod!K65+Training!K72+Training!K74,"SLO 不可達")</f>
        <v>16327478.7808241</v>
      </c>
      <c r="L75" s="182" t="n">
        <f aca="false">IF(AND(ISNUMBER(Training_Prod!L65)),Training_Prod!L65+Training!L72+Training!L74,"SLO 不可達")</f>
        <v>117474.768401351</v>
      </c>
      <c r="M75" s="182" t="n">
        <f aca="false">IF(AND(ISNUMBER(Training_Prod!M65)),Training_Prod!M65+Training!M72+Training!M74,"SLO 不可達")</f>
        <v>414414.692289046</v>
      </c>
      <c r="N75" s="182" t="n">
        <f aca="false">IF(AND(ISNUMBER(Training_Prod!N65)),Training_Prod!N65+Training!N72+Training!N74,"SLO 不可達")</f>
        <v>6746268.55253112</v>
      </c>
      <c r="O75" s="182" t="n">
        <f aca="false">IF(AND(ISNUMBER(Training_Prod!O65)),Training_Prod!O65+Training!O72+Training!O74,"SLO 不可達")</f>
        <v>50725.6555434733</v>
      </c>
      <c r="P75" s="182" t="n">
        <f aca="false">IF(AND(ISNUMBER(Training_Prod!P65)),Training_Prod!P65+Training!P72+Training!P74,"SLO 不可達")</f>
        <v>177677.984449426</v>
      </c>
      <c r="Q75" s="182" t="n">
        <f aca="false">IF(AND(ISNUMBER(Training_Prod!Q65)),Training_Prod!Q65+Training!Q72+Training!Q74,"SLO 不可達")</f>
        <v>2829561.65694583</v>
      </c>
      <c r="S75" s="182" t="n">
        <f aca="false">IF(AND(ISNUMBER(Training_Prod!S65)),Training_Prod!S65+Training!C72+Training!C74,"SLO 不可達")</f>
        <v>1054203.20797403</v>
      </c>
      <c r="T75" s="182" t="n">
        <f aca="false">IF(AND(ISNUMBER(Training_Prod!T65)),Training_Prod!T65+Training!D72+Training!D74,"SLO 不可達")</f>
        <v>3882768.0044086</v>
      </c>
      <c r="U75" s="182" t="n">
        <f aca="false">IF(AND(ISNUMBER(Training_Prod!U65)),Training_Prod!U65+Training!E72+Training!E74,"SLO 不可達")</f>
        <v>64730310.5371774</v>
      </c>
      <c r="V75" s="182" t="n">
        <f aca="false">IF(AND(ISNUMBER(Training_Prod!V65)),Training_Prod!V65+Training!F72+Training!F74,"SLO 不可達")</f>
        <v>229280.913941452</v>
      </c>
      <c r="W75" s="182" t="n">
        <f aca="false">IF(AND(ISNUMBER(Training_Prod!W65)),Training_Prod!W65+Training!G72+Training!G74,"SLO 不可達")</f>
        <v>803420.390519744</v>
      </c>
      <c r="X75" s="182" t="n">
        <f aca="false">IF(AND(ISNUMBER(Training_Prod!X65)),Training_Prod!X65+Training!H72+Training!H74,"SLO 不可達")</f>
        <v>12481747.9992951</v>
      </c>
      <c r="Y75" s="182" t="n">
        <f aca="false">IF(AND(ISNUMBER(Training_Prod!Y65)),Training_Prod!Y65+Training!I72+Training!I74,"SLO 不可達")</f>
        <v>263597.388745117</v>
      </c>
      <c r="Z75" s="182" t="n">
        <f aca="false">IF(AND(ISNUMBER(Training_Prod!Z65)),Training_Prod!Z65+Training!J72+Training!J74,"SLO 不可達")</f>
        <v>929704.961295945</v>
      </c>
      <c r="AA75" s="182" t="n">
        <f aca="false">IF(AND(ISNUMBER(Training_Prod!AA65)),Training_Prod!AA65+Training!K72+Training!K74,"SLO 不可達")</f>
        <v>14957302.4707143</v>
      </c>
      <c r="AB75" s="182" t="n">
        <f aca="false">IF(AND(ISNUMBER(Training_Prod!AB65)),Training_Prod!AB65+Training!L72+Training!L74,"SLO 不可達")</f>
        <v>107305.134642035</v>
      </c>
      <c r="AC75" s="182" t="n">
        <f aca="false">IF(AND(ISNUMBER(Training_Prod!AC65)),Training_Prod!AC65+Training!M72+Training!M74,"SLO 不可達")</f>
        <v>376831.791251579</v>
      </c>
      <c r="AD75" s="182" t="n">
        <f aca="false">IF(AND(ISNUMBER(Training_Prod!AD65)),Training_Prod!AD65+Training!N72+Training!N74,"SLO 不可達")</f>
        <v>6045499.10516714</v>
      </c>
      <c r="AE75" s="182" t="n">
        <f aca="false">IF(AND(ISNUMBER(Training_Prod!AE65)),Training_Prod!AE65+Training!O72+Training!O74,"SLO 不可達")</f>
        <v>46918.0414223073</v>
      </c>
      <c r="AF75" s="182" t="n">
        <f aca="false">IF(AND(ISNUMBER(Training_Prod!AF65)),Training_Prod!AF65+Training!P72+Training!P74,"SLO 不可達")</f>
        <v>163727.413365684</v>
      </c>
      <c r="AG75" s="182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1337</v>
      </c>
      <c r="B84" s="59" t="s">
        <v>998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1339</v>
      </c>
      <c r="B86" s="59" t="s">
        <v>1292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6049.68568525599</v>
      </c>
      <c r="G86" s="63" t="n">
        <f aca="false">IF(AND(ISNUMBER(Training_Prod!G59)),Training!G81*1000000*Training_Prod!G59/3600/Training!G64,"SLO 不可達")</f>
        <v>22391.2066529846</v>
      </c>
      <c r="H86" s="63" t="n">
        <f aca="false">IF(AND(ISNUMBER(Training_Prod!H59)),Training!H81*1000000*Training_Prod!H59/3600/Training!H64,"SLO 不可達")</f>
        <v>99044.1604322987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5085.18736844921</v>
      </c>
      <c r="W86" s="63" t="n">
        <f aca="false">IF(AND(ISNUMBER(Training_Prod!W59)),Training!G81*1000000*Training_Prod!W59/3600/Training!G64,"SLO 不可達")</f>
        <v>18718.4840739371</v>
      </c>
      <c r="X86" s="63" t="n">
        <f aca="false">IF(AND(ISNUMBER(Training_Prod!X59)),Training!H81*1000000*Training_Prod!X59/3600/Training!H64,"SLO 不可達")</f>
        <v>81691.3288611321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1340</v>
      </c>
      <c r="B87" s="59" t="s">
        <v>1292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1343</v>
      </c>
      <c r="B90" s="59" t="s">
        <v>1292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21428.8389639955</v>
      </c>
      <c r="G90" s="63" t="n">
        <f aca="false">IF(AND(ISNUMBER(Training_Prod!G86)),Training_Prod!G86+Training_Prod!G87+Training!G89,"SLO 不可達")</f>
        <v>75967.8489360807</v>
      </c>
      <c r="H90" s="63" t="n">
        <f aca="false">IF(AND(ISNUMBER(Training_Prod!H86)),Training_Prod!H86+Training_Prod!H87+Training!H89,"SLO 不可達")</f>
        <v>290197.302393083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20305.9782220054</v>
      </c>
      <c r="W90" s="63" t="n">
        <f aca="false">IF(AND(ISNUMBER(Training_Prod!W86)),Training_Prod!W86+Training_Prod!W87+Training!G89,"SLO 不可達")</f>
        <v>71650.3965994577</v>
      </c>
      <c r="X90" s="63" t="n">
        <f aca="false">IF(AND(ISNUMBER(Training_Prod!X86)),Training_Prod!X86+Training_Prod!X87+Training!H89,"SLO 不可達")</f>
        <v>270882.385927799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1348</v>
      </c>
      <c r="B95" s="59" t="s">
        <v>998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1515.37565461417</v>
      </c>
      <c r="G95" s="98" t="n">
        <f aca="false">INDEX(Perf_Batch_Prod!$C$103:$Q$103,3*(Training!G$6-1)+Training!G94)</f>
        <v>1515.37565461417</v>
      </c>
      <c r="H95" s="98" t="n">
        <f aca="false">INDEX(Perf_Batch_Prod!$C$103:$Q$103,3*(Training!H$6-1)+Training!H94)</f>
        <v>1515.37565461417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1249.87733157532</v>
      </c>
      <c r="W95" s="98" t="n">
        <f aca="false">INDEX(Perf_Batch_Prod!$S$103:$AG$103,3*(Training!G$6-1)+Training!G94)</f>
        <v>1249.87733157532</v>
      </c>
      <c r="X95" s="98" t="n">
        <f aca="false">INDEX(Perf_Batch_Prod!$S$103:$AG$103,3*(Training!H$6-1)+Training!H94)</f>
        <v>1249.87733157532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1350</v>
      </c>
      <c r="B97" s="59" t="s">
        <v>1292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420937.68183727</v>
      </c>
      <c r="G97" s="63" t="n">
        <f aca="false">IF(AND(ISNUMBER(Training_Prod!G95)),Training!G93*1000000*Training_Prod!G95/3600,"SLO 不可達")</f>
        <v>841875.363674539</v>
      </c>
      <c r="H97" s="63" t="n">
        <f aca="false">IF(AND(ISNUMBER(Training_Prod!H95)),Training!H93*1000000*Training_Prod!H95/3600,"SLO 不可達")</f>
        <v>1262813.04551181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347188.147659812</v>
      </c>
      <c r="W97" s="63" t="n">
        <f aca="false">IF(AND(ISNUMBER(Training_Prod!W95)),Training!G93*1000000*Training_Prod!W95/3600,"SLO 不可達")</f>
        <v>694376.295319623</v>
      </c>
      <c r="X97" s="63" t="n">
        <f aca="false">IF(AND(ISNUMBER(Training_Prod!X95)),Training!H93*1000000*Training_Prod!X95/3600,"SLO 不可達")</f>
        <v>1041564.44297943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1352</v>
      </c>
      <c r="B100" s="59" t="s">
        <v>1292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514.223283246759</v>
      </c>
      <c r="G100" s="63" t="n">
        <f aca="false">IF(AND(ISNUMBER(Training_Prod!G59)),Training!G99*1000000*Training_Prod!G59/3600,"SLO 不可達")</f>
        <v>4758.13141375922</v>
      </c>
      <c r="H100" s="63" t="n">
        <f aca="false">IF(AND(ISNUMBER(Training_Prod!H59)),Training!H99*1000000*Training_Prod!H59/3600,"SLO 不可達")</f>
        <v>42093.768183727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432.240926318183</v>
      </c>
      <c r="W100" s="63" t="n">
        <f aca="false">IF(AND(ISNUMBER(Training_Prod!W59)),Training!G99*1000000*Training_Prod!W59/3600,"SLO 不可達")</f>
        <v>3977.67786571164</v>
      </c>
      <c r="X100" s="63" t="n">
        <f aca="false">IF(AND(ISNUMBER(Training_Prod!X59)),Training!H99*1000000*Training_Prod!X59/3600,"SLO 不可達")</f>
        <v>34718.8147659812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1356</v>
      </c>
      <c r="B104" s="59" t="s">
        <v>1292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263929.096757769</v>
      </c>
      <c r="G104" s="63" t="n">
        <f aca="false">IF(AND(ISNUMBER(Training_Prod!G75),ISNUMBER(Training_Prod!G90)),Training!G51+Training_Prod!G75+Training_Prod!G90,"SLO 不可達")</f>
        <v>929060.602789702</v>
      </c>
      <c r="H104" s="63" t="n">
        <f aca="false">IF(AND(ISNUMBER(Training_Prod!H75),ISNUMBER(Training_Prod!H90)),Training!H51+Training_Prod!H75+Training_Prod!H90,"SLO 不可達")</f>
        <v>13644251.1558293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251379.354979979</v>
      </c>
      <c r="W104" s="63" t="n">
        <f aca="false">IF(AND(ISNUMBER(Training_Prod!W75),ISNUMBER(Training_Prod!W90)),Training!G51+Training_Prod!W75+Training_Prod!W90,"SLO 不可達")</f>
        <v>881218.558061021</v>
      </c>
      <c r="X104" s="63" t="n">
        <f aca="false">IF(AND(ISNUMBER(Training_Prod!X75),ISNUMBER(Training_Prod!X90)),Training!H51+Training_Prod!X75+Training_Prod!X90,"SLO 不可達")</f>
        <v>12789691.9887785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1357</v>
      </c>
      <c r="B105" s="59" t="s">
        <v>1292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421451.905120516</v>
      </c>
      <c r="G105" s="63" t="n">
        <f aca="false">IF(AND(ISNUMBER(Training_Prod!G97),ISNUMBER(Training_Prod!G100)),Training_Prod!G97+Training_Prod!G100,"SLO 不可達")</f>
        <v>846633.495088299</v>
      </c>
      <c r="H105" s="63" t="n">
        <f aca="false">IF(AND(ISNUMBER(Training_Prod!H97),ISNUMBER(Training_Prod!H100)),Training_Prod!H97+Training_Prod!H100,"SLO 不可達")</f>
        <v>1304906.81369554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347620.38858613</v>
      </c>
      <c r="W105" s="63" t="n">
        <f aca="false">IF(AND(ISNUMBER(Training_Prod!W97),ISNUMBER(Training_Prod!W100)),Training_Prod!W97+Training_Prod!W100,"SLO 不可達")</f>
        <v>698353.973185335</v>
      </c>
      <c r="X105" s="63" t="n">
        <f aca="false">IF(AND(ISNUMBER(Training_Prod!X97),ISNUMBER(Training_Prod!X100)),Training_Prod!X97+Training_Prod!X100,"SLO 不可達")</f>
        <v>1076283.25774542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1358</v>
      </c>
      <c r="B106" s="59" t="s">
        <v>1292</v>
      </c>
      <c r="C106" s="182" t="n">
        <f aca="false">IF(AND(ISNUMBER(Training_Prod!C104),ISNUMBER(Training_Prod!C105)),Training!C103+Training_Prod!C104+Training_Prod!C105,"SLO 不可達")</f>
        <v>8331835.06461192</v>
      </c>
      <c r="D106" s="182" t="n">
        <f aca="false">IF(AND(ISNUMBER(Training_Prod!D104),ISNUMBER(Training_Prod!D105)),Training!D103+Training_Prod!D104+Training_Prod!D105,"SLO 不可達")</f>
        <v>22621129.1188858</v>
      </c>
      <c r="E106" s="182" t="n">
        <f aca="false">IF(AND(ISNUMBER(Training_Prod!E104),ISNUMBER(Training_Prod!E105)),Training!E103+Training_Prod!E104+Training_Prod!E105,"SLO 不可達")</f>
        <v>136579116.213744</v>
      </c>
      <c r="F106" s="182" t="n">
        <f aca="false">IF(AND(ISNUMBER(Training_Prod!F104),ISNUMBER(Training_Prod!F105)),Training!F103+Training_Prod!F104+Training_Prod!F105,"SLO 不可達")</f>
        <v>1604874.75754108</v>
      </c>
      <c r="G106" s="182" t="n">
        <f aca="false">IF(AND(ISNUMBER(Training_Prod!G104),ISNUMBER(Training_Prod!G105)),Training!G103+Training_Prod!G104+Training_Prod!G105,"SLO 不可達")</f>
        <v>5072843.90882997</v>
      </c>
      <c r="H106" s="182" t="n">
        <f aca="false">IF(AND(ISNUMBER(Training_Prod!H104),ISNUMBER(Training_Prod!H105)),Training!H103+Training_Prod!H104+Training_Prod!H105,"SLO 不可達")</f>
        <v>32854494.744636</v>
      </c>
      <c r="I106" s="182" t="n">
        <f aca="false">IF(AND(ISNUMBER(Training_Prod!I104),ISNUMBER(Training_Prod!I105)),Training!I103+Training_Prod!I104+Training_Prod!I105,"SLO 不可達")</f>
        <v>1916120.19054511</v>
      </c>
      <c r="J106" s="182" t="n">
        <f aca="false">IF(AND(ISNUMBER(Training_Prod!J104),ISNUMBER(Training_Prod!J105)),Training!J103+Training_Prod!J104+Training_Prod!J105,"SLO 不可達")</f>
        <v>5772061.76696223</v>
      </c>
      <c r="K106" s="182" t="n">
        <f aca="false">IF(AND(ISNUMBER(Training_Prod!K104),ISNUMBER(Training_Prod!K105)),Training!K103+Training_Prod!K104+Training_Prod!K105,"SLO 不可達")</f>
        <v>36751170.23555</v>
      </c>
      <c r="L106" s="182" t="n">
        <f aca="false">IF(AND(ISNUMBER(Training_Prod!L104),ISNUMBER(Training_Prod!L105)),Training!L103+Training_Prod!L104+Training_Prod!L105,"SLO 不可達")</f>
        <v>777335.314438309</v>
      </c>
      <c r="M106" s="182" t="n">
        <f aca="false">IF(AND(ISNUMBER(Training_Prod!M104),ISNUMBER(Training_Prod!M105)),Training!M103+Training_Prod!M104+Training_Prod!M105,"SLO 不可達")</f>
        <v>2216890.49599468</v>
      </c>
      <c r="N106" s="182" t="n">
        <f aca="false">IF(AND(ISNUMBER(Training_Prod!N104),ISNUMBER(Training_Prod!N105)),Training!N103+Training_Prod!N104+Training_Prod!N105,"SLO 不可達")</f>
        <v>13692168.7202768</v>
      </c>
      <c r="O106" s="182" t="n">
        <f aca="false">IF(AND(ISNUMBER(Training_Prod!O104),ISNUMBER(Training_Prod!O105)),Training!O103+Training_Prod!O104+Training_Prod!O105,"SLO 不可達")</f>
        <v>331790.431232589</v>
      </c>
      <c r="P106" s="182" t="n">
        <f aca="false">IF(AND(ISNUMBER(Training_Prod!P104),ISNUMBER(Training_Prod!P105)),Training!P103+Training_Prod!P104+Training_Prod!P105,"SLO 不可達")</f>
        <v>979623.967925788</v>
      </c>
      <c r="Q106" s="182" t="n">
        <f aca="false">IF(AND(ISNUMBER(Training_Prod!Q104),ISNUMBER(Training_Prod!Q105)),Training!Q103+Training_Prod!Q104+Training_Prod!Q105,"SLO 不可達")</f>
        <v>6141987.95167579</v>
      </c>
      <c r="S106" s="182" t="n">
        <f aca="false">IF(AND(ISNUMBER(Training_Prod!S104),ISNUMBER(Training_Prod!S105)),Training!C103+Training_Prod!S104+Training_Prod!S105,"SLO 不可達")</f>
        <v>7292069.45600863</v>
      </c>
      <c r="T106" s="182" t="n">
        <f aca="false">IF(AND(ISNUMBER(Training_Prod!T104),ISNUMBER(Training_Prod!T105)),Training!D103+Training_Prod!T104+Training_Prod!T105,"SLO 不可達")</f>
        <v>20252042.4874034</v>
      </c>
      <c r="U106" s="182" t="n">
        <f aca="false">IF(AND(ISNUMBER(Training_Prod!U104),ISNUMBER(Training_Prod!U105)),Training!E103+Training_Prod!U104+Training_Prod!U105,"SLO 不可達")</f>
        <v>123323821.116157</v>
      </c>
      <c r="V106" s="182" t="n">
        <f aca="false">IF(AND(ISNUMBER(Training_Prod!V104),ISNUMBER(Training_Prod!V105)),Training!F103+Training_Prod!V104+Training_Prod!V105,"SLO 不可達")</f>
        <v>1518493.4992289</v>
      </c>
      <c r="W106" s="182" t="n">
        <f aca="false">IF(AND(ISNUMBER(Training_Prod!W104),ISNUMBER(Training_Prod!W105)),Training!G103+Training_Prod!W104+Training_Prod!W105,"SLO 不可達")</f>
        <v>4876722.34219832</v>
      </c>
      <c r="X106" s="182" t="n">
        <f aca="false">IF(AND(ISNUMBER(Training_Prod!X104),ISNUMBER(Training_Prod!X105)),Training!H103+Training_Prod!X104+Training_Prod!X105,"SLO 不可達")</f>
        <v>31771312.021635</v>
      </c>
      <c r="Y106" s="182" t="n">
        <f aca="false">IF(AND(ISNUMBER(Training_Prod!Y104),ISNUMBER(Training_Prod!Y105)),Training!I103+Training_Prod!Y104+Training_Prod!Y105,"SLO 不可達")</f>
        <v>1775249.94775683</v>
      </c>
      <c r="Z106" s="182" t="n">
        <f aca="false">IF(AND(ISNUMBER(Training_Prod!Z104),ISNUMBER(Training_Prod!Z105)),Training!J103+Training_Prod!Z104+Training_Prod!Z105,"SLO 不可達")</f>
        <v>5453953.11066573</v>
      </c>
      <c r="AA106" s="182" t="n">
        <f aca="false">IF(AND(ISNUMBER(Training_Prod!AA104),ISNUMBER(Training_Prod!AA105)),Training!K103+Training_Prod!AA104+Training_Prod!AA105,"SLO 不可達")</f>
        <v>34975510.1307514</v>
      </c>
      <c r="AB106" s="182" t="n">
        <f aca="false">IF(AND(ISNUMBER(Training_Prod!AB104),ISNUMBER(Training_Prod!AB105)),Training!L103+Training_Prod!AB104+Training_Prod!AB105,"SLO 不可達")</f>
        <v>704197.648874947</v>
      </c>
      <c r="AC106" s="182" t="n">
        <f aca="false">IF(AND(ISNUMBER(Training_Prod!AC104),ISNUMBER(Training_Prod!AC105)),Training!M103+Training_Prod!AC104+Training_Prod!AC105,"SLO 不可達")</f>
        <v>2051289.25958755</v>
      </c>
      <c r="AD106" s="182" t="n">
        <f aca="false">IF(AND(ISNUMBER(Training_Prod!AD104),ISNUMBER(Training_Prod!AD105)),Training!N103+Training_Prod!AD104+Training_Prod!AD105,"SLO 不可達")</f>
        <v>12784087.465584</v>
      </c>
      <c r="AE106" s="182" t="n">
        <f aca="false">IF(AND(ISNUMBER(Training_Prod!AE104),ISNUMBER(Training_Prod!AE105)),Training!O103+Training_Prod!AE104+Training_Prod!AE105,"SLO 不可達")</f>
        <v>305060.599619606</v>
      </c>
      <c r="AF106" s="182" t="n">
        <f aca="false">IF(AND(ISNUMBER(Training_Prod!AF104),ISNUMBER(Training_Prod!AF105)),Training!P103+Training_Prod!AF104+Training_Prod!AF105,"SLO 不可達")</f>
        <v>919050.37142924</v>
      </c>
      <c r="AG106" s="182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1376</v>
      </c>
      <c r="B120" s="59" t="s">
        <v>1292</v>
      </c>
      <c r="C120" s="182" t="n">
        <f aca="false">IF(AND(ISNUMBER(Training_Prod!C106)),Training_Prod!C106*Training!C119,"SLO 不可達")</f>
        <v>66654680.5168953</v>
      </c>
      <c r="D120" s="182" t="n">
        <f aca="false">IF(AND(ISNUMBER(Training_Prod!D106)),Training_Prod!D106*Training!D119,"SLO 不可達")</f>
        <v>180969032.951087</v>
      </c>
      <c r="E120" s="182" t="n">
        <f aca="false">IF(AND(ISNUMBER(Training_Prod!E106)),Training_Prod!E106*Training!E119,"SLO 不可達")</f>
        <v>1092632929.70995</v>
      </c>
      <c r="F120" s="182" t="n">
        <f aca="false">IF(AND(ISNUMBER(Training_Prod!F106)),Training_Prod!F106*Training!F119,"SLO 不可達")</f>
        <v>12838998.0603286</v>
      </c>
      <c r="G120" s="182" t="n">
        <f aca="false">IF(AND(ISNUMBER(Training_Prod!G106)),Training_Prod!G106*Training!G119,"SLO 不可達")</f>
        <v>40582751.2706397</v>
      </c>
      <c r="H120" s="182" t="n">
        <f aca="false">IF(AND(ISNUMBER(Training_Prod!H106)),Training_Prod!H106*Training!H119,"SLO 不可達")</f>
        <v>262835957.957088</v>
      </c>
      <c r="I120" s="182" t="n">
        <f aca="false">IF(AND(ISNUMBER(Training_Prod!I106)),Training_Prod!I106*Training!I119,"SLO 不可達")</f>
        <v>15328961.5243609</v>
      </c>
      <c r="J120" s="182" t="n">
        <f aca="false">IF(AND(ISNUMBER(Training_Prod!J106)),Training_Prod!J106*Training!J119,"SLO 不可達")</f>
        <v>46176494.1356978</v>
      </c>
      <c r="K120" s="182" t="n">
        <f aca="false">IF(AND(ISNUMBER(Training_Prod!K106)),Training_Prod!K106*Training!K119,"SLO 不可達")</f>
        <v>294009361.8844</v>
      </c>
      <c r="L120" s="182" t="n">
        <f aca="false">IF(AND(ISNUMBER(Training_Prod!L106)),Training_Prod!L106*Training!L119,"SLO 不可達")</f>
        <v>6218682.51550648</v>
      </c>
      <c r="M120" s="182" t="n">
        <f aca="false">IF(AND(ISNUMBER(Training_Prod!M106)),Training_Prod!M106*Training!M119,"SLO 不可達")</f>
        <v>17735123.9679574</v>
      </c>
      <c r="N120" s="182" t="n">
        <f aca="false">IF(AND(ISNUMBER(Training_Prod!N106)),Training_Prod!N106*Training!N119,"SLO 不可達")</f>
        <v>109537349.762214</v>
      </c>
      <c r="O120" s="182" t="n">
        <f aca="false">IF(AND(ISNUMBER(Training_Prod!O106)),Training_Prod!O106*Training!O119,"SLO 不可達")</f>
        <v>2654323.44986071</v>
      </c>
      <c r="P120" s="182" t="n">
        <f aca="false">IF(AND(ISNUMBER(Training_Prod!P106)),Training_Prod!P106*Training!P119,"SLO 不可達")</f>
        <v>7836991.7434063</v>
      </c>
      <c r="Q120" s="182" t="n">
        <f aca="false">IF(AND(ISNUMBER(Training_Prod!Q106)),Training_Prod!Q106*Training!Q119,"SLO 不可達")</f>
        <v>49135903.6134063</v>
      </c>
      <c r="S120" s="182" t="n">
        <f aca="false">IF(AND(ISNUMBER(Training_Prod!S106)),Training_Prod!S106*Training!C119,"SLO 不可達")</f>
        <v>58336555.6480691</v>
      </c>
      <c r="T120" s="182" t="n">
        <f aca="false">IF(AND(ISNUMBER(Training_Prod!T106)),Training_Prod!T106*Training!D119,"SLO 不可達")</f>
        <v>162016339.899227</v>
      </c>
      <c r="U120" s="182" t="n">
        <f aca="false">IF(AND(ISNUMBER(Training_Prod!U106)),Training_Prod!U106*Training!E119,"SLO 不可達")</f>
        <v>986590568.929256</v>
      </c>
      <c r="V120" s="182" t="n">
        <f aca="false">IF(AND(ISNUMBER(Training_Prod!V106)),Training_Prod!V106*Training!F119,"SLO 不可達")</f>
        <v>12147947.9938312</v>
      </c>
      <c r="W120" s="182" t="n">
        <f aca="false">IF(AND(ISNUMBER(Training_Prod!W106)),Training_Prod!W106*Training!G119,"SLO 不可達")</f>
        <v>39013778.7375866</v>
      </c>
      <c r="X120" s="182" t="n">
        <f aca="false">IF(AND(ISNUMBER(Training_Prod!X106)),Training_Prod!X106*Training!H119,"SLO 不可達")</f>
        <v>254170496.17308</v>
      </c>
      <c r="Y120" s="182" t="n">
        <f aca="false">IF(AND(ISNUMBER(Training_Prod!Y106)),Training_Prod!Y106*Training!I119,"SLO 不可達")</f>
        <v>14201999.5820546</v>
      </c>
      <c r="Z120" s="182" t="n">
        <f aca="false">IF(AND(ISNUMBER(Training_Prod!Z106)),Training_Prod!Z106*Training!J119,"SLO 不可達")</f>
        <v>43631624.8853258</v>
      </c>
      <c r="AA120" s="182" t="n">
        <f aca="false">IF(AND(ISNUMBER(Training_Prod!AA106)),Training_Prod!AA106*Training!K119,"SLO 不可達")</f>
        <v>279804081.046011</v>
      </c>
      <c r="AB120" s="182" t="n">
        <f aca="false">IF(AND(ISNUMBER(Training_Prod!AB106)),Training_Prod!AB106*Training!L119,"SLO 不可達")</f>
        <v>5633581.19099958</v>
      </c>
      <c r="AC120" s="182" t="n">
        <f aca="false">IF(AND(ISNUMBER(Training_Prod!AC106)),Training_Prod!AC106*Training!M119,"SLO 不可達")</f>
        <v>16410314.0767004</v>
      </c>
      <c r="AD120" s="182" t="n">
        <f aca="false">IF(AND(ISNUMBER(Training_Prod!AD106)),Training_Prod!AD106*Training!N119,"SLO 不可達")</f>
        <v>102272699.724672</v>
      </c>
      <c r="AE120" s="182" t="n">
        <f aca="false">IF(AND(ISNUMBER(Training_Prod!AE106)),Training_Prod!AE106*Training!O119,"SLO 不可達")</f>
        <v>2440484.79695685</v>
      </c>
      <c r="AF120" s="182" t="n">
        <f aca="false">IF(AND(ISNUMBER(Training_Prod!AF106)),Training_Prod!AF106*Training!P119,"SLO 不可達")</f>
        <v>7352402.97143392</v>
      </c>
      <c r="AG120" s="182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3399</v>
      </c>
    </row>
    <row r="2" customFormat="false" ht="15" hidden="false" customHeight="false" outlineLevel="0" collapsed="false">
      <c r="A2" s="65" t="s">
        <v>3400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90" t="n">
        <f aca="false">Unit_Cost!C6</f>
        <v>1</v>
      </c>
      <c r="D6" s="90" t="n">
        <f aca="false">Unit_Cost!D6</f>
        <v>1</v>
      </c>
      <c r="E6" s="90" t="n">
        <f aca="false">Unit_Cost!E6</f>
        <v>1</v>
      </c>
      <c r="F6" s="90" t="n">
        <f aca="false">Unit_Cost!F6</f>
        <v>2</v>
      </c>
      <c r="G6" s="90" t="n">
        <f aca="false">Unit_Cost!G6</f>
        <v>2</v>
      </c>
      <c r="H6" s="90" t="n">
        <f aca="false">Unit_Cost!H6</f>
        <v>2</v>
      </c>
      <c r="I6" s="90" t="n">
        <f aca="false">Unit_Cost!I6</f>
        <v>3</v>
      </c>
      <c r="J6" s="90" t="n">
        <f aca="false">Unit_Cost!J6</f>
        <v>3</v>
      </c>
      <c r="K6" s="90" t="n">
        <f aca="false">Unit_Cost!K6</f>
        <v>3</v>
      </c>
      <c r="L6" s="90" t="n">
        <f aca="false">Unit_Cost!L6</f>
        <v>4</v>
      </c>
      <c r="M6" s="90" t="n">
        <f aca="false">Unit_Cost!M6</f>
        <v>4</v>
      </c>
      <c r="N6" s="90" t="n">
        <f aca="false">Unit_Cost!N6</f>
        <v>4</v>
      </c>
      <c r="O6" s="90" t="n">
        <f aca="false">Unit_Cost!O6</f>
        <v>5</v>
      </c>
      <c r="P6" s="90" t="n">
        <f aca="false">Unit_Cost!P6</f>
        <v>5</v>
      </c>
      <c r="Q6" s="90" t="n">
        <f aca="false">Unit_Cost!Q6</f>
        <v>5</v>
      </c>
      <c r="S6" s="90" t="n">
        <f aca="false">Unit_Cost!C6</f>
        <v>1</v>
      </c>
      <c r="T6" s="90" t="n">
        <f aca="false">Unit_Cost!D6</f>
        <v>1</v>
      </c>
      <c r="U6" s="90" t="n">
        <f aca="false">Unit_Cost!E6</f>
        <v>1</v>
      </c>
      <c r="V6" s="90" t="n">
        <f aca="false">Unit_Cost!F6</f>
        <v>2</v>
      </c>
      <c r="W6" s="90" t="n">
        <f aca="false">Unit_Cost!G6</f>
        <v>2</v>
      </c>
      <c r="X6" s="90" t="n">
        <f aca="false">Unit_Cost!H6</f>
        <v>2</v>
      </c>
      <c r="Y6" s="90" t="n">
        <f aca="false">Unit_Cost!I6</f>
        <v>3</v>
      </c>
      <c r="Z6" s="90" t="n">
        <f aca="false">Unit_Cost!J6</f>
        <v>3</v>
      </c>
      <c r="AA6" s="90" t="n">
        <f aca="false">Unit_Cost!K6</f>
        <v>3</v>
      </c>
      <c r="AB6" s="90" t="n">
        <f aca="false">Unit_Cost!L6</f>
        <v>4</v>
      </c>
      <c r="AC6" s="90" t="n">
        <f aca="false">Unit_Cost!M6</f>
        <v>4</v>
      </c>
      <c r="AD6" s="90" t="n">
        <f aca="false">Unit_Cost!N6</f>
        <v>4</v>
      </c>
      <c r="AE6" s="90" t="n">
        <f aca="false">Unit_Cost!O6</f>
        <v>5</v>
      </c>
      <c r="AF6" s="90" t="n">
        <f aca="false">Unit_Cost!P6</f>
        <v>5</v>
      </c>
      <c r="AG6" s="90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1053</v>
      </c>
      <c r="B13" s="59" t="s">
        <v>986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1055</v>
      </c>
      <c r="B15" s="59" t="s">
        <v>986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1056</v>
      </c>
      <c r="B16" s="59" t="s">
        <v>1040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1058</v>
      </c>
      <c r="B18" s="59" t="s">
        <v>1040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1053</v>
      </c>
      <c r="B26" s="59" t="s">
        <v>986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1055</v>
      </c>
      <c r="B28" s="59" t="s">
        <v>986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1056</v>
      </c>
      <c r="B29" s="59" t="s">
        <v>1040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1058</v>
      </c>
      <c r="B31" s="59" t="s">
        <v>1040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1053</v>
      </c>
      <c r="B39" s="59" t="s">
        <v>986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1055</v>
      </c>
      <c r="B41" s="59" t="s">
        <v>986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1056</v>
      </c>
      <c r="B42" s="59" t="s">
        <v>1040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1058</v>
      </c>
      <c r="B44" s="59" t="s">
        <v>1040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3401</v>
      </c>
    </row>
    <row r="2" customFormat="false" ht="15" hidden="false" customHeight="false" outlineLevel="0" collapsed="false">
      <c r="A2" s="65" t="s">
        <v>3402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3" t="str">
        <f aca="false">Interface!C4</f>
        <v>Hopper H100</v>
      </c>
      <c r="D4" s="183" t="str">
        <f aca="false">Interface!D4</f>
        <v>Hopper H100</v>
      </c>
      <c r="E4" s="183" t="str">
        <f aca="false">Interface!E4</f>
        <v>Hopper H100</v>
      </c>
      <c r="F4" s="183" t="str">
        <f aca="false">Interface!F4</f>
        <v>GB200 NVL72</v>
      </c>
      <c r="G4" s="183" t="str">
        <f aca="false">Interface!G4</f>
        <v>GB200 NVL72</v>
      </c>
      <c r="H4" s="183" t="str">
        <f aca="false">Interface!H4</f>
        <v>GB200 NVL72</v>
      </c>
      <c r="I4" s="183" t="str">
        <f aca="false">Interface!I4</f>
        <v>GB300 NVL72</v>
      </c>
      <c r="J4" s="183" t="str">
        <f aca="false">Interface!J4</f>
        <v>GB300 NVL72</v>
      </c>
      <c r="K4" s="183" t="str">
        <f aca="false">Interface!K4</f>
        <v>GB300 NVL72</v>
      </c>
      <c r="L4" s="183" t="str">
        <f aca="false">Interface!L4</f>
        <v>VR200 NVL72</v>
      </c>
      <c r="M4" s="183" t="str">
        <f aca="false">Interface!M4</f>
        <v>VR200 NVL72</v>
      </c>
      <c r="N4" s="183" t="str">
        <f aca="false">Interface!N4</f>
        <v>VR200 NVL72</v>
      </c>
      <c r="O4" s="183" t="str">
        <f aca="false">Interface!O4</f>
        <v>Rubin Ultra（MGX NVL 單架，72 GPU）</v>
      </c>
      <c r="P4" s="183" t="str">
        <f aca="false">Interface!P4</f>
        <v>Rubin Ultra（MGX NVL 單架，72 GPU）</v>
      </c>
      <c r="Q4" s="183" t="str">
        <f aca="false">Interface!Q4</f>
        <v>Rubin Ultra（MGX NVL 單架，72 GPU）</v>
      </c>
      <c r="S4" s="183" t="str">
        <f aca="false">Interface!C4</f>
        <v>Hopper H100</v>
      </c>
      <c r="T4" s="183" t="str">
        <f aca="false">Interface!D4</f>
        <v>Hopper H100</v>
      </c>
      <c r="U4" s="183" t="str">
        <f aca="false">Interface!E4</f>
        <v>Hopper H100</v>
      </c>
      <c r="V4" s="183" t="str">
        <f aca="false">Interface!F4</f>
        <v>GB200 NVL72</v>
      </c>
      <c r="W4" s="183" t="str">
        <f aca="false">Interface!G4</f>
        <v>GB200 NVL72</v>
      </c>
      <c r="X4" s="183" t="str">
        <f aca="false">Interface!H4</f>
        <v>GB200 NVL72</v>
      </c>
      <c r="Y4" s="183" t="str">
        <f aca="false">Interface!I4</f>
        <v>GB300 NVL72</v>
      </c>
      <c r="Z4" s="183" t="str">
        <f aca="false">Interface!J4</f>
        <v>GB300 NVL72</v>
      </c>
      <c r="AA4" s="183" t="str">
        <f aca="false">Interface!K4</f>
        <v>GB300 NVL72</v>
      </c>
      <c r="AB4" s="183" t="str">
        <f aca="false">Interface!L4</f>
        <v>VR200 NVL72</v>
      </c>
      <c r="AC4" s="183" t="str">
        <f aca="false">Interface!M4</f>
        <v>VR200 NVL72</v>
      </c>
      <c r="AD4" s="183" t="str">
        <f aca="false">Interface!N4</f>
        <v>VR200 NVL72</v>
      </c>
      <c r="AE4" s="183" t="str">
        <f aca="false">Interface!O4</f>
        <v>Rubin Ultra（MGX NVL 單架，72 GPU）</v>
      </c>
      <c r="AF4" s="183" t="str">
        <f aca="false">Interface!P4</f>
        <v>Rubin Ultra（MGX NVL 單架，72 GPU）</v>
      </c>
      <c r="AG4" s="183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82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82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82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82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82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82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82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82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82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82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82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82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82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82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82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82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82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82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82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82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3403</v>
      </c>
      <c r="B21" s="59" t="s">
        <v>3394</v>
      </c>
      <c r="C21" s="182" t="n">
        <f aca="false">INDEX(Perf_Prod!$C$98:$Q$98,3*(Unit_Cost!C$6-1)+1)</f>
        <v>86407975794.7352</v>
      </c>
      <c r="D21" s="182" t="n">
        <f aca="false">INDEX(Perf_Prod!$C$98:$Q$98,3*(Unit_Cost!D$6-1)+1)</f>
        <v>86407975794.7352</v>
      </c>
      <c r="E21" s="182" t="n">
        <f aca="false">INDEX(Perf_Prod!$C$98:$Q$98,3*(Unit_Cost!E$6-1)+1)</f>
        <v>86407975794.7352</v>
      </c>
      <c r="F21" s="182" t="n">
        <f aca="false">INDEX(Perf_Prod!$C$98:$Q$98,3*(Unit_Cost!F$6-1)+1)</f>
        <v>400266165263.125</v>
      </c>
      <c r="G21" s="182" t="n">
        <f aca="false">INDEX(Perf_Prod!$C$98:$Q$98,3*(Unit_Cost!G$6-1)+1)</f>
        <v>400266165263.125</v>
      </c>
      <c r="H21" s="182" t="n">
        <f aca="false">INDEX(Perf_Prod!$C$98:$Q$98,3*(Unit_Cost!H$6-1)+1)</f>
        <v>400266165263.125</v>
      </c>
      <c r="I21" s="182" t="n">
        <f aca="false">INDEX(Perf_Prod!$C$98:$Q$98,3*(Unit_Cost!I$6-1)+1)</f>
        <v>582737912578.515</v>
      </c>
      <c r="J21" s="182" t="n">
        <f aca="false">INDEX(Perf_Prod!$C$98:$Q$98,3*(Unit_Cost!J$6-1)+1)</f>
        <v>582737912578.515</v>
      </c>
      <c r="K21" s="182" t="n">
        <f aca="false">INDEX(Perf_Prod!$C$98:$Q$98,3*(Unit_Cost!K$6-1)+1)</f>
        <v>582737912578.515</v>
      </c>
      <c r="L21" s="182" t="n">
        <f aca="false">INDEX(Perf_Prod!$C$98:$Q$98,3*(Unit_Cost!L$6-1)+1)</f>
        <v>842649072093.88</v>
      </c>
      <c r="M21" s="182" t="n">
        <f aca="false">INDEX(Perf_Prod!$C$98:$Q$98,3*(Unit_Cost!M$6-1)+1)</f>
        <v>842649072093.88</v>
      </c>
      <c r="N21" s="182" t="n">
        <f aca="false">INDEX(Perf_Prod!$C$98:$Q$98,3*(Unit_Cost!N$6-1)+1)</f>
        <v>842649072093.88</v>
      </c>
      <c r="O21" s="182" t="n">
        <f aca="false">INDEX(Perf_Prod!$C$98:$Q$98,3*(Unit_Cost!O$6-1)+1)</f>
        <v>1135178323762.64</v>
      </c>
      <c r="P21" s="182" t="n">
        <f aca="false">INDEX(Perf_Prod!$C$98:$Q$98,3*(Unit_Cost!P$6-1)+1)</f>
        <v>1135178323762.64</v>
      </c>
      <c r="Q21" s="182" t="n">
        <f aca="false">INDEX(Perf_Prod!$C$98:$Q$98,3*(Unit_Cost!Q$6-1)+1)</f>
        <v>1135178323762.64</v>
      </c>
      <c r="S21" s="182" t="n">
        <f aca="false">INDEX(Perf_Prod!$S$98:$AG$98,3*(Unit_Cost!C$6-1)+1)</f>
        <v>112228240510.472</v>
      </c>
      <c r="T21" s="182" t="n">
        <f aca="false">INDEX(Perf_Prod!$S$98:$AG$98,3*(Unit_Cost!D$6-1)+1)</f>
        <v>112228240510.472</v>
      </c>
      <c r="U21" s="182" t="n">
        <f aca="false">INDEX(Perf_Prod!$S$98:$AG$98,3*(Unit_Cost!E$6-1)+1)</f>
        <v>112228240510.472</v>
      </c>
      <c r="V21" s="182" t="n">
        <f aca="false">INDEX(Perf_Prod!$S$98:$AG$98,3*(Unit_Cost!F$6-1)+1)</f>
        <v>496729138259.007</v>
      </c>
      <c r="W21" s="182" t="n">
        <f aca="false">INDEX(Perf_Prod!$S$98:$AG$98,3*(Unit_Cost!G$6-1)+1)</f>
        <v>496729138259.007</v>
      </c>
      <c r="X21" s="182" t="n">
        <f aca="false">INDEX(Perf_Prod!$S$98:$AG$98,3*(Unit_Cost!H$6-1)+1)</f>
        <v>496729138259.007</v>
      </c>
      <c r="Y21" s="182" t="n">
        <f aca="false">INDEX(Perf_Prod!$S$98:$AG$98,3*(Unit_Cost!I$6-1)+1)</f>
        <v>723176042011.176</v>
      </c>
      <c r="Z21" s="182" t="n">
        <f aca="false">INDEX(Perf_Prod!$S$98:$AG$98,3*(Unit_Cost!J$6-1)+1)</f>
        <v>723176042011.176</v>
      </c>
      <c r="AA21" s="182" t="n">
        <f aca="false">INDEX(Perf_Prod!$S$98:$AG$98,3*(Unit_Cost!K$6-1)+1)</f>
        <v>723176042011.176</v>
      </c>
      <c r="AB21" s="182" t="n">
        <f aca="false">INDEX(Perf_Prod!$S$98:$AG$98,3*(Unit_Cost!L$6-1)+1)</f>
        <v>1043267705667.06</v>
      </c>
      <c r="AC21" s="182" t="n">
        <f aca="false">INDEX(Perf_Prod!$S$98:$AG$98,3*(Unit_Cost!M$6-1)+1)</f>
        <v>1043267705667.06</v>
      </c>
      <c r="AD21" s="182" t="n">
        <f aca="false">INDEX(Perf_Prod!$S$98:$AG$98,3*(Unit_Cost!N$6-1)+1)</f>
        <v>1043267705667.06</v>
      </c>
      <c r="AE21" s="182" t="n">
        <f aca="false">INDEX(Perf_Prod!$S$98:$AG$98,3*(Unit_Cost!O$6-1)+1)</f>
        <v>1404587982526.55</v>
      </c>
      <c r="AF21" s="182" t="n">
        <f aca="false">INDEX(Perf_Prod!$S$98:$AG$98,3*(Unit_Cost!P$6-1)+1)</f>
        <v>1404587982526.55</v>
      </c>
      <c r="AG21" s="182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3404</v>
      </c>
      <c r="B23" s="59" t="s">
        <v>1040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3405</v>
      </c>
      <c r="B25" s="59" t="s">
        <v>1040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3406</v>
      </c>
      <c r="B31" s="59" t="s">
        <v>3394</v>
      </c>
      <c r="C31" s="182" t="n">
        <f aca="false">INDEX(Perf_Prod!$C$98:$Q$98,3*(Unit_Cost!C$6-1)+2)</f>
        <v>26792506585.9425</v>
      </c>
      <c r="D31" s="182" t="n">
        <f aca="false">INDEX(Perf_Prod!$C$98:$Q$98,3*(Unit_Cost!D$6-1)+2)</f>
        <v>26792506585.9425</v>
      </c>
      <c r="E31" s="182" t="n">
        <f aca="false">INDEX(Perf_Prod!$C$98:$Q$98,3*(Unit_Cost!E$6-1)+2)</f>
        <v>26792506585.9425</v>
      </c>
      <c r="F31" s="182" t="n">
        <f aca="false">INDEX(Perf_Prod!$C$98:$Q$98,3*(Unit_Cost!F$6-1)+2)</f>
        <v>119458449692.347</v>
      </c>
      <c r="G31" s="182" t="n">
        <f aca="false">INDEX(Perf_Prod!$C$98:$Q$98,3*(Unit_Cost!G$6-1)+2)</f>
        <v>119458449692.347</v>
      </c>
      <c r="H31" s="182" t="n">
        <f aca="false">INDEX(Perf_Prod!$C$98:$Q$98,3*(Unit_Cost!H$6-1)+2)</f>
        <v>119458449692.347</v>
      </c>
      <c r="I31" s="182" t="n">
        <f aca="false">INDEX(Perf_Prod!$C$98:$Q$98,3*(Unit_Cost!I$6-1)+2)</f>
        <v>173916692578.355</v>
      </c>
      <c r="J31" s="182" t="n">
        <f aca="false">INDEX(Perf_Prod!$C$98:$Q$98,3*(Unit_Cost!J$6-1)+2)</f>
        <v>173916692578.355</v>
      </c>
      <c r="K31" s="182" t="n">
        <f aca="false">INDEX(Perf_Prod!$C$98:$Q$98,3*(Unit_Cost!K$6-1)+2)</f>
        <v>173916692578.355</v>
      </c>
      <c r="L31" s="182" t="n">
        <f aca="false">INDEX(Perf_Prod!$C$98:$Q$98,3*(Unit_Cost!L$6-1)+2)</f>
        <v>262223800714.127</v>
      </c>
      <c r="M31" s="182" t="n">
        <f aca="false">INDEX(Perf_Prod!$C$98:$Q$98,3*(Unit_Cost!M$6-1)+2)</f>
        <v>262223800714.127</v>
      </c>
      <c r="N31" s="182" t="n">
        <f aca="false">INDEX(Perf_Prod!$C$98:$Q$98,3*(Unit_Cost!N$6-1)+2)</f>
        <v>262223800714.127</v>
      </c>
      <c r="O31" s="182" t="n">
        <f aca="false">INDEX(Perf_Prod!$C$98:$Q$98,3*(Unit_Cost!O$6-1)+2)</f>
        <v>357423824607.946</v>
      </c>
      <c r="P31" s="182" t="n">
        <f aca="false">INDEX(Perf_Prod!$C$98:$Q$98,3*(Unit_Cost!P$6-1)+2)</f>
        <v>357423824607.946</v>
      </c>
      <c r="Q31" s="182" t="n">
        <f aca="false">INDEX(Perf_Prod!$C$98:$Q$98,3*(Unit_Cost!Q$6-1)+2)</f>
        <v>357423824607.946</v>
      </c>
      <c r="S31" s="182" t="n">
        <f aca="false">INDEX(Perf_Prod!$S$98:$AG$98,3*(Unit_Cost!C$6-1)+2)</f>
        <v>33634916325.118</v>
      </c>
      <c r="T31" s="182" t="n">
        <f aca="false">INDEX(Perf_Prod!$S$98:$AG$98,3*(Unit_Cost!D$6-1)+2)</f>
        <v>33634916325.118</v>
      </c>
      <c r="U31" s="182" t="n">
        <f aca="false">INDEX(Perf_Prod!$S$98:$AG$98,3*(Unit_Cost!E$6-1)+2)</f>
        <v>33634916325.118</v>
      </c>
      <c r="V31" s="182" t="n">
        <f aca="false">INDEX(Perf_Prod!$S$98:$AG$98,3*(Unit_Cost!F$6-1)+2)</f>
        <v>145846430710.54</v>
      </c>
      <c r="W31" s="182" t="n">
        <f aca="false">INDEX(Perf_Prod!$S$98:$AG$98,3*(Unit_Cost!G$6-1)+2)</f>
        <v>145846430710.54</v>
      </c>
      <c r="X31" s="182" t="n">
        <f aca="false">INDEX(Perf_Prod!$S$98:$AG$98,3*(Unit_Cost!H$6-1)+2)</f>
        <v>145846430710.54</v>
      </c>
      <c r="Y31" s="182" t="n">
        <f aca="false">INDEX(Perf_Prod!$S$98:$AG$98,3*(Unit_Cost!I$6-1)+2)</f>
        <v>212334321421.888</v>
      </c>
      <c r="Z31" s="182" t="n">
        <f aca="false">INDEX(Perf_Prod!$S$98:$AG$98,3*(Unit_Cost!J$6-1)+2)</f>
        <v>212334321421.888</v>
      </c>
      <c r="AA31" s="182" t="n">
        <f aca="false">INDEX(Perf_Prod!$S$98:$AG$98,3*(Unit_Cost!K$6-1)+2)</f>
        <v>212334321421.888</v>
      </c>
      <c r="AB31" s="182" t="n">
        <f aca="false">INDEX(Perf_Prod!$S$98:$AG$98,3*(Unit_Cost!L$6-1)+2)</f>
        <v>318984897819.054</v>
      </c>
      <c r="AC31" s="182" t="n">
        <f aca="false">INDEX(Perf_Prod!$S$98:$AG$98,3*(Unit_Cost!M$6-1)+2)</f>
        <v>318984897819.054</v>
      </c>
      <c r="AD31" s="182" t="n">
        <f aca="false">INDEX(Perf_Prod!$S$98:$AG$98,3*(Unit_Cost!N$6-1)+2)</f>
        <v>318984897819.054</v>
      </c>
      <c r="AE31" s="182" t="n">
        <f aca="false">INDEX(Perf_Prod!$S$98:$AG$98,3*(Unit_Cost!O$6-1)+2)</f>
        <v>434380455314.928</v>
      </c>
      <c r="AF31" s="182" t="n">
        <f aca="false">INDEX(Perf_Prod!$S$98:$AG$98,3*(Unit_Cost!P$6-1)+2)</f>
        <v>434380455314.928</v>
      </c>
      <c r="AG31" s="182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3407</v>
      </c>
      <c r="B33" s="59" t="s">
        <v>1040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3408</v>
      </c>
      <c r="B35" s="59" t="s">
        <v>1040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3409</v>
      </c>
      <c r="B41" s="59" t="s">
        <v>3394</v>
      </c>
      <c r="C41" s="182" t="n">
        <f aca="false">INDEX(Perf_Prod!$C$98:$Q$98,3*(Unit_Cost!C$6-1)+3)</f>
        <v>4922169701.51936</v>
      </c>
      <c r="D41" s="182" t="n">
        <f aca="false">INDEX(Perf_Prod!$C$98:$Q$98,3*(Unit_Cost!D$6-1)+3)</f>
        <v>4922169701.51936</v>
      </c>
      <c r="E41" s="182" t="n">
        <f aca="false">INDEX(Perf_Prod!$C$98:$Q$98,3*(Unit_Cost!E$6-1)+3)</f>
        <v>4922169701.51936</v>
      </c>
      <c r="F41" s="182" t="n">
        <f aca="false">INDEX(Perf_Prod!$C$98:$Q$98,3*(Unit_Cost!F$6-1)+3)</f>
        <v>23355876543.356</v>
      </c>
      <c r="G41" s="182" t="n">
        <f aca="false">INDEX(Perf_Prod!$C$98:$Q$98,3*(Unit_Cost!G$6-1)+3)</f>
        <v>23355876543.356</v>
      </c>
      <c r="H41" s="182" t="n">
        <f aca="false">INDEX(Perf_Prod!$C$98:$Q$98,3*(Unit_Cost!H$6-1)+3)</f>
        <v>23355876543.356</v>
      </c>
      <c r="I41" s="182" t="n">
        <f aca="false">INDEX(Perf_Prod!$C$98:$Q$98,3*(Unit_Cost!I$6-1)+3)</f>
        <v>30467960042.7945</v>
      </c>
      <c r="J41" s="182" t="n">
        <f aca="false">INDEX(Perf_Prod!$C$98:$Q$98,3*(Unit_Cost!J$6-1)+3)</f>
        <v>30467960042.7945</v>
      </c>
      <c r="K41" s="182" t="n">
        <f aca="false">INDEX(Perf_Prod!$C$98:$Q$98,3*(Unit_Cost!K$6-1)+3)</f>
        <v>30467960042.7945</v>
      </c>
      <c r="L41" s="182" t="n">
        <f aca="false">INDEX(Perf_Prod!$C$98:$Q$98,3*(Unit_Cost!L$6-1)+3)</f>
        <v>55366124692.1116</v>
      </c>
      <c r="M41" s="182" t="n">
        <f aca="false">INDEX(Perf_Prod!$C$98:$Q$98,3*(Unit_Cost!M$6-1)+3)</f>
        <v>55366124692.1116</v>
      </c>
      <c r="N41" s="182" t="n">
        <f aca="false">INDEX(Perf_Prod!$C$98:$Q$98,3*(Unit_Cost!N$6-1)+3)</f>
        <v>55366124692.1116</v>
      </c>
      <c r="O41" s="182" t="n">
        <f aca="false">INDEX(Perf_Prod!$C$98:$Q$98,3*(Unit_Cost!O$6-1)+3)</f>
        <v>78738073685.4024</v>
      </c>
      <c r="P41" s="182" t="n">
        <f aca="false">INDEX(Perf_Prod!$C$98:$Q$98,3*(Unit_Cost!P$6-1)+3)</f>
        <v>78738073685.4024</v>
      </c>
      <c r="Q41" s="182" t="n">
        <f aca="false">INDEX(Perf_Prod!$C$98:$Q$98,3*(Unit_Cost!Q$6-1)+3)</f>
        <v>78738073685.4024</v>
      </c>
      <c r="S41" s="182" t="n">
        <f aca="false">INDEX(Perf_Prod!$S$98:$AG$98,3*(Unit_Cost!C$6-1)+3)</f>
        <v>6809025705.99183</v>
      </c>
      <c r="T41" s="182" t="n">
        <f aca="false">INDEX(Perf_Prod!$S$98:$AG$98,3*(Unit_Cost!D$6-1)+3)</f>
        <v>6809025705.99183</v>
      </c>
      <c r="U41" s="182" t="n">
        <f aca="false">INDEX(Perf_Prod!$S$98:$AG$98,3*(Unit_Cost!E$6-1)+3)</f>
        <v>6809025705.99183</v>
      </c>
      <c r="V41" s="182" t="n">
        <f aca="false">INDEX(Perf_Prod!$S$98:$AG$98,3*(Unit_Cost!F$6-1)+3)</f>
        <v>29767762827.5194</v>
      </c>
      <c r="W41" s="182" t="n">
        <f aca="false">INDEX(Perf_Prod!$S$98:$AG$98,3*(Unit_Cost!G$6-1)+3)</f>
        <v>29767762827.5194</v>
      </c>
      <c r="X41" s="182" t="n">
        <f aca="false">INDEX(Perf_Prod!$S$98:$AG$98,3*(Unit_Cost!H$6-1)+3)</f>
        <v>29767762827.5194</v>
      </c>
      <c r="Y41" s="182" t="n">
        <f aca="false">INDEX(Perf_Prod!$S$98:$AG$98,3*(Unit_Cost!I$6-1)+3)</f>
        <v>39257828144.5082</v>
      </c>
      <c r="Z41" s="182" t="n">
        <f aca="false">INDEX(Perf_Prod!$S$98:$AG$98,3*(Unit_Cost!J$6-1)+3)</f>
        <v>39257828144.5082</v>
      </c>
      <c r="AA41" s="182" t="n">
        <f aca="false">INDEX(Perf_Prod!$S$98:$AG$98,3*(Unit_Cost!K$6-1)+3)</f>
        <v>39257828144.5082</v>
      </c>
      <c r="AB41" s="182" t="n">
        <f aca="false">INDEX(Perf_Prod!$S$98:$AG$98,3*(Unit_Cost!L$6-1)+3)</f>
        <v>69625193603.6778</v>
      </c>
      <c r="AC41" s="182" t="n">
        <f aca="false">INDEX(Perf_Prod!$S$98:$AG$98,3*(Unit_Cost!M$6-1)+3)</f>
        <v>69625193603.6778</v>
      </c>
      <c r="AD41" s="182" t="n">
        <f aca="false">INDEX(Perf_Prod!$S$98:$AG$98,3*(Unit_Cost!N$6-1)+3)</f>
        <v>69625193603.6778</v>
      </c>
      <c r="AE41" s="182" t="n">
        <f aca="false">INDEX(Perf_Prod!$S$98:$AG$98,3*(Unit_Cost!O$6-1)+3)</f>
        <v>98521567397.5749</v>
      </c>
      <c r="AF41" s="182" t="n">
        <f aca="false">INDEX(Perf_Prod!$S$98:$AG$98,3*(Unit_Cost!P$6-1)+3)</f>
        <v>98521567397.5749</v>
      </c>
      <c r="AG41" s="182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3410</v>
      </c>
      <c r="B43" s="59" t="s">
        <v>1040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3411</v>
      </c>
      <c r="B45" s="59" t="s">
        <v>1040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1" t="s">
        <v>3412</v>
      </c>
      <c r="B60" s="59" t="s">
        <v>1087</v>
      </c>
      <c r="C60" s="182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82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82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82" t="n">
        <f aca="false">IF(ISNUMBER(INDEX(Training_Prod!$C$120:$Q$120,3*(Unit_Cost!F$6-1)+1)),INDEX(Training_Prod!$C$120:$Q$120,3*(Unit_Cost!F$6-1)+1)*Unit_Cost!F$8/1000000,INDEX(Training_Prod!$C$120:$Q$120,3*(Unit_Cost!F$6-1)+1))</f>
        <v>19.3127822270601</v>
      </c>
      <c r="G60" s="182" t="n">
        <f aca="false">IF(ISNUMBER(INDEX(Training_Prod!$C$120:$Q$120,3*(Unit_Cost!G$6-1)+1)),INDEX(Training_Prod!$C$120:$Q$120,3*(Unit_Cost!G$6-1)+1)*Unit_Cost!G$8/1000000,INDEX(Training_Prod!$C$120:$Q$120,3*(Unit_Cost!G$6-1)+1))</f>
        <v>25.786626838576</v>
      </c>
      <c r="H60" s="182" t="n">
        <f aca="false">IF(ISNUMBER(INDEX(Training_Prod!$C$120:$Q$120,3*(Unit_Cost!H$6-1)+1)),INDEX(Training_Prod!$C$120:$Q$120,3*(Unit_Cost!H$6-1)+1)*Unit_Cost!H$8/1000000,INDEX(Training_Prod!$C$120:$Q$120,3*(Unit_Cost!H$6-1)+1))</f>
        <v>41.8238357750443</v>
      </c>
      <c r="I60" s="182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82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82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82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82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82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82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82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82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82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82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82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82" t="n">
        <f aca="false">IF(ISNUMBER(INDEX(Training_Prod!$S$120:$AG$120,3*(Unit_Cost!F$6-1)+1)),INDEX(Training_Prod!$S$120:$AG$120,3*(Unit_Cost!F$6-1)+1)*Unit_Cost!F$8/1000000,INDEX(Training_Prod!$S$120:$AG$120,3*(Unit_Cost!F$6-1)+1))</f>
        <v>18.2732852679089</v>
      </c>
      <c r="W60" s="182" t="n">
        <f aca="false">IF(ISNUMBER(INDEX(Training_Prod!$S$120:$AG$120,3*(Unit_Cost!G$6-1)+1)),INDEX(Training_Prod!$S$120:$AG$120,3*(Unit_Cost!G$6-1)+1)*Unit_Cost!G$8/1000000,INDEX(Training_Prod!$S$120:$AG$120,3*(Unit_Cost!G$6-1)+1))</f>
        <v>24.3986797333728</v>
      </c>
      <c r="X60" s="182" t="n">
        <f aca="false">IF(ISNUMBER(INDEX(Training_Prod!$S$120:$AG$120,3*(Unit_Cost!H$6-1)+1)),INDEX(Training_Prod!$S$120:$AG$120,3*(Unit_Cost!H$6-1)+1)*Unit_Cost!H$8/1000000,INDEX(Training_Prod!$S$120:$AG$120,3*(Unit_Cost!H$6-1)+1))</f>
        <v>39.5726971458684</v>
      </c>
      <c r="Y60" s="182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82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82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82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82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82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82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82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82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3413</v>
      </c>
      <c r="B69" s="59" t="s">
        <v>1087</v>
      </c>
      <c r="C69" s="182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82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82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82" t="n">
        <f aca="false">IF(ISNUMBER(INDEX(Training_Prod!$C$120:$Q$120,3*(Unit_Cost!F$6-1)+2)),INDEX(Training_Prod!$C$120:$Q$120,3*(Unit_Cost!F$6-1)+2)*Unit_Cost!F$8/1000000,INDEX(Training_Prod!$C$120:$Q$120,3*(Unit_Cost!F$6-1)+2))</f>
        <v>61.0457166347413</v>
      </c>
      <c r="G69" s="182" t="n">
        <f aca="false">IF(ISNUMBER(INDEX(Training_Prod!$C$120:$Q$120,3*(Unit_Cost!G$6-1)+2)),INDEX(Training_Prod!$C$120:$Q$120,3*(Unit_Cost!G$6-1)+2)*Unit_Cost!G$8/1000000,INDEX(Training_Prod!$C$120:$Q$120,3*(Unit_Cost!G$6-1)+2))</f>
        <v>81.508873058584</v>
      </c>
      <c r="H69" s="182" t="n">
        <f aca="false">IF(ISNUMBER(INDEX(Training_Prod!$C$120:$Q$120,3*(Unit_Cost!H$6-1)+2)),INDEX(Training_Prod!$C$120:$Q$120,3*(Unit_Cost!H$6-1)+2)*Unit_Cost!H$8/1000000,INDEX(Training_Prod!$C$120:$Q$120,3*(Unit_Cost!H$6-1)+2))</f>
        <v>132.200839696931</v>
      </c>
      <c r="I69" s="182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82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82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82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82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82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82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82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82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82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82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82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82" t="n">
        <f aca="false">IF(ISNUMBER(INDEX(Training_Prod!$S$120:$AG$120,3*(Unit_Cost!F$6-1)+2)),INDEX(Training_Prod!$S$120:$AG$120,3*(Unit_Cost!F$6-1)+2)*Unit_Cost!F$8/1000000,INDEX(Training_Prod!$S$120:$AG$120,3*(Unit_Cost!F$6-1)+2))</f>
        <v>58.6856239928768</v>
      </c>
      <c r="W69" s="182" t="n">
        <f aca="false">IF(ISNUMBER(INDEX(Training_Prod!$S$120:$AG$120,3*(Unit_Cost!G$6-1)+2)),INDEX(Training_Prod!$S$120:$AG$120,3*(Unit_Cost!G$6-1)+2)*Unit_Cost!G$8/1000000,INDEX(Training_Prod!$S$120:$AG$120,3*(Unit_Cost!G$6-1)+2))</f>
        <v>78.3576529213344</v>
      </c>
      <c r="X69" s="182" t="n">
        <f aca="false">IF(ISNUMBER(INDEX(Training_Prod!$S$120:$AG$120,3*(Unit_Cost!H$6-1)+2)),INDEX(Training_Prod!$S$120:$AG$120,3*(Unit_Cost!H$6-1)+2)*Unit_Cost!H$8/1000000,INDEX(Training_Prod!$S$120:$AG$120,3*(Unit_Cost!H$6-1)+2))</f>
        <v>127.089813957256</v>
      </c>
      <c r="Y69" s="182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82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82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82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82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82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82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82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82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3414</v>
      </c>
      <c r="B78" s="59" t="s">
        <v>1087</v>
      </c>
      <c r="C78" s="182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82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82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82" t="n">
        <f aca="false">IF(ISNUMBER(INDEX(Training_Prod!$C$120:$Q$120,3*(Unit_Cost!F$6-1)+3)),INDEX(Training_Prod!$C$120:$Q$120,3*(Unit_Cost!F$6-1)+3)*Unit_Cost!F$8/1000000,INDEX(Training_Prod!$C$120:$Q$120,3*(Unit_Cost!F$6-1)+3))</f>
        <v>395.365245295165</v>
      </c>
      <c r="G78" s="182" t="n">
        <f aca="false">IF(ISNUMBER(INDEX(Training_Prod!$C$120:$Q$120,3*(Unit_Cost!G$6-1)+3)),INDEX(Training_Prod!$C$120:$Q$120,3*(Unit_Cost!G$6-1)+3)*Unit_Cost!G$8/1000000,INDEX(Training_Prod!$C$120:$Q$120,3*(Unit_Cost!G$6-1)+3))</f>
        <v>527.895770039986</v>
      </c>
      <c r="H78" s="182" t="n">
        <f aca="false">IF(ISNUMBER(INDEX(Training_Prod!$C$120:$Q$120,3*(Unit_Cost!H$6-1)+3)),INDEX(Training_Prod!$C$120:$Q$120,3*(Unit_Cost!H$6-1)+3)*Unit_Cost!H$8/1000000,INDEX(Training_Prod!$C$120:$Q$120,3*(Unit_Cost!H$6-1)+3))</f>
        <v>856.204502074077</v>
      </c>
      <c r="I78" s="182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82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82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82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82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82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82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82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82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82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82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82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82" t="n">
        <f aca="false">IF(ISNUMBER(INDEX(Training_Prod!$S$120:$AG$120,3*(Unit_Cost!F$6-1)+3)),INDEX(Training_Prod!$S$120:$AG$120,3*(Unit_Cost!F$6-1)+3)*Unit_Cost!F$8/1000000,INDEX(Training_Prod!$S$120:$AG$120,3*(Unit_Cost!F$6-1)+3))</f>
        <v>382.330413796237</v>
      </c>
      <c r="W78" s="182" t="n">
        <f aca="false">IF(ISNUMBER(INDEX(Training_Prod!$S$120:$AG$120,3*(Unit_Cost!G$6-1)+3)),INDEX(Training_Prod!$S$120:$AG$120,3*(Unit_Cost!G$6-1)+3)*Unit_Cost!G$8/1000000,INDEX(Training_Prod!$S$120:$AG$120,3*(Unit_Cost!G$6-1)+3))</f>
        <v>510.491528029966</v>
      </c>
      <c r="X78" s="182" t="n">
        <f aca="false">IF(ISNUMBER(INDEX(Training_Prod!$S$120:$AG$120,3*(Unit_Cost!H$6-1)+3)),INDEX(Training_Prod!$S$120:$AG$120,3*(Unit_Cost!H$6-1)+3)*Unit_Cost!H$8/1000000,INDEX(Training_Prod!$S$120:$AG$120,3*(Unit_Cost!H$6-1)+3))</f>
        <v>827.976220640721</v>
      </c>
      <c r="Y78" s="182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82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82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82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82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82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82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82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82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3415</v>
      </c>
    </row>
    <row r="2" customFormat="false" ht="15" hidden="false" customHeight="false" outlineLevel="0" collapsed="false">
      <c r="A2" s="65" t="s">
        <v>3416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90" t="n">
        <f aca="false">Fleet_1GW!C6</f>
        <v>1</v>
      </c>
      <c r="D6" s="90" t="n">
        <f aca="false">Fleet_1GW!D6</f>
        <v>1</v>
      </c>
      <c r="E6" s="90" t="n">
        <f aca="false">Fleet_1GW!E6</f>
        <v>1</v>
      </c>
      <c r="F6" s="90" t="n">
        <f aca="false">Fleet_1GW!F6</f>
        <v>2</v>
      </c>
      <c r="G6" s="90" t="n">
        <f aca="false">Fleet_1GW!G6</f>
        <v>2</v>
      </c>
      <c r="H6" s="90" t="n">
        <f aca="false">Fleet_1GW!H6</f>
        <v>2</v>
      </c>
      <c r="I6" s="90" t="n">
        <f aca="false">Fleet_1GW!I6</f>
        <v>3</v>
      </c>
      <c r="J6" s="90" t="n">
        <f aca="false">Fleet_1GW!J6</f>
        <v>3</v>
      </c>
      <c r="K6" s="90" t="n">
        <f aca="false">Fleet_1GW!K6</f>
        <v>3</v>
      </c>
      <c r="L6" s="90" t="n">
        <f aca="false">Fleet_1GW!L6</f>
        <v>4</v>
      </c>
      <c r="M6" s="90" t="n">
        <f aca="false">Fleet_1GW!M6</f>
        <v>4</v>
      </c>
      <c r="N6" s="90" t="n">
        <f aca="false">Fleet_1GW!N6</f>
        <v>4</v>
      </c>
      <c r="O6" s="90" t="n">
        <f aca="false">Fleet_1GW!O6</f>
        <v>5</v>
      </c>
      <c r="P6" s="90" t="n">
        <f aca="false">Fleet_1GW!P6</f>
        <v>5</v>
      </c>
      <c r="Q6" s="90" t="n">
        <f aca="false">Fleet_1GW!Q6</f>
        <v>5</v>
      </c>
      <c r="S6" s="90" t="n">
        <f aca="false">Fleet_1GW!C6</f>
        <v>1</v>
      </c>
      <c r="T6" s="90" t="n">
        <f aca="false">Fleet_1GW!D6</f>
        <v>1</v>
      </c>
      <c r="U6" s="90" t="n">
        <f aca="false">Fleet_1GW!E6</f>
        <v>1</v>
      </c>
      <c r="V6" s="90" t="n">
        <f aca="false">Fleet_1GW!F6</f>
        <v>2</v>
      </c>
      <c r="W6" s="90" t="n">
        <f aca="false">Fleet_1GW!G6</f>
        <v>2</v>
      </c>
      <c r="X6" s="90" t="n">
        <f aca="false">Fleet_1GW!H6</f>
        <v>2</v>
      </c>
      <c r="Y6" s="90" t="n">
        <f aca="false">Fleet_1GW!I6</f>
        <v>3</v>
      </c>
      <c r="Z6" s="90" t="n">
        <f aca="false">Fleet_1GW!J6</f>
        <v>3</v>
      </c>
      <c r="AA6" s="90" t="n">
        <f aca="false">Fleet_1GW!K6</f>
        <v>3</v>
      </c>
      <c r="AB6" s="90" t="n">
        <f aca="false">Fleet_1GW!L6</f>
        <v>4</v>
      </c>
      <c r="AC6" s="90" t="n">
        <f aca="false">Fleet_1GW!M6</f>
        <v>4</v>
      </c>
      <c r="AD6" s="90" t="n">
        <f aca="false">Fleet_1GW!N6</f>
        <v>4</v>
      </c>
      <c r="AE6" s="90" t="n">
        <f aca="false">Fleet_1GW!O6</f>
        <v>5</v>
      </c>
      <c r="AF6" s="90" t="n">
        <f aca="false">Fleet_1GW!P6</f>
        <v>5</v>
      </c>
      <c r="AG6" s="90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90" t="n">
        <f aca="false">Fleet_1GW!C7</f>
        <v>1</v>
      </c>
      <c r="D7" s="90" t="n">
        <f aca="false">Fleet_1GW!D7</f>
        <v>2</v>
      </c>
      <c r="E7" s="90" t="n">
        <f aca="false">Fleet_1GW!E7</f>
        <v>3</v>
      </c>
      <c r="F7" s="90" t="n">
        <f aca="false">Fleet_1GW!F7</f>
        <v>4</v>
      </c>
      <c r="G7" s="90" t="n">
        <f aca="false">Fleet_1GW!G7</f>
        <v>5</v>
      </c>
      <c r="H7" s="90" t="n">
        <f aca="false">Fleet_1GW!H7</f>
        <v>6</v>
      </c>
      <c r="I7" s="90" t="n">
        <f aca="false">Fleet_1GW!I7</f>
        <v>7</v>
      </c>
      <c r="J7" s="90" t="n">
        <f aca="false">Fleet_1GW!J7</f>
        <v>8</v>
      </c>
      <c r="K7" s="90" t="n">
        <f aca="false">Fleet_1GW!K7</f>
        <v>9</v>
      </c>
      <c r="L7" s="90" t="n">
        <f aca="false">Fleet_1GW!L7</f>
        <v>10</v>
      </c>
      <c r="M7" s="90" t="n">
        <f aca="false">Fleet_1GW!M7</f>
        <v>11</v>
      </c>
      <c r="N7" s="90" t="n">
        <f aca="false">Fleet_1GW!N7</f>
        <v>12</v>
      </c>
      <c r="O7" s="90" t="n">
        <f aca="false">Fleet_1GW!O7</f>
        <v>13</v>
      </c>
      <c r="P7" s="90" t="n">
        <f aca="false">Fleet_1GW!P7</f>
        <v>14</v>
      </c>
      <c r="Q7" s="90" t="n">
        <f aca="false">Fleet_1GW!Q7</f>
        <v>15</v>
      </c>
      <c r="S7" s="90" t="n">
        <f aca="false">Fleet_1GW!C7</f>
        <v>1</v>
      </c>
      <c r="T7" s="90" t="n">
        <f aca="false">Fleet_1GW!D7</f>
        <v>2</v>
      </c>
      <c r="U7" s="90" t="n">
        <f aca="false">Fleet_1GW!E7</f>
        <v>3</v>
      </c>
      <c r="V7" s="90" t="n">
        <f aca="false">Fleet_1GW!F7</f>
        <v>4</v>
      </c>
      <c r="W7" s="90" t="n">
        <f aca="false">Fleet_1GW!G7</f>
        <v>5</v>
      </c>
      <c r="X7" s="90" t="n">
        <f aca="false">Fleet_1GW!H7</f>
        <v>6</v>
      </c>
      <c r="Y7" s="90" t="n">
        <f aca="false">Fleet_1GW!I7</f>
        <v>7</v>
      </c>
      <c r="Z7" s="90" t="n">
        <f aca="false">Fleet_1GW!J7</f>
        <v>8</v>
      </c>
      <c r="AA7" s="90" t="n">
        <f aca="false">Fleet_1GW!K7</f>
        <v>9</v>
      </c>
      <c r="AB7" s="90" t="n">
        <f aca="false">Fleet_1GW!L7</f>
        <v>10</v>
      </c>
      <c r="AC7" s="90" t="n">
        <f aca="false">Fleet_1GW!M7</f>
        <v>11</v>
      </c>
      <c r="AD7" s="90" t="n">
        <f aca="false">Fleet_1GW!N7</f>
        <v>12</v>
      </c>
      <c r="AE7" s="90" t="n">
        <f aca="false">Fleet_1GW!O7</f>
        <v>13</v>
      </c>
      <c r="AF7" s="90" t="n">
        <f aca="false">Fleet_1GW!P7</f>
        <v>14</v>
      </c>
      <c r="AG7" s="90" t="n">
        <f aca="false">Fleet_1GW!Q7</f>
        <v>15</v>
      </c>
    </row>
    <row r="18" customFormat="false" ht="15" hidden="false" customHeight="false" outlineLevel="0" collapsed="false">
      <c r="A18" s="61" t="s">
        <v>2179</v>
      </c>
      <c r="B18" s="65" t="s">
        <v>2180</v>
      </c>
      <c r="C18" s="90" t="n">
        <f aca="false">IF(AND(Fleet_1GW_Prod!C41&gt;0,Fleet_1GW_Prod!C42&gt;0),1,0)</f>
        <v>1</v>
      </c>
      <c r="D18" s="90" t="n">
        <f aca="false">IF(AND(Fleet_1GW_Prod!D41&gt;0,Fleet_1GW_Prod!D42&gt;0),1,0)</f>
        <v>1</v>
      </c>
      <c r="E18" s="90" t="n">
        <f aca="false">IF(AND(Fleet_1GW_Prod!E41&gt;0,Fleet_1GW_Prod!E42&gt;0),1,0)</f>
        <v>1</v>
      </c>
      <c r="F18" s="90" t="n">
        <f aca="false">IF(AND(Fleet_1GW_Prod!F41&gt;0,Fleet_1GW_Prod!F42&gt;0),1,0)</f>
        <v>1</v>
      </c>
      <c r="G18" s="90" t="n">
        <f aca="false">IF(AND(Fleet_1GW_Prod!G41&gt;0,Fleet_1GW_Prod!G42&gt;0),1,0)</f>
        <v>1</v>
      </c>
      <c r="H18" s="90" t="n">
        <f aca="false">IF(AND(Fleet_1GW_Prod!H41&gt;0,Fleet_1GW_Prod!H42&gt;0),1,0)</f>
        <v>1</v>
      </c>
      <c r="I18" s="90" t="n">
        <f aca="false">IF(AND(Fleet_1GW_Prod!I41&gt;0,Fleet_1GW_Prod!I42&gt;0),1,0)</f>
        <v>1</v>
      </c>
      <c r="J18" s="90" t="n">
        <f aca="false">IF(AND(Fleet_1GW_Prod!J41&gt;0,Fleet_1GW_Prod!J42&gt;0),1,0)</f>
        <v>1</v>
      </c>
      <c r="K18" s="90" t="n">
        <f aca="false">IF(AND(Fleet_1GW_Prod!K41&gt;0,Fleet_1GW_Prod!K42&gt;0),1,0)</f>
        <v>1</v>
      </c>
      <c r="L18" s="90" t="n">
        <f aca="false">IF(AND(Fleet_1GW_Prod!L41&gt;0,Fleet_1GW_Prod!L42&gt;0),1,0)</f>
        <v>1</v>
      </c>
      <c r="M18" s="90" t="n">
        <f aca="false">IF(AND(Fleet_1GW_Prod!M41&gt;0,Fleet_1GW_Prod!M42&gt;0),1,0)</f>
        <v>1</v>
      </c>
      <c r="N18" s="90" t="n">
        <f aca="false">IF(AND(Fleet_1GW_Prod!N41&gt;0,Fleet_1GW_Prod!N42&gt;0),1,0)</f>
        <v>1</v>
      </c>
      <c r="O18" s="90" t="n">
        <f aca="false">IF(AND(Fleet_1GW_Prod!O41&gt;0,Fleet_1GW_Prod!O42&gt;0),1,0)</f>
        <v>1</v>
      </c>
      <c r="P18" s="90" t="n">
        <f aca="false">IF(AND(Fleet_1GW_Prod!P41&gt;0,Fleet_1GW_Prod!P42&gt;0),1,0)</f>
        <v>1</v>
      </c>
      <c r="Q18" s="90" t="n">
        <f aca="false">IF(AND(Fleet_1GW_Prod!Q41&gt;0,Fleet_1GW_Prod!Q42&gt;0),1,0)</f>
        <v>1</v>
      </c>
      <c r="S18" s="90" t="n">
        <f aca="false">IF(AND(Fleet_1GW_Prod!S41&gt;0,Fleet_1GW_Prod!S42&gt;0),1,0)</f>
        <v>1</v>
      </c>
      <c r="T18" s="90" t="n">
        <f aca="false">IF(AND(Fleet_1GW_Prod!T41&gt;0,Fleet_1GW_Prod!T42&gt;0),1,0)</f>
        <v>1</v>
      </c>
      <c r="U18" s="90" t="n">
        <f aca="false">IF(AND(Fleet_1GW_Prod!U41&gt;0,Fleet_1GW_Prod!U42&gt;0),1,0)</f>
        <v>1</v>
      </c>
      <c r="V18" s="90" t="n">
        <f aca="false">IF(AND(Fleet_1GW_Prod!V41&gt;0,Fleet_1GW_Prod!V42&gt;0),1,0)</f>
        <v>1</v>
      </c>
      <c r="W18" s="90" t="n">
        <f aca="false">IF(AND(Fleet_1GW_Prod!W41&gt;0,Fleet_1GW_Prod!W42&gt;0),1,0)</f>
        <v>1</v>
      </c>
      <c r="X18" s="90" t="n">
        <f aca="false">IF(AND(Fleet_1GW_Prod!X41&gt;0,Fleet_1GW_Prod!X42&gt;0),1,0)</f>
        <v>1</v>
      </c>
      <c r="Y18" s="90" t="n">
        <f aca="false">IF(AND(Fleet_1GW_Prod!Y41&gt;0,Fleet_1GW_Prod!Y42&gt;0),1,0)</f>
        <v>1</v>
      </c>
      <c r="Z18" s="90" t="n">
        <f aca="false">IF(AND(Fleet_1GW_Prod!Z41&gt;0,Fleet_1GW_Prod!Z42&gt;0),1,0)</f>
        <v>1</v>
      </c>
      <c r="AA18" s="90" t="n">
        <f aca="false">IF(AND(Fleet_1GW_Prod!AA41&gt;0,Fleet_1GW_Prod!AA42&gt;0),1,0)</f>
        <v>1</v>
      </c>
      <c r="AB18" s="90" t="n">
        <f aca="false">IF(AND(Fleet_1GW_Prod!AB41&gt;0,Fleet_1GW_Prod!AB42&gt;0),1,0)</f>
        <v>1</v>
      </c>
      <c r="AC18" s="90" t="n">
        <f aca="false">IF(AND(Fleet_1GW_Prod!AC41&gt;0,Fleet_1GW_Prod!AC42&gt;0),1,0)</f>
        <v>1</v>
      </c>
      <c r="AD18" s="90" t="n">
        <f aca="false">IF(AND(Fleet_1GW_Prod!AD41&gt;0,Fleet_1GW_Prod!AD42&gt;0),1,0)</f>
        <v>1</v>
      </c>
      <c r="AE18" s="90" t="n">
        <f aca="false">IF(AND(Fleet_1GW_Prod!AE41&gt;0,Fleet_1GW_Prod!AE42&gt;0),1,0)</f>
        <v>1</v>
      </c>
      <c r="AF18" s="90" t="n">
        <f aca="false">IF(AND(Fleet_1GW_Prod!AF41&gt;0,Fleet_1GW_Prod!AF42&gt;0),1,0)</f>
        <v>1</v>
      </c>
      <c r="AG18" s="90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2181</v>
      </c>
      <c r="B19" s="59" t="s">
        <v>3394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2183</v>
      </c>
      <c r="B21" s="59" t="s">
        <v>3394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2187</v>
      </c>
      <c r="B24" s="59" t="s">
        <v>3394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2191</v>
      </c>
      <c r="B27" s="59" t="s">
        <v>3394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2203</v>
      </c>
      <c r="B38" s="65" t="s">
        <v>2180</v>
      </c>
      <c r="C38" s="90" t="n">
        <f aca="false">IF(ISNUMBER(INDEX(Interface_Prod!$C$21:$Q$21,1,Fleet_1GW!C$7)),IF(INDEX(Interface_Prod!$C$21:$Q$21,1,Fleet_1GW!C$7)&gt;0,1,0),0)</f>
        <v>1</v>
      </c>
      <c r="D38" s="90" t="n">
        <f aca="false">IF(ISNUMBER(INDEX(Interface_Prod!$C$21:$Q$21,1,Fleet_1GW!D$7)),IF(INDEX(Interface_Prod!$C$21:$Q$21,1,Fleet_1GW!D$7)&gt;0,1,0),0)</f>
        <v>1</v>
      </c>
      <c r="E38" s="90" t="n">
        <f aca="false">IF(ISNUMBER(INDEX(Interface_Prod!$C$21:$Q$21,1,Fleet_1GW!E$7)),IF(INDEX(Interface_Prod!$C$21:$Q$21,1,Fleet_1GW!E$7)&gt;0,1,0),0)</f>
        <v>1</v>
      </c>
      <c r="F38" s="90" t="n">
        <f aca="false">IF(ISNUMBER(INDEX(Interface_Prod!$C$21:$Q$21,1,Fleet_1GW!F$7)),IF(INDEX(Interface_Prod!$C$21:$Q$21,1,Fleet_1GW!F$7)&gt;0,1,0),0)</f>
        <v>1</v>
      </c>
      <c r="G38" s="90" t="n">
        <f aca="false">IF(ISNUMBER(INDEX(Interface_Prod!$C$21:$Q$21,1,Fleet_1GW!G$7)),IF(INDEX(Interface_Prod!$C$21:$Q$21,1,Fleet_1GW!G$7)&gt;0,1,0),0)</f>
        <v>1</v>
      </c>
      <c r="H38" s="90" t="n">
        <f aca="false">IF(ISNUMBER(INDEX(Interface_Prod!$C$21:$Q$21,1,Fleet_1GW!H$7)),IF(INDEX(Interface_Prod!$C$21:$Q$21,1,Fleet_1GW!H$7)&gt;0,1,0),0)</f>
        <v>1</v>
      </c>
      <c r="I38" s="90" t="n">
        <f aca="false">IF(ISNUMBER(INDEX(Interface_Prod!$C$21:$Q$21,1,Fleet_1GW!I$7)),IF(INDEX(Interface_Prod!$C$21:$Q$21,1,Fleet_1GW!I$7)&gt;0,1,0),0)</f>
        <v>1</v>
      </c>
      <c r="J38" s="90" t="n">
        <f aca="false">IF(ISNUMBER(INDEX(Interface_Prod!$C$21:$Q$21,1,Fleet_1GW!J$7)),IF(INDEX(Interface_Prod!$C$21:$Q$21,1,Fleet_1GW!J$7)&gt;0,1,0),0)</f>
        <v>1</v>
      </c>
      <c r="K38" s="90" t="n">
        <f aca="false">IF(ISNUMBER(INDEX(Interface_Prod!$C$21:$Q$21,1,Fleet_1GW!K$7)),IF(INDEX(Interface_Prod!$C$21:$Q$21,1,Fleet_1GW!K$7)&gt;0,1,0),0)</f>
        <v>1</v>
      </c>
      <c r="L38" s="90" t="n">
        <f aca="false">IF(ISNUMBER(INDEX(Interface_Prod!$C$21:$Q$21,1,Fleet_1GW!L$7)),IF(INDEX(Interface_Prod!$C$21:$Q$21,1,Fleet_1GW!L$7)&gt;0,1,0),0)</f>
        <v>1</v>
      </c>
      <c r="M38" s="90" t="n">
        <f aca="false">IF(ISNUMBER(INDEX(Interface_Prod!$C$21:$Q$21,1,Fleet_1GW!M$7)),IF(INDEX(Interface_Prod!$C$21:$Q$21,1,Fleet_1GW!M$7)&gt;0,1,0),0)</f>
        <v>1</v>
      </c>
      <c r="N38" s="90" t="n">
        <f aca="false">IF(ISNUMBER(INDEX(Interface_Prod!$C$21:$Q$21,1,Fleet_1GW!N$7)),IF(INDEX(Interface_Prod!$C$21:$Q$21,1,Fleet_1GW!N$7)&gt;0,1,0),0)</f>
        <v>1</v>
      </c>
      <c r="O38" s="90" t="n">
        <f aca="false">IF(ISNUMBER(INDEX(Interface_Prod!$C$21:$Q$21,1,Fleet_1GW!O$7)),IF(INDEX(Interface_Prod!$C$21:$Q$21,1,Fleet_1GW!O$7)&gt;0,1,0),0)</f>
        <v>1</v>
      </c>
      <c r="P38" s="90" t="n">
        <f aca="false">IF(ISNUMBER(INDEX(Interface_Prod!$C$21:$Q$21,1,Fleet_1GW!P$7)),IF(INDEX(Interface_Prod!$C$21:$Q$21,1,Fleet_1GW!P$7)&gt;0,1,0),0)</f>
        <v>1</v>
      </c>
      <c r="Q38" s="90" t="n">
        <f aca="false">IF(ISNUMBER(INDEX(Interface_Prod!$C$21:$Q$21,1,Fleet_1GW!Q$7)),IF(INDEX(Interface_Prod!$C$21:$Q$21,1,Fleet_1GW!Q$7)&gt;0,1,0),0)</f>
        <v>1</v>
      </c>
      <c r="S38" s="90" t="n">
        <f aca="false">IF(ISNUMBER(INDEX(Interface_Prod!$S$21:$AG$21,1,Fleet_1GW!C$7)),IF(INDEX(Interface_Prod!$S$21:$AG$21,1,Fleet_1GW!C$7)&gt;0,1,0),0)</f>
        <v>1</v>
      </c>
      <c r="T38" s="90" t="n">
        <f aca="false">IF(ISNUMBER(INDEX(Interface_Prod!$S$21:$AG$21,1,Fleet_1GW!D$7)),IF(INDEX(Interface_Prod!$S$21:$AG$21,1,Fleet_1GW!D$7)&gt;0,1,0),0)</f>
        <v>1</v>
      </c>
      <c r="U38" s="90" t="n">
        <f aca="false">IF(ISNUMBER(INDEX(Interface_Prod!$S$21:$AG$21,1,Fleet_1GW!E$7)),IF(INDEX(Interface_Prod!$S$21:$AG$21,1,Fleet_1GW!E$7)&gt;0,1,0),0)</f>
        <v>1</v>
      </c>
      <c r="V38" s="90" t="n">
        <f aca="false">IF(ISNUMBER(INDEX(Interface_Prod!$S$21:$AG$21,1,Fleet_1GW!F$7)),IF(INDEX(Interface_Prod!$S$21:$AG$21,1,Fleet_1GW!F$7)&gt;0,1,0),0)</f>
        <v>1</v>
      </c>
      <c r="W38" s="90" t="n">
        <f aca="false">IF(ISNUMBER(INDEX(Interface_Prod!$S$21:$AG$21,1,Fleet_1GW!G$7)),IF(INDEX(Interface_Prod!$S$21:$AG$21,1,Fleet_1GW!G$7)&gt;0,1,0),0)</f>
        <v>1</v>
      </c>
      <c r="X38" s="90" t="n">
        <f aca="false">IF(ISNUMBER(INDEX(Interface_Prod!$S$21:$AG$21,1,Fleet_1GW!H$7)),IF(INDEX(Interface_Prod!$S$21:$AG$21,1,Fleet_1GW!H$7)&gt;0,1,0),0)</f>
        <v>1</v>
      </c>
      <c r="Y38" s="90" t="n">
        <f aca="false">IF(ISNUMBER(INDEX(Interface_Prod!$S$21:$AG$21,1,Fleet_1GW!I$7)),IF(INDEX(Interface_Prod!$S$21:$AG$21,1,Fleet_1GW!I$7)&gt;0,1,0),0)</f>
        <v>1</v>
      </c>
      <c r="Z38" s="90" t="n">
        <f aca="false">IF(ISNUMBER(INDEX(Interface_Prod!$S$21:$AG$21,1,Fleet_1GW!J$7)),IF(INDEX(Interface_Prod!$S$21:$AG$21,1,Fleet_1GW!J$7)&gt;0,1,0),0)</f>
        <v>1</v>
      </c>
      <c r="AA38" s="90" t="n">
        <f aca="false">IF(ISNUMBER(INDEX(Interface_Prod!$S$21:$AG$21,1,Fleet_1GW!K$7)),IF(INDEX(Interface_Prod!$S$21:$AG$21,1,Fleet_1GW!K$7)&gt;0,1,0),0)</f>
        <v>1</v>
      </c>
      <c r="AB38" s="90" t="n">
        <f aca="false">IF(ISNUMBER(INDEX(Interface_Prod!$S$21:$AG$21,1,Fleet_1GW!L$7)),IF(INDEX(Interface_Prod!$S$21:$AG$21,1,Fleet_1GW!L$7)&gt;0,1,0),0)</f>
        <v>1</v>
      </c>
      <c r="AC38" s="90" t="n">
        <f aca="false">IF(ISNUMBER(INDEX(Interface_Prod!$S$21:$AG$21,1,Fleet_1GW!M$7)),IF(INDEX(Interface_Prod!$S$21:$AG$21,1,Fleet_1GW!M$7)&gt;0,1,0),0)</f>
        <v>1</v>
      </c>
      <c r="AD38" s="90" t="n">
        <f aca="false">IF(ISNUMBER(INDEX(Interface_Prod!$S$21:$AG$21,1,Fleet_1GW!N$7)),IF(INDEX(Interface_Prod!$S$21:$AG$21,1,Fleet_1GW!N$7)&gt;0,1,0),0)</f>
        <v>1</v>
      </c>
      <c r="AE38" s="90" t="n">
        <f aca="false">IF(ISNUMBER(INDEX(Interface_Prod!$S$21:$AG$21,1,Fleet_1GW!O$7)),IF(INDEX(Interface_Prod!$S$21:$AG$21,1,Fleet_1GW!O$7)&gt;0,1,0),0)</f>
        <v>1</v>
      </c>
      <c r="AF38" s="90" t="n">
        <f aca="false">IF(ISNUMBER(INDEX(Interface_Prod!$S$21:$AG$21,1,Fleet_1GW!P$7)),IF(INDEX(Interface_Prod!$S$21:$AG$21,1,Fleet_1GW!P$7)&gt;0,1,0),0)</f>
        <v>1</v>
      </c>
      <c r="AG38" s="90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2204</v>
      </c>
      <c r="B39" s="65" t="s">
        <v>2180</v>
      </c>
      <c r="C39" s="90" t="n">
        <f aca="false">IF(ISNUMBER(INDEX(Interface_Prod!$C$31:$Q$31,1,Fleet_1GW!C$7)),IF(INDEX(Interface_Prod!$C$31:$Q$31,1,Fleet_1GW!C$7)&gt;0,1,0),0)</f>
        <v>1</v>
      </c>
      <c r="D39" s="90" t="n">
        <f aca="false">IF(ISNUMBER(INDEX(Interface_Prod!$C$31:$Q$31,1,Fleet_1GW!D$7)),IF(INDEX(Interface_Prod!$C$31:$Q$31,1,Fleet_1GW!D$7)&gt;0,1,0),0)</f>
        <v>1</v>
      </c>
      <c r="E39" s="90" t="n">
        <f aca="false">IF(ISNUMBER(INDEX(Interface_Prod!$C$31:$Q$31,1,Fleet_1GW!E$7)),IF(INDEX(Interface_Prod!$C$31:$Q$31,1,Fleet_1GW!E$7)&gt;0,1,0),0)</f>
        <v>1</v>
      </c>
      <c r="F39" s="90" t="n">
        <f aca="false">IF(ISNUMBER(INDEX(Interface_Prod!$C$31:$Q$31,1,Fleet_1GW!F$7)),IF(INDEX(Interface_Prod!$C$31:$Q$31,1,Fleet_1GW!F$7)&gt;0,1,0),0)</f>
        <v>1</v>
      </c>
      <c r="G39" s="90" t="n">
        <f aca="false">IF(ISNUMBER(INDEX(Interface_Prod!$C$31:$Q$31,1,Fleet_1GW!G$7)),IF(INDEX(Interface_Prod!$C$31:$Q$31,1,Fleet_1GW!G$7)&gt;0,1,0),0)</f>
        <v>1</v>
      </c>
      <c r="H39" s="90" t="n">
        <f aca="false">IF(ISNUMBER(INDEX(Interface_Prod!$C$31:$Q$31,1,Fleet_1GW!H$7)),IF(INDEX(Interface_Prod!$C$31:$Q$31,1,Fleet_1GW!H$7)&gt;0,1,0),0)</f>
        <v>1</v>
      </c>
      <c r="I39" s="90" t="n">
        <f aca="false">IF(ISNUMBER(INDEX(Interface_Prod!$C$31:$Q$31,1,Fleet_1GW!I$7)),IF(INDEX(Interface_Prod!$C$31:$Q$31,1,Fleet_1GW!I$7)&gt;0,1,0),0)</f>
        <v>1</v>
      </c>
      <c r="J39" s="90" t="n">
        <f aca="false">IF(ISNUMBER(INDEX(Interface_Prod!$C$31:$Q$31,1,Fleet_1GW!J$7)),IF(INDEX(Interface_Prod!$C$31:$Q$31,1,Fleet_1GW!J$7)&gt;0,1,0),0)</f>
        <v>1</v>
      </c>
      <c r="K39" s="90" t="n">
        <f aca="false">IF(ISNUMBER(INDEX(Interface_Prod!$C$31:$Q$31,1,Fleet_1GW!K$7)),IF(INDEX(Interface_Prod!$C$31:$Q$31,1,Fleet_1GW!K$7)&gt;0,1,0),0)</f>
        <v>1</v>
      </c>
      <c r="L39" s="90" t="n">
        <f aca="false">IF(ISNUMBER(INDEX(Interface_Prod!$C$31:$Q$31,1,Fleet_1GW!L$7)),IF(INDEX(Interface_Prod!$C$31:$Q$31,1,Fleet_1GW!L$7)&gt;0,1,0),0)</f>
        <v>1</v>
      </c>
      <c r="M39" s="90" t="n">
        <f aca="false">IF(ISNUMBER(INDEX(Interface_Prod!$C$31:$Q$31,1,Fleet_1GW!M$7)),IF(INDEX(Interface_Prod!$C$31:$Q$31,1,Fleet_1GW!M$7)&gt;0,1,0),0)</f>
        <v>1</v>
      </c>
      <c r="N39" s="90" t="n">
        <f aca="false">IF(ISNUMBER(INDEX(Interface_Prod!$C$31:$Q$31,1,Fleet_1GW!N$7)),IF(INDEX(Interface_Prod!$C$31:$Q$31,1,Fleet_1GW!N$7)&gt;0,1,0),0)</f>
        <v>1</v>
      </c>
      <c r="O39" s="90" t="n">
        <f aca="false">IF(ISNUMBER(INDEX(Interface_Prod!$C$31:$Q$31,1,Fleet_1GW!O$7)),IF(INDEX(Interface_Prod!$C$31:$Q$31,1,Fleet_1GW!O$7)&gt;0,1,0),0)</f>
        <v>1</v>
      </c>
      <c r="P39" s="90" t="n">
        <f aca="false">IF(ISNUMBER(INDEX(Interface_Prod!$C$31:$Q$31,1,Fleet_1GW!P$7)),IF(INDEX(Interface_Prod!$C$31:$Q$31,1,Fleet_1GW!P$7)&gt;0,1,0),0)</f>
        <v>1</v>
      </c>
      <c r="Q39" s="90" t="n">
        <f aca="false">IF(ISNUMBER(INDEX(Interface_Prod!$C$31:$Q$31,1,Fleet_1GW!Q$7)),IF(INDEX(Interface_Prod!$C$31:$Q$31,1,Fleet_1GW!Q$7)&gt;0,1,0),0)</f>
        <v>1</v>
      </c>
      <c r="S39" s="90" t="n">
        <f aca="false">IF(ISNUMBER(INDEX(Interface_Prod!$S$31:$AG$31,1,Fleet_1GW!C$7)),IF(INDEX(Interface_Prod!$S$31:$AG$31,1,Fleet_1GW!C$7)&gt;0,1,0),0)</f>
        <v>1</v>
      </c>
      <c r="T39" s="90" t="n">
        <f aca="false">IF(ISNUMBER(INDEX(Interface_Prod!$S$31:$AG$31,1,Fleet_1GW!D$7)),IF(INDEX(Interface_Prod!$S$31:$AG$31,1,Fleet_1GW!D$7)&gt;0,1,0),0)</f>
        <v>1</v>
      </c>
      <c r="U39" s="90" t="n">
        <f aca="false">IF(ISNUMBER(INDEX(Interface_Prod!$S$31:$AG$31,1,Fleet_1GW!E$7)),IF(INDEX(Interface_Prod!$S$31:$AG$31,1,Fleet_1GW!E$7)&gt;0,1,0),0)</f>
        <v>1</v>
      </c>
      <c r="V39" s="90" t="n">
        <f aca="false">IF(ISNUMBER(INDEX(Interface_Prod!$S$31:$AG$31,1,Fleet_1GW!F$7)),IF(INDEX(Interface_Prod!$S$31:$AG$31,1,Fleet_1GW!F$7)&gt;0,1,0),0)</f>
        <v>1</v>
      </c>
      <c r="W39" s="90" t="n">
        <f aca="false">IF(ISNUMBER(INDEX(Interface_Prod!$S$31:$AG$31,1,Fleet_1GW!G$7)),IF(INDEX(Interface_Prod!$S$31:$AG$31,1,Fleet_1GW!G$7)&gt;0,1,0),0)</f>
        <v>1</v>
      </c>
      <c r="X39" s="90" t="n">
        <f aca="false">IF(ISNUMBER(INDEX(Interface_Prod!$S$31:$AG$31,1,Fleet_1GW!H$7)),IF(INDEX(Interface_Prod!$S$31:$AG$31,1,Fleet_1GW!H$7)&gt;0,1,0),0)</f>
        <v>1</v>
      </c>
      <c r="Y39" s="90" t="n">
        <f aca="false">IF(ISNUMBER(INDEX(Interface_Prod!$S$31:$AG$31,1,Fleet_1GW!I$7)),IF(INDEX(Interface_Prod!$S$31:$AG$31,1,Fleet_1GW!I$7)&gt;0,1,0),0)</f>
        <v>1</v>
      </c>
      <c r="Z39" s="90" t="n">
        <f aca="false">IF(ISNUMBER(INDEX(Interface_Prod!$S$31:$AG$31,1,Fleet_1GW!J$7)),IF(INDEX(Interface_Prod!$S$31:$AG$31,1,Fleet_1GW!J$7)&gt;0,1,0),0)</f>
        <v>1</v>
      </c>
      <c r="AA39" s="90" t="n">
        <f aca="false">IF(ISNUMBER(INDEX(Interface_Prod!$S$31:$AG$31,1,Fleet_1GW!K$7)),IF(INDEX(Interface_Prod!$S$31:$AG$31,1,Fleet_1GW!K$7)&gt;0,1,0),0)</f>
        <v>1</v>
      </c>
      <c r="AB39" s="90" t="n">
        <f aca="false">IF(ISNUMBER(INDEX(Interface_Prod!$S$31:$AG$31,1,Fleet_1GW!L$7)),IF(INDEX(Interface_Prod!$S$31:$AG$31,1,Fleet_1GW!L$7)&gt;0,1,0),0)</f>
        <v>1</v>
      </c>
      <c r="AC39" s="90" t="n">
        <f aca="false">IF(ISNUMBER(INDEX(Interface_Prod!$S$31:$AG$31,1,Fleet_1GW!M$7)),IF(INDEX(Interface_Prod!$S$31:$AG$31,1,Fleet_1GW!M$7)&gt;0,1,0),0)</f>
        <v>1</v>
      </c>
      <c r="AD39" s="90" t="n">
        <f aca="false">IF(ISNUMBER(INDEX(Interface_Prod!$S$31:$AG$31,1,Fleet_1GW!N$7)),IF(INDEX(Interface_Prod!$S$31:$AG$31,1,Fleet_1GW!N$7)&gt;0,1,0),0)</f>
        <v>1</v>
      </c>
      <c r="AE39" s="90" t="n">
        <f aca="false">IF(ISNUMBER(INDEX(Interface_Prod!$S$31:$AG$31,1,Fleet_1GW!O$7)),IF(INDEX(Interface_Prod!$S$31:$AG$31,1,Fleet_1GW!O$7)&gt;0,1,0),0)</f>
        <v>1</v>
      </c>
      <c r="AF39" s="90" t="n">
        <f aca="false">IF(ISNUMBER(INDEX(Interface_Prod!$S$31:$AG$31,1,Fleet_1GW!P$7)),IF(INDEX(Interface_Prod!$S$31:$AG$31,1,Fleet_1GW!P$7)&gt;0,1,0),0)</f>
        <v>1</v>
      </c>
      <c r="AG39" s="90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2205</v>
      </c>
      <c r="B40" s="65" t="s">
        <v>2180</v>
      </c>
      <c r="C40" s="90" t="n">
        <f aca="false">IF(ISNUMBER(INDEX(Interface_Prod!$C$41:$Q$41,1,Fleet_1GW!C$7)),IF(INDEX(Interface_Prod!$C$41:$Q$41,1,Fleet_1GW!C$7)&gt;0,1,0),0)</f>
        <v>1</v>
      </c>
      <c r="D40" s="90" t="n">
        <f aca="false">IF(ISNUMBER(INDEX(Interface_Prod!$C$41:$Q$41,1,Fleet_1GW!D$7)),IF(INDEX(Interface_Prod!$C$41:$Q$41,1,Fleet_1GW!D$7)&gt;0,1,0),0)</f>
        <v>1</v>
      </c>
      <c r="E40" s="90" t="n">
        <f aca="false">IF(ISNUMBER(INDEX(Interface_Prod!$C$41:$Q$41,1,Fleet_1GW!E$7)),IF(INDEX(Interface_Prod!$C$41:$Q$41,1,Fleet_1GW!E$7)&gt;0,1,0),0)</f>
        <v>1</v>
      </c>
      <c r="F40" s="90" t="n">
        <f aca="false">IF(ISNUMBER(INDEX(Interface_Prod!$C$41:$Q$41,1,Fleet_1GW!F$7)),IF(INDEX(Interface_Prod!$C$41:$Q$41,1,Fleet_1GW!F$7)&gt;0,1,0),0)</f>
        <v>1</v>
      </c>
      <c r="G40" s="90" t="n">
        <f aca="false">IF(ISNUMBER(INDEX(Interface_Prod!$C$41:$Q$41,1,Fleet_1GW!G$7)),IF(INDEX(Interface_Prod!$C$41:$Q$41,1,Fleet_1GW!G$7)&gt;0,1,0),0)</f>
        <v>1</v>
      </c>
      <c r="H40" s="90" t="n">
        <f aca="false">IF(ISNUMBER(INDEX(Interface_Prod!$C$41:$Q$41,1,Fleet_1GW!H$7)),IF(INDEX(Interface_Prod!$C$41:$Q$41,1,Fleet_1GW!H$7)&gt;0,1,0),0)</f>
        <v>1</v>
      </c>
      <c r="I40" s="90" t="n">
        <f aca="false">IF(ISNUMBER(INDEX(Interface_Prod!$C$41:$Q$41,1,Fleet_1GW!I$7)),IF(INDEX(Interface_Prod!$C$41:$Q$41,1,Fleet_1GW!I$7)&gt;0,1,0),0)</f>
        <v>1</v>
      </c>
      <c r="J40" s="90" t="n">
        <f aca="false">IF(ISNUMBER(INDEX(Interface_Prod!$C$41:$Q$41,1,Fleet_1GW!J$7)),IF(INDEX(Interface_Prod!$C$41:$Q$41,1,Fleet_1GW!J$7)&gt;0,1,0),0)</f>
        <v>1</v>
      </c>
      <c r="K40" s="90" t="n">
        <f aca="false">IF(ISNUMBER(INDEX(Interface_Prod!$C$41:$Q$41,1,Fleet_1GW!K$7)),IF(INDEX(Interface_Prod!$C$41:$Q$41,1,Fleet_1GW!K$7)&gt;0,1,0),0)</f>
        <v>1</v>
      </c>
      <c r="L40" s="90" t="n">
        <f aca="false">IF(ISNUMBER(INDEX(Interface_Prod!$C$41:$Q$41,1,Fleet_1GW!L$7)),IF(INDEX(Interface_Prod!$C$41:$Q$41,1,Fleet_1GW!L$7)&gt;0,1,0),0)</f>
        <v>1</v>
      </c>
      <c r="M40" s="90" t="n">
        <f aca="false">IF(ISNUMBER(INDEX(Interface_Prod!$C$41:$Q$41,1,Fleet_1GW!M$7)),IF(INDEX(Interface_Prod!$C$41:$Q$41,1,Fleet_1GW!M$7)&gt;0,1,0),0)</f>
        <v>1</v>
      </c>
      <c r="N40" s="90" t="n">
        <f aca="false">IF(ISNUMBER(INDEX(Interface_Prod!$C$41:$Q$41,1,Fleet_1GW!N$7)),IF(INDEX(Interface_Prod!$C$41:$Q$41,1,Fleet_1GW!N$7)&gt;0,1,0),0)</f>
        <v>1</v>
      </c>
      <c r="O40" s="90" t="n">
        <f aca="false">IF(ISNUMBER(INDEX(Interface_Prod!$C$41:$Q$41,1,Fleet_1GW!O$7)),IF(INDEX(Interface_Prod!$C$41:$Q$41,1,Fleet_1GW!O$7)&gt;0,1,0),0)</f>
        <v>1</v>
      </c>
      <c r="P40" s="90" t="n">
        <f aca="false">IF(ISNUMBER(INDEX(Interface_Prod!$C$41:$Q$41,1,Fleet_1GW!P$7)),IF(INDEX(Interface_Prod!$C$41:$Q$41,1,Fleet_1GW!P$7)&gt;0,1,0),0)</f>
        <v>1</v>
      </c>
      <c r="Q40" s="90" t="n">
        <f aca="false">IF(ISNUMBER(INDEX(Interface_Prod!$C$41:$Q$41,1,Fleet_1GW!Q$7)),IF(INDEX(Interface_Prod!$C$41:$Q$41,1,Fleet_1GW!Q$7)&gt;0,1,0),0)</f>
        <v>1</v>
      </c>
      <c r="S40" s="90" t="n">
        <f aca="false">IF(ISNUMBER(INDEX(Interface_Prod!$S$41:$AG$41,1,Fleet_1GW!C$7)),IF(INDEX(Interface_Prod!$S$41:$AG$41,1,Fleet_1GW!C$7)&gt;0,1,0),0)</f>
        <v>1</v>
      </c>
      <c r="T40" s="90" t="n">
        <f aca="false">IF(ISNUMBER(INDEX(Interface_Prod!$S$41:$AG$41,1,Fleet_1GW!D$7)),IF(INDEX(Interface_Prod!$S$41:$AG$41,1,Fleet_1GW!D$7)&gt;0,1,0),0)</f>
        <v>1</v>
      </c>
      <c r="U40" s="90" t="n">
        <f aca="false">IF(ISNUMBER(INDEX(Interface_Prod!$S$41:$AG$41,1,Fleet_1GW!E$7)),IF(INDEX(Interface_Prod!$S$41:$AG$41,1,Fleet_1GW!E$7)&gt;0,1,0),0)</f>
        <v>1</v>
      </c>
      <c r="V40" s="90" t="n">
        <f aca="false">IF(ISNUMBER(INDEX(Interface_Prod!$S$41:$AG$41,1,Fleet_1GW!F$7)),IF(INDEX(Interface_Prod!$S$41:$AG$41,1,Fleet_1GW!F$7)&gt;0,1,0),0)</f>
        <v>1</v>
      </c>
      <c r="W40" s="90" t="n">
        <f aca="false">IF(ISNUMBER(INDEX(Interface_Prod!$S$41:$AG$41,1,Fleet_1GW!G$7)),IF(INDEX(Interface_Prod!$S$41:$AG$41,1,Fleet_1GW!G$7)&gt;0,1,0),0)</f>
        <v>1</v>
      </c>
      <c r="X40" s="90" t="n">
        <f aca="false">IF(ISNUMBER(INDEX(Interface_Prod!$S$41:$AG$41,1,Fleet_1GW!H$7)),IF(INDEX(Interface_Prod!$S$41:$AG$41,1,Fleet_1GW!H$7)&gt;0,1,0),0)</f>
        <v>1</v>
      </c>
      <c r="Y40" s="90" t="n">
        <f aca="false">IF(ISNUMBER(INDEX(Interface_Prod!$S$41:$AG$41,1,Fleet_1GW!I$7)),IF(INDEX(Interface_Prod!$S$41:$AG$41,1,Fleet_1GW!I$7)&gt;0,1,0),0)</f>
        <v>1</v>
      </c>
      <c r="Z40" s="90" t="n">
        <f aca="false">IF(ISNUMBER(INDEX(Interface_Prod!$S$41:$AG$41,1,Fleet_1GW!J$7)),IF(INDEX(Interface_Prod!$S$41:$AG$41,1,Fleet_1GW!J$7)&gt;0,1,0),0)</f>
        <v>1</v>
      </c>
      <c r="AA40" s="90" t="n">
        <f aca="false">IF(ISNUMBER(INDEX(Interface_Prod!$S$41:$AG$41,1,Fleet_1GW!K$7)),IF(INDEX(Interface_Prod!$S$41:$AG$41,1,Fleet_1GW!K$7)&gt;0,1,0),0)</f>
        <v>1</v>
      </c>
      <c r="AB40" s="90" t="n">
        <f aca="false">IF(ISNUMBER(INDEX(Interface_Prod!$S$41:$AG$41,1,Fleet_1GW!L$7)),IF(INDEX(Interface_Prod!$S$41:$AG$41,1,Fleet_1GW!L$7)&gt;0,1,0),0)</f>
        <v>1</v>
      </c>
      <c r="AC40" s="90" t="n">
        <f aca="false">IF(ISNUMBER(INDEX(Interface_Prod!$S$41:$AG$41,1,Fleet_1GW!M$7)),IF(INDEX(Interface_Prod!$S$41:$AG$41,1,Fleet_1GW!M$7)&gt;0,1,0),0)</f>
        <v>1</v>
      </c>
      <c r="AD40" s="90" t="n">
        <f aca="false">IF(ISNUMBER(INDEX(Interface_Prod!$S$41:$AG$41,1,Fleet_1GW!N$7)),IF(INDEX(Interface_Prod!$S$41:$AG$41,1,Fleet_1GW!N$7)&gt;0,1,0),0)</f>
        <v>1</v>
      </c>
      <c r="AE40" s="90" t="n">
        <f aca="false">IF(ISNUMBER(INDEX(Interface_Prod!$S$41:$AG$41,1,Fleet_1GW!O$7)),IF(INDEX(Interface_Prod!$S$41:$AG$41,1,Fleet_1GW!O$7)&gt;0,1,0),0)</f>
        <v>1</v>
      </c>
      <c r="AF40" s="90" t="n">
        <f aca="false">IF(ISNUMBER(INDEX(Interface_Prod!$S$41:$AG$41,1,Fleet_1GW!P$7)),IF(INDEX(Interface_Prod!$S$41:$AG$41,1,Fleet_1GW!P$7)&gt;0,1,0),0)</f>
        <v>1</v>
      </c>
      <c r="AG40" s="90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2206</v>
      </c>
      <c r="B41" s="59" t="s">
        <v>127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2207</v>
      </c>
      <c r="B42" s="59" t="s">
        <v>127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2210</v>
      </c>
      <c r="B44" s="59" t="s">
        <v>127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2211</v>
      </c>
      <c r="B45" s="59" t="s">
        <v>127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2212</v>
      </c>
      <c r="B46" s="59" t="s">
        <v>127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3417</v>
      </c>
    </row>
    <row r="2" customFormat="false" ht="15" hidden="false" customHeight="false" outlineLevel="0" collapsed="false">
      <c r="A2" s="65" t="s">
        <v>3418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90" t="n">
        <f aca="false">Amortize!C6</f>
        <v>1</v>
      </c>
      <c r="D6" s="90" t="n">
        <f aca="false">Amortize!D6</f>
        <v>1</v>
      </c>
      <c r="E6" s="90" t="n">
        <f aca="false">Amortize!E6</f>
        <v>1</v>
      </c>
      <c r="F6" s="90" t="n">
        <f aca="false">Amortize!F6</f>
        <v>2</v>
      </c>
      <c r="G6" s="90" t="n">
        <f aca="false">Amortize!G6</f>
        <v>2</v>
      </c>
      <c r="H6" s="90" t="n">
        <f aca="false">Amortize!H6</f>
        <v>2</v>
      </c>
      <c r="I6" s="90" t="n">
        <f aca="false">Amortize!I6</f>
        <v>3</v>
      </c>
      <c r="J6" s="90" t="n">
        <f aca="false">Amortize!J6</f>
        <v>3</v>
      </c>
      <c r="K6" s="90" t="n">
        <f aca="false">Amortize!K6</f>
        <v>3</v>
      </c>
      <c r="L6" s="90" t="n">
        <f aca="false">Amortize!L6</f>
        <v>4</v>
      </c>
      <c r="M6" s="90" t="n">
        <f aca="false">Amortize!M6</f>
        <v>4</v>
      </c>
      <c r="N6" s="90" t="n">
        <f aca="false">Amortize!N6</f>
        <v>4</v>
      </c>
      <c r="O6" s="90" t="n">
        <f aca="false">Amortize!O6</f>
        <v>5</v>
      </c>
      <c r="P6" s="90" t="n">
        <f aca="false">Amortize!P6</f>
        <v>5</v>
      </c>
      <c r="Q6" s="90" t="n">
        <f aca="false">Amortize!Q6</f>
        <v>5</v>
      </c>
      <c r="S6" s="90" t="n">
        <f aca="false">Amortize!C6</f>
        <v>1</v>
      </c>
      <c r="T6" s="90" t="n">
        <f aca="false">Amortize!D6</f>
        <v>1</v>
      </c>
      <c r="U6" s="90" t="n">
        <f aca="false">Amortize!E6</f>
        <v>1</v>
      </c>
      <c r="V6" s="90" t="n">
        <f aca="false">Amortize!F6</f>
        <v>2</v>
      </c>
      <c r="W6" s="90" t="n">
        <f aca="false">Amortize!G6</f>
        <v>2</v>
      </c>
      <c r="X6" s="90" t="n">
        <f aca="false">Amortize!H6</f>
        <v>2</v>
      </c>
      <c r="Y6" s="90" t="n">
        <f aca="false">Amortize!I6</f>
        <v>3</v>
      </c>
      <c r="Z6" s="90" t="n">
        <f aca="false">Amortize!J6</f>
        <v>3</v>
      </c>
      <c r="AA6" s="90" t="n">
        <f aca="false">Amortize!K6</f>
        <v>3</v>
      </c>
      <c r="AB6" s="90" t="n">
        <f aca="false">Amortize!L6</f>
        <v>4</v>
      </c>
      <c r="AC6" s="90" t="n">
        <f aca="false">Amortize!M6</f>
        <v>4</v>
      </c>
      <c r="AD6" s="90" t="n">
        <f aca="false">Amortize!N6</f>
        <v>4</v>
      </c>
      <c r="AE6" s="90" t="n">
        <f aca="false">Amortize!O6</f>
        <v>5</v>
      </c>
      <c r="AF6" s="90" t="n">
        <f aca="false">Amortize!P6</f>
        <v>5</v>
      </c>
      <c r="AG6" s="90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90" t="n">
        <f aca="false">Amortize!C7</f>
        <v>1</v>
      </c>
      <c r="D7" s="90" t="n">
        <f aca="false">Amortize!D7</f>
        <v>2</v>
      </c>
      <c r="E7" s="90" t="n">
        <f aca="false">Amortize!E7</f>
        <v>3</v>
      </c>
      <c r="F7" s="90" t="n">
        <f aca="false">Amortize!F7</f>
        <v>4</v>
      </c>
      <c r="G7" s="90" t="n">
        <f aca="false">Amortize!G7</f>
        <v>5</v>
      </c>
      <c r="H7" s="90" t="n">
        <f aca="false">Amortize!H7</f>
        <v>6</v>
      </c>
      <c r="I7" s="90" t="n">
        <f aca="false">Amortize!I7</f>
        <v>7</v>
      </c>
      <c r="J7" s="90" t="n">
        <f aca="false">Amortize!J7</f>
        <v>8</v>
      </c>
      <c r="K7" s="90" t="n">
        <f aca="false">Amortize!K7</f>
        <v>9</v>
      </c>
      <c r="L7" s="90" t="n">
        <f aca="false">Amortize!L7</f>
        <v>10</v>
      </c>
      <c r="M7" s="90" t="n">
        <f aca="false">Amortize!M7</f>
        <v>11</v>
      </c>
      <c r="N7" s="90" t="n">
        <f aca="false">Amortize!N7</f>
        <v>12</v>
      </c>
      <c r="O7" s="90" t="n">
        <f aca="false">Amortize!O7</f>
        <v>13</v>
      </c>
      <c r="P7" s="90" t="n">
        <f aca="false">Amortize!P7</f>
        <v>14</v>
      </c>
      <c r="Q7" s="90" t="n">
        <f aca="false">Amortize!Q7</f>
        <v>15</v>
      </c>
      <c r="S7" s="90" t="n">
        <f aca="false">Amortize!C7</f>
        <v>1</v>
      </c>
      <c r="T7" s="90" t="n">
        <f aca="false">Amortize!D7</f>
        <v>2</v>
      </c>
      <c r="U7" s="90" t="n">
        <f aca="false">Amortize!E7</f>
        <v>3</v>
      </c>
      <c r="V7" s="90" t="n">
        <f aca="false">Amortize!F7</f>
        <v>4</v>
      </c>
      <c r="W7" s="90" t="n">
        <f aca="false">Amortize!G7</f>
        <v>5</v>
      </c>
      <c r="X7" s="90" t="n">
        <f aca="false">Amortize!H7</f>
        <v>6</v>
      </c>
      <c r="Y7" s="90" t="n">
        <f aca="false">Amortize!I7</f>
        <v>7</v>
      </c>
      <c r="Z7" s="90" t="n">
        <f aca="false">Amortize!J7</f>
        <v>8</v>
      </c>
      <c r="AA7" s="90" t="n">
        <f aca="false">Amortize!K7</f>
        <v>9</v>
      </c>
      <c r="AB7" s="90" t="n">
        <f aca="false">Amortize!L7</f>
        <v>10</v>
      </c>
      <c r="AC7" s="90" t="n">
        <f aca="false">Amortize!M7</f>
        <v>11</v>
      </c>
      <c r="AD7" s="90" t="n">
        <f aca="false">Amortize!N7</f>
        <v>12</v>
      </c>
      <c r="AE7" s="90" t="n">
        <f aca="false">Amortize!O7</f>
        <v>13</v>
      </c>
      <c r="AF7" s="90" t="n">
        <f aca="false">Amortize!P7</f>
        <v>14</v>
      </c>
      <c r="AG7" s="90" t="n">
        <f aca="false">Amortize!Q7</f>
        <v>15</v>
      </c>
    </row>
    <row r="10" customFormat="false" ht="15" hidden="false" customHeight="false" outlineLevel="0" collapsed="false">
      <c r="A10" s="61" t="s">
        <v>2218</v>
      </c>
      <c r="B10" s="59" t="s">
        <v>1087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19.3127822270601</v>
      </c>
      <c r="G10" s="98" t="n">
        <f aca="false">INDEX(Interface_Prod!$C$60:$Q$60,1,Amortize!G$7)</f>
        <v>25.786626838576</v>
      </c>
      <c r="H10" s="98" t="n">
        <f aca="false">INDEX(Interface_Prod!$C$60:$Q$60,1,Amortize!H$7)</f>
        <v>41.8238357750443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18.2732852679089</v>
      </c>
      <c r="W10" s="98" t="n">
        <f aca="false">INDEX(Interface_Prod!$S$60:$AG$60,1,Amortize!G$7)</f>
        <v>24.3986797333728</v>
      </c>
      <c r="X10" s="98" t="n">
        <f aca="false">INDEX(Interface_Prod!$S$60:$AG$60,1,Amortize!H$7)</f>
        <v>39.5726971458684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2220</v>
      </c>
      <c r="B12" s="59" t="s">
        <v>2221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2222</v>
      </c>
      <c r="B13" s="59" t="s">
        <v>1040</v>
      </c>
      <c r="C13" s="184" t="n">
        <f aca="false">IF(AND(ISNUMBER(Amortize_Prod!C12),ISNUMBER(Amortize_Prod!C10)),IF(Amortize_Prod!C12&gt;0,Amortize_Prod!C10*1000000/Amortize_Prod!C12,0),"SLO 不可達")</f>
        <v>0.0702885024446759</v>
      </c>
      <c r="D13" s="184" t="n">
        <f aca="false">IF(AND(ISNUMBER(Amortize_Prod!D12),ISNUMBER(Amortize_Prod!D10)),IF(Amortize_Prod!D12&gt;0,Amortize_Prod!D10*1000000/Amortize_Prod!D12,0),"SLO 不可達")</f>
        <v>0.10042821044577</v>
      </c>
      <c r="E13" s="184" t="n">
        <f aca="false">IF(AND(ISNUMBER(Amortize_Prod!E12),ISNUMBER(Amortize_Prod!E10)),IF(Amortize_Prod!E12&gt;0,Amortize_Prod!E10*1000000/Amortize_Prod!E12,0),"SLO 不可達")</f>
        <v>0.172472175534376</v>
      </c>
      <c r="F13" s="184" t="n">
        <f aca="false">IF(AND(ISNUMBER(Amortize_Prod!F12),ISNUMBER(Amortize_Prod!F10)),IF(Amortize_Prod!F12&gt;0,Amortize_Prod!F10*1000000/Amortize_Prod!F12,0),"SLO 不可達")</f>
        <v>0.00406663956689493</v>
      </c>
      <c r="G13" s="184" t="n">
        <f aca="false">IF(AND(ISNUMBER(Amortize_Prod!G12),ISNUMBER(Amortize_Prod!G10)),IF(Amortize_Prod!G12&gt;0,Amortize_Prod!G10*1000000/Amortize_Prod!G12,0),"SLO 不可達")</f>
        <v>0.00542981926506561</v>
      </c>
      <c r="H13" s="184" t="n">
        <f aca="false">IF(AND(ISNUMBER(Amortize_Prod!H12),ISNUMBER(Amortize_Prod!H10)),IF(Amortize_Prod!H12&gt;0,Amortize_Prod!H10*1000000/Amortize_Prod!H12,0),"SLO 不可達")</f>
        <v>0.0088067303510418</v>
      </c>
      <c r="I13" s="184" t="n">
        <f aca="false">IF(AND(ISNUMBER(Amortize_Prod!I12),ISNUMBER(Amortize_Prod!I10)),IF(Amortize_Prod!I12&gt;0,Amortize_Prod!I10*1000000/Amortize_Prod!I12,0),"SLO 不可達")</f>
        <v>0.00467210850169439</v>
      </c>
      <c r="J13" s="184" t="n">
        <f aca="false">IF(AND(ISNUMBER(Amortize_Prod!J12),ISNUMBER(Amortize_Prod!J10)),IF(Amortize_Prod!J12&gt;0,Amortize_Prod!J10*1000000/Amortize_Prod!J12,0),"SLO 不可達")</f>
        <v>0.00603429850881151</v>
      </c>
      <c r="K13" s="184" t="n">
        <f aca="false">IF(AND(ISNUMBER(Amortize_Prod!K12),ISNUMBER(Amortize_Prod!K10)),IF(Amortize_Prod!K12&gt;0,Amortize_Prod!K10*1000000/Amortize_Prod!K12,0),"SLO 不可達")</f>
        <v>0.0102736874167935</v>
      </c>
      <c r="L13" s="184" t="n">
        <f aca="false">IF(AND(ISNUMBER(Amortize_Prod!L12),ISNUMBER(Amortize_Prod!L10)),IF(Amortize_Prod!L12&gt;0,Amortize_Prod!L10*1000000/Amortize_Prod!L12,0),"SLO 不可達")</f>
        <v>0.00213440549093709</v>
      </c>
      <c r="M13" s="184" t="n">
        <f aca="false">IF(AND(ISNUMBER(Amortize_Prod!M12),ISNUMBER(Amortize_Prod!M10)),IF(Amortize_Prod!M12&gt;0,Amortize_Prod!M10*1000000/Amortize_Prod!M12,0),"SLO 不可達")</f>
        <v>0.00274326129454233</v>
      </c>
      <c r="N13" s="184" t="n">
        <f aca="false">IF(AND(ISNUMBER(Amortize_Prod!N12),ISNUMBER(Amortize_Prod!N10)),IF(Amortize_Prod!N12&gt;0,Amortize_Prod!N10*1000000/Amortize_Prod!N12,0),"SLO 不可達")</f>
        <v>0.00443182357086952</v>
      </c>
      <c r="O13" s="184" t="n">
        <f aca="false">IF(AND(ISNUMBER(Amortize_Prod!O12),ISNUMBER(Amortize_Prod!O10)),IF(Amortize_Prod!O12&gt;0,Amortize_Prod!O10*1000000/Amortize_Prod!O12,0),"SLO 不可達")</f>
        <v>0.00104014421969442</v>
      </c>
      <c r="P13" s="184" t="n">
        <f aca="false">IF(AND(ISNUMBER(Amortize_Prod!P12),ISNUMBER(Amortize_Prod!P10)),IF(Amortize_Prod!P12&gt;0,Amortize_Prod!P10*1000000/Amortize_Prod!P12,0),"SLO 不可達")</f>
        <v>0.00158087659353013</v>
      </c>
      <c r="Q13" s="184" t="n">
        <f aca="false">IF(AND(ISNUMBER(Amortize_Prod!Q12),ISNUMBER(Amortize_Prod!Q10)),IF(Amortize_Prod!Q12&gt;0,Amortize_Prod!Q10*1000000/Amortize_Prod!Q12,0),"SLO 不可達")</f>
        <v>0.00288595578929665</v>
      </c>
      <c r="S13" s="184" t="n">
        <f aca="false">IF(AND(ISNUMBER(Amortize_Prod!S12),ISNUMBER(Amortize_Prod!S10)),IF(Amortize_Prod!S12&gt;0,Amortize_Prod!S10*1000000/Amortize_Prod!S12,0),"SLO 不可達")</f>
        <v>0.0461948299236361</v>
      </c>
      <c r="T13" s="184" t="n">
        <f aca="false">IF(AND(ISNUMBER(Amortize_Prod!T12),ISNUMBER(Amortize_Prod!T10)),IF(Amortize_Prod!T12&gt;0,Amortize_Prod!T10*1000000/Amortize_Prod!T12,0),"SLO 不可達")</f>
        <v>0.0660031717808905</v>
      </c>
      <c r="U13" s="184" t="n">
        <f aca="false">IF(AND(ISNUMBER(Amortize_Prod!U12),ISNUMBER(Amortize_Prod!U10)),IF(Amortize_Prod!U12&gt;0,Amortize_Prod!U10*1000000/Amortize_Prod!U12,0),"SLO 不可達")</f>
        <v>0.113351722376516</v>
      </c>
      <c r="V13" s="184" t="n">
        <f aca="false">IF(AND(ISNUMBER(Amortize_Prod!V12),ISNUMBER(Amortize_Prod!V10)),IF(Amortize_Prod!V12&gt;0,Amortize_Prod!V10*1000000/Amortize_Prod!V12,0),"SLO 不可達")</f>
        <v>0.00307089725293388</v>
      </c>
      <c r="W13" s="184" t="n">
        <f aca="false">IF(AND(ISNUMBER(Amortize_Prod!W12),ISNUMBER(Amortize_Prod!W10)),IF(Amortize_Prod!W12&gt;0,Amortize_Prod!W10*1000000/Amortize_Prod!W12,0),"SLO 不可達")</f>
        <v>0.00410029381525669</v>
      </c>
      <c r="X13" s="184" t="n">
        <f aca="false">IF(AND(ISNUMBER(Amortize_Prod!X12),ISNUMBER(Amortize_Prod!X10)),IF(Amortize_Prod!X12&gt;0,Amortize_Prod!X10*1000000/Amortize_Prod!X12,0),"SLO 不可達")</f>
        <v>0.0066503469504659</v>
      </c>
      <c r="Y13" s="184" t="n">
        <f aca="false">IF(AND(ISNUMBER(Amortize_Prod!Y12),ISNUMBER(Amortize_Prod!Y10)),IF(Amortize_Prod!Y12&gt;0,Amortize_Prod!Y10*1000000/Amortize_Prod!Y12,0),"SLO 不可達")</f>
        <v>0.00342892011098242</v>
      </c>
      <c r="Z13" s="184" t="n">
        <f aca="false">IF(AND(ISNUMBER(Amortize_Prod!Z12),ISNUMBER(Amortize_Prod!Z10)),IF(Amortize_Prod!Z12&gt;0,Amortize_Prod!Z10*1000000/Amortize_Prod!Z12,0),"SLO 不可達")</f>
        <v>0.00442864875784267</v>
      </c>
      <c r="AA13" s="184" t="n">
        <f aca="false">IF(AND(ISNUMBER(Amortize_Prod!AA12),ISNUMBER(Amortize_Prod!AA10)),IF(Amortize_Prod!AA12&gt;0,Amortize_Prod!AA10*1000000/Amortize_Prod!AA12,0),"SLO 不可達")</f>
        <v>0.0075399904314325</v>
      </c>
      <c r="AB13" s="184" t="n">
        <f aca="false">IF(AND(ISNUMBER(Amortize_Prod!AB12),ISNUMBER(Amortize_Prod!AB10)),IF(Amortize_Prod!AB12&gt;0,Amortize_Prod!AB10*1000000/Amortize_Prod!AB12,0),"SLO 不可達")</f>
        <v>0.00155811775340172</v>
      </c>
      <c r="AC13" s="184" t="n">
        <f aca="false">IF(AND(ISNUMBER(Amortize_Prod!AC12),ISNUMBER(Amortize_Prod!AC10)),IF(Amortize_Prod!AC12&gt;0,Amortize_Prod!AC10*1000000/Amortize_Prod!AC12,0),"SLO 不可達")</f>
        <v>0.00200258298781343</v>
      </c>
      <c r="AD13" s="184" t="n">
        <f aca="false">IF(AND(ISNUMBER(Amortize_Prod!AD12),ISNUMBER(Amortize_Prod!AD10)),IF(Amortize_Prod!AD12&gt;0,Amortize_Prod!AD10*1000000/Amortize_Prod!AD12,0),"SLO 不可達")</f>
        <v>0.00323523483004361</v>
      </c>
      <c r="AE13" s="184" t="n">
        <f aca="false">IF(AND(ISNUMBER(Amortize_Prod!AE12),ISNUMBER(Amortize_Prod!AE10)),IF(Amortize_Prod!AE12&gt;0,Amortize_Prod!AE10*1000000/Amortize_Prod!AE12,0),"SLO 不可達")</f>
        <v>0.000773266108996229</v>
      </c>
      <c r="AF13" s="184" t="n">
        <f aca="false">IF(AND(ISNUMBER(Amortize_Prod!AF12),ISNUMBER(Amortize_Prod!AF10)),IF(Amortize_Prod!AF12&gt;0,Amortize_Prod!AF10*1000000/Amortize_Prod!AF12,0),"SLO 不可達")</f>
        <v>0.00117525845852548</v>
      </c>
      <c r="AG13" s="184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2223</v>
      </c>
      <c r="B14" s="59" t="s">
        <v>1040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2218</v>
      </c>
      <c r="B19" s="59" t="s">
        <v>1087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61.0457166347413</v>
      </c>
      <c r="G19" s="98" t="n">
        <f aca="false">INDEX(Interface_Prod!$C$69:$Q$69,1,Amortize!G$7)</f>
        <v>81.508873058584</v>
      </c>
      <c r="H19" s="98" t="n">
        <f aca="false">INDEX(Interface_Prod!$C$69:$Q$69,1,Amortize!H$7)</f>
        <v>132.200839696931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58.6856239928768</v>
      </c>
      <c r="W19" s="98" t="n">
        <f aca="false">INDEX(Interface_Prod!$S$69:$AG$69,1,Amortize!G$7)</f>
        <v>78.3576529213344</v>
      </c>
      <c r="X19" s="98" t="n">
        <f aca="false">INDEX(Interface_Prod!$S$69:$AG$69,1,Amortize!H$7)</f>
        <v>127.089813957256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2220</v>
      </c>
      <c r="B21" s="59" t="s">
        <v>2221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2227</v>
      </c>
      <c r="B22" s="59" t="s">
        <v>1040</v>
      </c>
      <c r="C22" s="184" t="n">
        <f aca="false">IF(AND(ISNUMBER(Amortize_Prod!C21),ISNUMBER(Amortize_Prod!C19)),IF(Amortize_Prod!C21&gt;0,Amortize_Prod!C19*1000000/Amortize_Prod!C21,0),"SLO 不可達")</f>
        <v>0.169631062549732</v>
      </c>
      <c r="D22" s="184" t="n">
        <f aca="false">IF(AND(ISNUMBER(Amortize_Prod!D21),ISNUMBER(Amortize_Prod!D19)),IF(Amortize_Prod!D21&gt;0,Amortize_Prod!D19*1000000/Amortize_Prod!D21,0),"SLO 不可達")</f>
        <v>0.24236885771315</v>
      </c>
      <c r="E22" s="184" t="n">
        <f aca="false">IF(AND(ISNUMBER(Amortize_Prod!E21),ISNUMBER(Amortize_Prod!E19)),IF(Amortize_Prod!E21&gt;0,Amortize_Prod!E19*1000000/Amortize_Prod!E21,0),"SLO 不可達")</f>
        <v>0.416236473656383</v>
      </c>
      <c r="F22" s="184" t="n">
        <f aca="false">IF(AND(ISNUMBER(Amortize_Prod!F21),ISNUMBER(Amortize_Prod!F19)),IF(Amortize_Prod!F21&gt;0,Amortize_Prod!F19*1000000/Amortize_Prod!F21,0),"SLO 不可達")</f>
        <v>0.0114259813923632</v>
      </c>
      <c r="G22" s="184" t="n">
        <f aca="false">IF(AND(ISNUMBER(Amortize_Prod!G21),ISNUMBER(Amortize_Prod!G19)),IF(Amortize_Prod!G21&gt;0,Amortize_Prod!G19*1000000/Amortize_Prod!G21,0),"SLO 不可達")</f>
        <v>0.0152560886859973</v>
      </c>
      <c r="H22" s="184" t="n">
        <f aca="false">IF(AND(ISNUMBER(Amortize_Prod!H21),ISNUMBER(Amortize_Prod!H19)),IF(Amortize_Prod!H21&gt;0,Amortize_Prod!H19*1000000/Amortize_Prod!H21,0),"SLO 不可達")</f>
        <v>0.024744149429352</v>
      </c>
      <c r="I22" s="184" t="n">
        <f aca="false">IF(AND(ISNUMBER(Amortize_Prod!I21),ISNUMBER(Amortize_Prod!I19)),IF(Amortize_Prod!I21&gt;0,Amortize_Prod!I19*1000000/Amortize_Prod!I21,0),"SLO 不可達")</f>
        <v>0.0125103258074652</v>
      </c>
      <c r="J22" s="184" t="n">
        <f aca="false">IF(AND(ISNUMBER(Amortize_Prod!J21),ISNUMBER(Amortize_Prod!J19)),IF(Amortize_Prod!J21&gt;0,Amortize_Prod!J19*1000000/Amortize_Prod!J21,0),"SLO 不可達")</f>
        <v>0.0161578097634838</v>
      </c>
      <c r="K22" s="184" t="n">
        <f aca="false">IF(AND(ISNUMBER(Amortize_Prod!K21),ISNUMBER(Amortize_Prod!K19)),IF(Amortize_Prod!K21&gt;0,Amortize_Prod!K19*1000000/Amortize_Prod!K21,0),"SLO 不可達")</f>
        <v>0.0275094589052309</v>
      </c>
      <c r="L22" s="184" t="n">
        <f aca="false">IF(AND(ISNUMBER(Amortize_Prod!L21),ISNUMBER(Amortize_Prod!L19)),IF(Amortize_Prod!L21&gt;0,Amortize_Prod!L19*1000000/Amortize_Prod!L21,0),"SLO 不可達")</f>
        <v>0.00541078466347435</v>
      </c>
      <c r="M22" s="184" t="n">
        <f aca="false">IF(AND(ISNUMBER(Amortize_Prod!M21),ISNUMBER(Amortize_Prod!M19)),IF(Amortize_Prod!M21&gt;0,Amortize_Prod!M19*1000000/Amortize_Prod!M21,0),"SLO 不可達")</f>
        <v>0.00695425316484528</v>
      </c>
      <c r="N22" s="184" t="n">
        <f aca="false">IF(AND(ISNUMBER(Amortize_Prod!N21),ISNUMBER(Amortize_Prod!N19)),IF(Amortize_Prod!N21&gt;0,Amortize_Prod!N19*1000000/Amortize_Prod!N21,0),"SLO 不可達")</f>
        <v>0.0112348113375387</v>
      </c>
      <c r="O22" s="184" t="n">
        <f aca="false">IF(AND(ISNUMBER(Amortize_Prod!O21),ISNUMBER(Amortize_Prod!O19)),IF(Amortize_Prod!O21&gt;0,Amortize_Prod!O19*1000000/Amortize_Prod!O21,0),"SLO 不可達")</f>
        <v>0.00272983616375423</v>
      </c>
      <c r="P22" s="184" t="n">
        <f aca="false">IF(AND(ISNUMBER(Amortize_Prod!P21),ISNUMBER(Amortize_Prod!P19)),IF(Amortize_Prod!P21&gt;0,Amortize_Prod!P19*1000000/Amortize_Prod!P21,0),"SLO 不可達")</f>
        <v>0.00414897666471576</v>
      </c>
      <c r="Q22" s="184" t="n">
        <f aca="false">IF(AND(ISNUMBER(Amortize_Prod!Q21),ISNUMBER(Amortize_Prod!Q19)),IF(Amortize_Prod!Q21&gt;0,Amortize_Prod!Q19*1000000/Amortize_Prod!Q21,0),"SLO 不可達")</f>
        <v>0.00757412898274083</v>
      </c>
      <c r="S22" s="184" t="n">
        <f aca="false">IF(AND(ISNUMBER(Amortize_Prod!S21),ISNUMBER(Amortize_Prod!S19)),IF(Amortize_Prod!S21&gt;0,Amortize_Prod!S19*1000000/Amortize_Prod!S21,0),"SLO 不可達")</f>
        <v>0.114040439741435</v>
      </c>
      <c r="T22" s="184" t="n">
        <f aca="false">IF(AND(ISNUMBER(Amortize_Prod!T21),ISNUMBER(Amortize_Prod!T19)),IF(Amortize_Prod!T21&gt;0,Amortize_Prod!T19*1000000/Amortize_Prod!T21,0),"SLO 不可達")</f>
        <v>0.162940977305579</v>
      </c>
      <c r="U22" s="184" t="n">
        <f aca="false">IF(AND(ISNUMBER(Amortize_Prod!U21),ISNUMBER(Amortize_Prod!U19)),IF(Amortize_Prod!U21&gt;0,Amortize_Prod!U19*1000000/Amortize_Prod!U21,0),"SLO 不可達")</f>
        <v>0.279829588866025</v>
      </c>
      <c r="V22" s="184" t="n">
        <f aca="false">IF(AND(ISNUMBER(Amortize_Prod!V21),ISNUMBER(Amortize_Prod!V19)),IF(Amortize_Prod!V21&gt;0,Amortize_Prod!V19*1000000/Amortize_Prod!V21,0),"SLO 不可達")</f>
        <v>0.00876653267880038</v>
      </c>
      <c r="W22" s="184" t="n">
        <f aca="false">IF(AND(ISNUMBER(Amortize_Prod!W21),ISNUMBER(Amortize_Prod!W19)),IF(Amortize_Prod!W21&gt;0,Amortize_Prod!W19*1000000/Amortize_Prod!W21,0),"SLO 不可達")</f>
        <v>0.0117051652215942</v>
      </c>
      <c r="X22" s="184" t="n">
        <f aca="false">IF(AND(ISNUMBER(Amortize_Prod!X21),ISNUMBER(Amortize_Prod!X19)),IF(Amortize_Prod!X21&gt;0,Amortize_Prod!X19*1000000/Amortize_Prod!X21,0),"SLO 不可達")</f>
        <v>0.0189848370247231</v>
      </c>
      <c r="Y22" s="184" t="n">
        <f aca="false">IF(AND(ISNUMBER(Amortize_Prod!Y21),ISNUMBER(Amortize_Prod!Y19)),IF(Amortize_Prod!Y21&gt;0,Amortize_Prod!Y19*1000000/Amortize_Prod!Y21,0),"SLO 不可達")</f>
        <v>0.00936389932228216</v>
      </c>
      <c r="Z22" s="184" t="n">
        <f aca="false">IF(AND(ISNUMBER(Amortize_Prod!Z21),ISNUMBER(Amortize_Prod!Z19)),IF(Amortize_Prod!Z21&gt;0,Amortize_Prod!Z19*1000000/Amortize_Prod!Z21,0),"SLO 不可達")</f>
        <v>0.0120940178715063</v>
      </c>
      <c r="AA22" s="184" t="n">
        <f aca="false">IF(AND(ISNUMBER(Amortize_Prod!AA21),ISNUMBER(Amortize_Prod!AA19)),IF(Amortize_Prod!AA21&gt;0,Amortize_Prod!AA19*1000000/Amortize_Prod!AA21,0),"SLO 不可達")</f>
        <v>0.0205906550767309</v>
      </c>
      <c r="AB22" s="184" t="n">
        <f aca="false">IF(AND(ISNUMBER(Amortize_Prod!AB21),ISNUMBER(Amortize_Prod!AB19)),IF(Amortize_Prod!AB21&gt;0,Amortize_Prod!AB19*1000000/Amortize_Prod!AB21,0),"SLO 不可達")</f>
        <v>0.00403441053211496</v>
      </c>
      <c r="AC22" s="184" t="n">
        <f aca="false">IF(AND(ISNUMBER(Amortize_Prod!AC21),ISNUMBER(Amortize_Prod!AC19)),IF(Amortize_Prod!AC21&gt;0,Amortize_Prod!AC19*1000000/Amortize_Prod!AC21,0),"SLO 不可達")</f>
        <v>0.00518525758392133</v>
      </c>
      <c r="AD22" s="184" t="n">
        <f aca="false">IF(AND(ISNUMBER(Amortize_Prod!AD21),ISNUMBER(Amortize_Prod!AD19)),IF(Amortize_Prod!AD21&gt;0,Amortize_Prod!AD19*1000000/Amortize_Prod!AD21,0),"SLO 不可達")</f>
        <v>0.00837694419673806</v>
      </c>
      <c r="AE22" s="184" t="n">
        <f aca="false">IF(AND(ISNUMBER(Amortize_Prod!AE21),ISNUMBER(Amortize_Prod!AE19)),IF(Amortize_Prod!AE21&gt;0,Amortize_Prod!AE19*1000000/Amortize_Prod!AE21,0),"SLO 不可達")</f>
        <v>0.00207075943620614</v>
      </c>
      <c r="AF22" s="184" t="n">
        <f aca="false">IF(AND(ISNUMBER(Amortize_Prod!AF21),ISNUMBER(Amortize_Prod!AF19)),IF(Amortize_Prod!AF21&gt;0,Amortize_Prod!AF19*1000000/Amortize_Prod!AF21,0),"SLO 不可達")</f>
        <v>0.00314727040880126</v>
      </c>
      <c r="AG22" s="184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2223</v>
      </c>
      <c r="B23" s="59" t="s">
        <v>1040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2218</v>
      </c>
      <c r="B29" s="59" t="s">
        <v>1087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395.365245295165</v>
      </c>
      <c r="G29" s="98" t="n">
        <f aca="false">INDEX(Interface_Prod!$C$78:$Q$78,1,Amortize!G$7)</f>
        <v>527.895770039986</v>
      </c>
      <c r="H29" s="98" t="n">
        <f aca="false">INDEX(Interface_Prod!$C$78:$Q$78,1,Amortize!H$7)</f>
        <v>856.204502074077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382.330413796237</v>
      </c>
      <c r="W29" s="98" t="n">
        <f aca="false">INDEX(Interface_Prod!$S$78:$AG$78,1,Amortize!G$7)</f>
        <v>510.491528029966</v>
      </c>
      <c r="X29" s="98" t="n">
        <f aca="false">INDEX(Interface_Prod!$S$78:$AG$78,1,Amortize!H$7)</f>
        <v>827.976220640721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2220</v>
      </c>
      <c r="B31" s="59" t="s">
        <v>2221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2232</v>
      </c>
      <c r="B32" s="59" t="s">
        <v>1040</v>
      </c>
      <c r="C32" s="184" t="n">
        <f aca="false">IF(AND(ISNUMBER(Amortize_Prod!C31),ISNUMBER(Amortize_Prod!C29)),IF(Amortize_Prod!C31&gt;0,Amortize_Prod!C29*1000000/Amortize_Prod!C31,0),"SLO 不可達")</f>
        <v>4.09671161570767</v>
      </c>
      <c r="D32" s="184" t="n">
        <f aca="false">IF(AND(ISNUMBER(Amortize_Prod!D31),ISNUMBER(Amortize_Prod!D29)),IF(Amortize_Prod!D31&gt;0,Amortize_Prod!D29*1000000/Amortize_Prod!D31,0),"SLO 不可達")</f>
        <v>5.85338144886147</v>
      </c>
      <c r="E32" s="184" t="n">
        <f aca="false">IF(AND(ISNUMBER(Amortize_Prod!E31),ISNUMBER(Amortize_Prod!E29)),IF(Amortize_Prod!E31&gt;0,Amortize_Prod!E29*1000000/Amortize_Prod!E31,0),"SLO 不可達")</f>
        <v>10.0524088623767</v>
      </c>
      <c r="F32" s="184" t="n">
        <f aca="false">IF(AND(ISNUMBER(Amortize_Prod!F31),ISNUMBER(Amortize_Prod!F29)),IF(Amortize_Prod!F31&gt;0,Amortize_Prod!F29*1000000/Amortize_Prod!F31,0),"SLO 不可達")</f>
        <v>0.296003466579588</v>
      </c>
      <c r="G32" s="184" t="n">
        <f aca="false">IF(AND(ISNUMBER(Amortize_Prod!G31),ISNUMBER(Amortize_Prod!G29)),IF(Amortize_Prod!G31&gt;0,Amortize_Prod!G29*1000000/Amortize_Prod!G31,0),"SLO 不可達")</f>
        <v>0.395226894078359</v>
      </c>
      <c r="H32" s="184" t="n">
        <f aca="false">IF(AND(ISNUMBER(Amortize_Prod!H31),ISNUMBER(Amortize_Prod!H29)),IF(Amortize_Prod!H31&gt;0,Amortize_Prod!H29*1000000/Amortize_Prod!H31,0),"SLO 不可達")</f>
        <v>0.64102625036191</v>
      </c>
      <c r="I32" s="184" t="n">
        <f aca="false">IF(AND(ISNUMBER(Amortize_Prod!I31),ISNUMBER(Amortize_Prod!I29)),IF(Amortize_Prod!I31&gt;0,Amortize_Prod!I29*1000000/Amortize_Prod!I31,0),"SLO 不可達")</f>
        <v>0.318616904679673</v>
      </c>
      <c r="J32" s="184" t="n">
        <f aca="false">IF(AND(ISNUMBER(Amortize_Prod!J31),ISNUMBER(Amortize_Prod!J29)),IF(Amortize_Prod!J31&gt;0,Amortize_Prod!J29*1000000/Amortize_Prod!J31,0),"SLO 不可達")</f>
        <v>0.411512171023732</v>
      </c>
      <c r="K32" s="184" t="n">
        <f aca="false">IF(AND(ISNUMBER(Amortize_Prod!K31),ISNUMBER(Amortize_Prod!K29)),IF(Amortize_Prod!K31&gt;0,Amortize_Prod!K29*1000000/Amortize_Prod!K31,0),"SLO 不可達")</f>
        <v>0.700619534670078</v>
      </c>
      <c r="L32" s="184" t="n">
        <f aca="false">IF(AND(ISNUMBER(Amortize_Prod!L31),ISNUMBER(Amortize_Prod!L29)),IF(Amortize_Prod!L31&gt;0,Amortize_Prod!L29*1000000/Amortize_Prod!L31,0),"SLO 不可達")</f>
        <v>0.133674399624571</v>
      </c>
      <c r="M32" s="184" t="n">
        <f aca="false">IF(AND(ISNUMBER(Amortize_Prod!M31),ISNUMBER(Amortize_Prod!M29)),IF(Amortize_Prod!M31&gt;0,Amortize_Prod!M29*1000000/Amortize_Prod!M31,0),"SLO 不可達")</f>
        <v>0.171806064085917</v>
      </c>
      <c r="N32" s="184" t="n">
        <f aca="false">IF(AND(ISNUMBER(Amortize_Prod!N31),ISNUMBER(Amortize_Prod!N29)),IF(Amortize_Prod!N31&gt;0,Amortize_Prod!N29*1000000/Amortize_Prod!N31,0),"SLO 不可達")</f>
        <v>0.277558016784294</v>
      </c>
      <c r="O32" s="184" t="n">
        <f aca="false">IF(AND(ISNUMBER(Amortize_Prod!O31),ISNUMBER(Amortize_Prod!O29)),IF(Amortize_Prod!O31&gt;0,Amortize_Prod!O29*1000000/Amortize_Prod!O31,0),"SLO 不可達")</f>
        <v>0.0684614561374125</v>
      </c>
      <c r="P32" s="184" t="n">
        <f aca="false">IF(AND(ISNUMBER(Amortize_Prod!P31),ISNUMBER(Amortize_Prod!P29)),IF(Amortize_Prod!P31&gt;0,Amortize_Prod!P29*1000000/Amortize_Prod!P31,0),"SLO 不可達")</f>
        <v>0.104052026168468</v>
      </c>
      <c r="Q32" s="184" t="n">
        <f aca="false">IF(AND(ISNUMBER(Amortize_Prod!Q31),ISNUMBER(Amortize_Prod!Q29)),IF(Amortize_Prod!Q31&gt;0,Amortize_Prod!Q29*1000000/Amortize_Prod!Q31,0),"SLO 不可達")</f>
        <v>0.189951289390897</v>
      </c>
      <c r="S32" s="184" t="n">
        <f aca="false">IF(AND(ISNUMBER(Amortize_Prod!S31),ISNUMBER(Amortize_Prod!S29)),IF(Amortize_Prod!S31&gt;0,Amortize_Prod!S29*1000000/Amortize_Prod!S31,0),"SLO 不可達")</f>
        <v>2.77777469594551</v>
      </c>
      <c r="T32" s="184" t="n">
        <f aca="false">IF(AND(ISNUMBER(Amortize_Prod!T31),ISNUMBER(Amortize_Prod!T29)),IF(Amortize_Prod!T31&gt;0,Amortize_Prod!T29*1000000/Amortize_Prod!T31,0),"SLO 不可達")</f>
        <v>3.96888441256699</v>
      </c>
      <c r="U32" s="184" t="n">
        <f aca="false">IF(AND(ISNUMBER(Amortize_Prod!U31),ISNUMBER(Amortize_Prod!U29)),IF(Amortize_Prod!U31&gt;0,Amortize_Prod!U29*1000000/Amortize_Prod!U31,0),"SLO 不可達")</f>
        <v>6.81603431985413</v>
      </c>
      <c r="V32" s="184" t="n">
        <f aca="false">IF(AND(ISNUMBER(Amortize_Prod!V31),ISNUMBER(Amortize_Prod!V29)),IF(Amortize_Prod!V31&gt;0,Amortize_Prod!V29*1000000/Amortize_Prod!V31,0),"SLO 不可達")</f>
        <v>0.228452001604401</v>
      </c>
      <c r="W32" s="184" t="n">
        <f aca="false">IF(AND(ISNUMBER(Amortize_Prod!W31),ISNUMBER(Amortize_Prod!W29)),IF(Amortize_Prod!W31&gt;0,Amortize_Prod!W29*1000000/Amortize_Prod!W31,0),"SLO 不可達")</f>
        <v>0.305031478460118</v>
      </c>
      <c r="X32" s="184" t="n">
        <f aca="false">IF(AND(ISNUMBER(Amortize_Prod!X31),ISNUMBER(Amortize_Prod!X29)),IF(Amortize_Prod!X31&gt;0,Amortize_Prod!X29*1000000/Amortize_Prod!X31,0),"SLO 不可達")</f>
        <v>0.49473653693433</v>
      </c>
      <c r="Y32" s="184" t="n">
        <f aca="false">IF(AND(ISNUMBER(Amortize_Prod!Y31),ISNUMBER(Amortize_Prod!Y29)),IF(Amortize_Prod!Y31&gt;0,Amortize_Prod!Y29*1000000/Amortize_Prod!Y31,0),"SLO 不可達")</f>
        <v>0.24019799874652</v>
      </c>
      <c r="Z32" s="184" t="n">
        <f aca="false">IF(AND(ISNUMBER(Amortize_Prod!Z31),ISNUMBER(Amortize_Prod!Z29)),IF(Amortize_Prod!Z31&gt;0,Amortize_Prod!Z29*1000000/Amortize_Prod!Z31,0),"SLO 不可達")</f>
        <v>0.310229615842608</v>
      </c>
      <c r="AA32" s="184" t="n">
        <f aca="false">IF(AND(ISNUMBER(Amortize_Prod!AA31),ISNUMBER(Amortize_Prod!AA29)),IF(Amortize_Prod!AA31&gt;0,Amortize_Prod!AA29*1000000/Amortize_Prod!AA31,0),"SLO 不可達")</f>
        <v>0.528181046387546</v>
      </c>
      <c r="AB32" s="184" t="n">
        <f aca="false">IF(AND(ISNUMBER(Amortize_Prod!AB31),ISNUMBER(Amortize_Prod!AB29)),IF(Amortize_Prod!AB31&gt;0,Amortize_Prod!AB29*1000000/Amortize_Prod!AB31,0),"SLO 不可達")</f>
        <v>0.100573347953864</v>
      </c>
      <c r="AC32" s="184" t="n">
        <f aca="false">IF(AND(ISNUMBER(Amortize_Prod!AC31),ISNUMBER(Amortize_Prod!AC29)),IF(Amortize_Prod!AC31&gt;0,Amortize_Prod!AC29*1000000/Amortize_Prod!AC31,0),"SLO 不可達")</f>
        <v>0.129262679409264</v>
      </c>
      <c r="AD32" s="184" t="n">
        <f aca="false">IF(AND(ISNUMBER(Amortize_Prod!AD31),ISNUMBER(Amortize_Prod!AD29)),IF(Amortize_Prod!AD31&gt;0,Amortize_Prod!AD29*1000000/Amortize_Prod!AD31,0),"SLO 不可達")</f>
        <v>0.208827861414237</v>
      </c>
      <c r="AE32" s="184" t="n">
        <f aca="false">IF(AND(ISNUMBER(Amortize_Prod!AE31),ISNUMBER(Amortize_Prod!AE29)),IF(Amortize_Prod!AE31&gt;0,Amortize_Prod!AE29*1000000/Amortize_Prod!AE31,0),"SLO 不可達")</f>
        <v>0.0523766024928945</v>
      </c>
      <c r="AF32" s="184" t="n">
        <f aca="false">IF(AND(ISNUMBER(Amortize_Prod!AF31),ISNUMBER(Amortize_Prod!AF29)),IF(Amortize_Prod!AF31&gt;0,Amortize_Prod!AF29*1000000/Amortize_Prod!AF31,0),"SLO 不可達")</f>
        <v>0.0796052541194475</v>
      </c>
      <c r="AG32" s="184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2223</v>
      </c>
      <c r="B33" s="59" t="s">
        <v>1040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3419</v>
      </c>
    </row>
    <row r="2" customFormat="false" ht="15" hidden="false" customHeight="false" outlineLevel="0" collapsed="false">
      <c r="A2" s="65" t="s">
        <v>3420</v>
      </c>
    </row>
    <row r="3" customFormat="false" ht="15" hidden="false" customHeight="false" outlineLevel="0" collapsed="false">
      <c r="S3" s="60" t="s">
        <v>3392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90" t="n">
        <f aca="false">Theory_Rev!C6</f>
        <v>1</v>
      </c>
      <c r="D6" s="90" t="n">
        <f aca="false">Theory_Rev!D6</f>
        <v>1</v>
      </c>
      <c r="E6" s="90" t="n">
        <f aca="false">Theory_Rev!E6</f>
        <v>1</v>
      </c>
      <c r="F6" s="90" t="n">
        <f aca="false">Theory_Rev!F6</f>
        <v>2</v>
      </c>
      <c r="G6" s="90" t="n">
        <f aca="false">Theory_Rev!G6</f>
        <v>2</v>
      </c>
      <c r="H6" s="90" t="n">
        <f aca="false">Theory_Rev!H6</f>
        <v>2</v>
      </c>
      <c r="I6" s="90" t="n">
        <f aca="false">Theory_Rev!I6</f>
        <v>3</v>
      </c>
      <c r="J6" s="90" t="n">
        <f aca="false">Theory_Rev!J6</f>
        <v>3</v>
      </c>
      <c r="K6" s="90" t="n">
        <f aca="false">Theory_Rev!K6</f>
        <v>3</v>
      </c>
      <c r="L6" s="90" t="n">
        <f aca="false">Theory_Rev!L6</f>
        <v>4</v>
      </c>
      <c r="M6" s="90" t="n">
        <f aca="false">Theory_Rev!M6</f>
        <v>4</v>
      </c>
      <c r="N6" s="90" t="n">
        <f aca="false">Theory_Rev!N6</f>
        <v>4</v>
      </c>
      <c r="O6" s="90" t="n">
        <f aca="false">Theory_Rev!O6</f>
        <v>5</v>
      </c>
      <c r="P6" s="90" t="n">
        <f aca="false">Theory_Rev!P6</f>
        <v>5</v>
      </c>
      <c r="Q6" s="90" t="n">
        <f aca="false">Theory_Rev!Q6</f>
        <v>5</v>
      </c>
      <c r="S6" s="90" t="n">
        <f aca="false">Theory_Rev!C6</f>
        <v>1</v>
      </c>
      <c r="T6" s="90" t="n">
        <f aca="false">Theory_Rev!D6</f>
        <v>1</v>
      </c>
      <c r="U6" s="90" t="n">
        <f aca="false">Theory_Rev!E6</f>
        <v>1</v>
      </c>
      <c r="V6" s="90" t="n">
        <f aca="false">Theory_Rev!F6</f>
        <v>2</v>
      </c>
      <c r="W6" s="90" t="n">
        <f aca="false">Theory_Rev!G6</f>
        <v>2</v>
      </c>
      <c r="X6" s="90" t="n">
        <f aca="false">Theory_Rev!H6</f>
        <v>2</v>
      </c>
      <c r="Y6" s="90" t="n">
        <f aca="false">Theory_Rev!I6</f>
        <v>3</v>
      </c>
      <c r="Z6" s="90" t="n">
        <f aca="false">Theory_Rev!J6</f>
        <v>3</v>
      </c>
      <c r="AA6" s="90" t="n">
        <f aca="false">Theory_Rev!K6</f>
        <v>3</v>
      </c>
      <c r="AB6" s="90" t="n">
        <f aca="false">Theory_Rev!L6</f>
        <v>4</v>
      </c>
      <c r="AC6" s="90" t="n">
        <f aca="false">Theory_Rev!M6</f>
        <v>4</v>
      </c>
      <c r="AD6" s="90" t="n">
        <f aca="false">Theory_Rev!N6</f>
        <v>4</v>
      </c>
      <c r="AE6" s="90" t="n">
        <f aca="false">Theory_Rev!O6</f>
        <v>5</v>
      </c>
      <c r="AF6" s="90" t="n">
        <f aca="false">Theory_Rev!P6</f>
        <v>5</v>
      </c>
      <c r="AG6" s="90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90" t="n">
        <f aca="false">Theory_Rev!C7</f>
        <v>1</v>
      </c>
      <c r="D7" s="90" t="n">
        <f aca="false">Theory_Rev!D7</f>
        <v>2</v>
      </c>
      <c r="E7" s="90" t="n">
        <f aca="false">Theory_Rev!E7</f>
        <v>3</v>
      </c>
      <c r="F7" s="90" t="n">
        <f aca="false">Theory_Rev!F7</f>
        <v>4</v>
      </c>
      <c r="G7" s="90" t="n">
        <f aca="false">Theory_Rev!G7</f>
        <v>5</v>
      </c>
      <c r="H7" s="90" t="n">
        <f aca="false">Theory_Rev!H7</f>
        <v>6</v>
      </c>
      <c r="I7" s="90" t="n">
        <f aca="false">Theory_Rev!I7</f>
        <v>7</v>
      </c>
      <c r="J7" s="90" t="n">
        <f aca="false">Theory_Rev!J7</f>
        <v>8</v>
      </c>
      <c r="K7" s="90" t="n">
        <f aca="false">Theory_Rev!K7</f>
        <v>9</v>
      </c>
      <c r="L7" s="90" t="n">
        <f aca="false">Theory_Rev!L7</f>
        <v>10</v>
      </c>
      <c r="M7" s="90" t="n">
        <f aca="false">Theory_Rev!M7</f>
        <v>11</v>
      </c>
      <c r="N7" s="90" t="n">
        <f aca="false">Theory_Rev!N7</f>
        <v>12</v>
      </c>
      <c r="O7" s="90" t="n">
        <f aca="false">Theory_Rev!O7</f>
        <v>13</v>
      </c>
      <c r="P7" s="90" t="n">
        <f aca="false">Theory_Rev!P7</f>
        <v>14</v>
      </c>
      <c r="Q7" s="90" t="n">
        <f aca="false">Theory_Rev!Q7</f>
        <v>15</v>
      </c>
      <c r="S7" s="90" t="n">
        <f aca="false">Theory_Rev!C7</f>
        <v>1</v>
      </c>
      <c r="T7" s="90" t="n">
        <f aca="false">Theory_Rev!D7</f>
        <v>2</v>
      </c>
      <c r="U7" s="90" t="n">
        <f aca="false">Theory_Rev!E7</f>
        <v>3</v>
      </c>
      <c r="V7" s="90" t="n">
        <f aca="false">Theory_Rev!F7</f>
        <v>4</v>
      </c>
      <c r="W7" s="90" t="n">
        <f aca="false">Theory_Rev!G7</f>
        <v>5</v>
      </c>
      <c r="X7" s="90" t="n">
        <f aca="false">Theory_Rev!H7</f>
        <v>6</v>
      </c>
      <c r="Y7" s="90" t="n">
        <f aca="false">Theory_Rev!I7</f>
        <v>7</v>
      </c>
      <c r="Z7" s="90" t="n">
        <f aca="false">Theory_Rev!J7</f>
        <v>8</v>
      </c>
      <c r="AA7" s="90" t="n">
        <f aca="false">Theory_Rev!K7</f>
        <v>9</v>
      </c>
      <c r="AB7" s="90" t="n">
        <f aca="false">Theory_Rev!L7</f>
        <v>10</v>
      </c>
      <c r="AC7" s="90" t="n">
        <f aca="false">Theory_Rev!M7</f>
        <v>11</v>
      </c>
      <c r="AD7" s="90" t="n">
        <f aca="false">Theory_Rev!N7</f>
        <v>12</v>
      </c>
      <c r="AE7" s="90" t="n">
        <f aca="false">Theory_Rev!O7</f>
        <v>13</v>
      </c>
      <c r="AF7" s="90" t="n">
        <f aca="false">Theory_Rev!P7</f>
        <v>14</v>
      </c>
      <c r="AG7" s="90" t="n">
        <f aca="false">Theory_Rev!Q7</f>
        <v>15</v>
      </c>
    </row>
    <row r="10" customFormat="false" ht="15" hidden="false" customHeight="false" outlineLevel="0" collapsed="false">
      <c r="A10" s="61" t="s">
        <v>2253</v>
      </c>
      <c r="B10" s="59" t="s">
        <v>3394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2254</v>
      </c>
      <c r="B11" s="59" t="s">
        <v>3421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2264</v>
      </c>
      <c r="B17" s="59" t="s">
        <v>1040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2265</v>
      </c>
      <c r="B18" s="59" t="s">
        <v>1040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0.0316179029806012</v>
      </c>
      <c r="G18" s="161" t="n">
        <f aca="false">IF(AND(ISNUMBER(Theory_Rev_Prod!G17),ISNUMBER(Amortize_Prod!G13)),Theory_Rev_Prod!G17+Amortize_Prod!G13,"SLO 不可達")</f>
        <v>0.0422129203657971</v>
      </c>
      <c r="H18" s="161" t="n">
        <f aca="false">IF(AND(ISNUMBER(Theory_Rev_Prod!H17),ISNUMBER(Amortize_Prod!H13)),Theory_Rev_Prod!H17+Amortize_Prod!H13,"SLO 不可達")</f>
        <v>0.0684592264927087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0.0252757581494963</v>
      </c>
      <c r="W18" s="161" t="n">
        <f aca="false">IF(AND(ISNUMBER(Theory_Rev_Prod!W17),ISNUMBER(Amortize_Prod!W13)),Theory_Rev_Prod!W17+Amortize_Prod!W13,"SLO 不可達")</f>
        <v>0.0337448229061386</v>
      </c>
      <c r="X18" s="161" t="n">
        <f aca="false">IF(AND(ISNUMBER(Theory_Rev_Prod!X17),ISNUMBER(Amortize_Prod!X13)),Theory_Rev_Prod!X17+Amortize_Prod!X13,"SLO 不可達")</f>
        <v>0.0547246531537095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2253</v>
      </c>
      <c r="B28" s="59" t="s">
        <v>3394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2279</v>
      </c>
      <c r="B29" s="59" t="s">
        <v>3421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2264</v>
      </c>
      <c r="B35" s="59" t="s">
        <v>1040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2284</v>
      </c>
      <c r="B36" s="59" t="s">
        <v>1040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0.1037019329333</v>
      </c>
      <c r="G36" s="161" t="n">
        <f aca="false">IF(AND(ISNUMBER(Theory_Rev_Prod!G35),ISNUMBER(Amortize_Prod!G22)),Theory_Rev_Prod!G35+Amortize_Prod!G22,"SLO 不可達")</f>
        <v>0.138458743671178</v>
      </c>
      <c r="H36" s="161" t="n">
        <f aca="false">IF(AND(ISNUMBER(Theory_Rev_Prod!H35),ISNUMBER(Amortize_Prod!H22)),Theory_Rev_Prod!H35+Amortize_Prod!H22,"SLO 不可達")</f>
        <v>0.224559394708913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0.0843522277428262</v>
      </c>
      <c r="W36" s="161" t="n">
        <f aca="false">IF(AND(ISNUMBER(Theory_Rev_Prod!W35),ISNUMBER(Amortize_Prod!W22)),Theory_Rev_Prod!W35+Amortize_Prod!W22,"SLO 不可達")</f>
        <v>0.112622816909467</v>
      </c>
      <c r="X36" s="161" t="n">
        <f aca="false">IF(AND(ISNUMBER(Theory_Rev_Prod!X35),ISNUMBER(Amortize_Prod!X22)),Theory_Rev_Prod!X35+Amortize_Prod!X22,"SLO 不可達")</f>
        <v>0.182655598421708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2253</v>
      </c>
      <c r="B46" s="59" t="s">
        <v>3394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2292</v>
      </c>
      <c r="B47" s="59" t="s">
        <v>3421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2264</v>
      </c>
      <c r="B53" s="59" t="s">
        <v>1040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2297</v>
      </c>
      <c r="B54" s="59" t="s">
        <v>1040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0.768239561562932</v>
      </c>
      <c r="G54" s="161" t="n">
        <f aca="false">IF(AND(ISNUMBER(Theory_Rev_Prod!G53),ISNUMBER(Amortize_Prod!G32)),Theory_Rev_Prod!G53+Amortize_Prod!G32,"SLO 不可達")</f>
        <v>1.02568658738703</v>
      </c>
      <c r="H54" s="161" t="n">
        <f aca="false">IF(AND(ISNUMBER(Theory_Rev_Prod!H53),ISNUMBER(Amortize_Prod!H32)),Theory_Rev_Prod!H53+Amortize_Prod!H32,"SLO 不可達")</f>
        <v>1.66344235555438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0.599060192145636</v>
      </c>
      <c r="W54" s="161" t="n">
        <f aca="false">IF(AND(ISNUMBER(Theory_Rev_Prod!W53),ISNUMBER(Amortize_Prod!W32)),Theory_Rev_Prod!W53+Amortize_Prod!W32,"SLO 不可達")</f>
        <v>0.79979654126841</v>
      </c>
      <c r="X54" s="161" t="n">
        <f aca="false">IF(AND(ISNUMBER(Theory_Rev_Prod!X53),ISNUMBER(Amortize_Prod!X32)),Theory_Rev_Prod!X53+Amortize_Prod!X32,"SLO 不可達")</f>
        <v>1.2970668597897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2308</v>
      </c>
      <c r="B67" s="59" t="s">
        <v>3421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3422</v>
      </c>
    </row>
    <row r="90" customFormat="false" ht="15" hidden="false" customHeight="false" outlineLevel="0" collapsed="false">
      <c r="A90" s="59" t="s">
        <v>3423</v>
      </c>
      <c r="C90" s="90" t="n">
        <f aca="false">IF(AND(ISNUMBER(S18),ISNUMBER(Theory_Rev!C18)),IF(ABS(S18-Theory_Rev!C18)&lt;=0.000000000001*MAX(1,ABS(Theory_Rev!C18)),0,1),IF(AND(NOT(ISNUMBER(S18)),NOT(ISNUMBER(Theory_Rev!C18))),0,1))</f>
        <v>0</v>
      </c>
      <c r="D90" s="90" t="n">
        <f aca="false">IF(AND(ISNUMBER(T18),ISNUMBER(Theory_Rev!D18)),IF(ABS(T18-Theory_Rev!D18)&lt;=0.000000000001*MAX(1,ABS(Theory_Rev!D18)),0,1),IF(AND(NOT(ISNUMBER(T18)),NOT(ISNUMBER(Theory_Rev!D18))),0,1))</f>
        <v>0</v>
      </c>
      <c r="E90" s="90" t="n">
        <f aca="false">IF(AND(ISNUMBER(U18),ISNUMBER(Theory_Rev!E18)),IF(ABS(U18-Theory_Rev!E18)&lt;=0.000000000001*MAX(1,ABS(Theory_Rev!E18)),0,1),IF(AND(NOT(ISNUMBER(U18)),NOT(ISNUMBER(Theory_Rev!E18))),0,1))</f>
        <v>0</v>
      </c>
      <c r="F90" s="90" t="n">
        <f aca="false">IF(AND(ISNUMBER(V18),ISNUMBER(Theory_Rev!F18)),IF(ABS(V18-Theory_Rev!F18)&lt;=0.000000000001*MAX(1,ABS(Theory_Rev!F18)),0,1),IF(AND(NOT(ISNUMBER(V18)),NOT(ISNUMBER(Theory_Rev!F18))),0,1))</f>
        <v>0</v>
      </c>
      <c r="G90" s="90" t="n">
        <f aca="false">IF(AND(ISNUMBER(W18),ISNUMBER(Theory_Rev!G18)),IF(ABS(W18-Theory_Rev!G18)&lt;=0.000000000001*MAX(1,ABS(Theory_Rev!G18)),0,1),IF(AND(NOT(ISNUMBER(W18)),NOT(ISNUMBER(Theory_Rev!G18))),0,1))</f>
        <v>0</v>
      </c>
      <c r="H90" s="90" t="n">
        <f aca="false">IF(AND(ISNUMBER(X18),ISNUMBER(Theory_Rev!H18)),IF(ABS(X18-Theory_Rev!H18)&lt;=0.000000000001*MAX(1,ABS(Theory_Rev!H18)),0,1),IF(AND(NOT(ISNUMBER(X18)),NOT(ISNUMBER(Theory_Rev!H18))),0,1))</f>
        <v>0</v>
      </c>
      <c r="I90" s="90" t="n">
        <f aca="false">IF(AND(ISNUMBER(Y18),ISNUMBER(Theory_Rev!I18)),IF(ABS(Y18-Theory_Rev!I18)&lt;=0.000000000001*MAX(1,ABS(Theory_Rev!I18)),0,1),IF(AND(NOT(ISNUMBER(Y18)),NOT(ISNUMBER(Theory_Rev!I18))),0,1))</f>
        <v>0</v>
      </c>
      <c r="J90" s="90" t="n">
        <f aca="false">IF(AND(ISNUMBER(Z18),ISNUMBER(Theory_Rev!J18)),IF(ABS(Z18-Theory_Rev!J18)&lt;=0.000000000001*MAX(1,ABS(Theory_Rev!J18)),0,1),IF(AND(NOT(ISNUMBER(Z18)),NOT(ISNUMBER(Theory_Rev!J18))),0,1))</f>
        <v>0</v>
      </c>
      <c r="K90" s="90" t="n">
        <f aca="false">IF(AND(ISNUMBER(AA18),ISNUMBER(Theory_Rev!K18)),IF(ABS(AA18-Theory_Rev!K18)&lt;=0.000000000001*MAX(1,ABS(Theory_Rev!K18)),0,1),IF(AND(NOT(ISNUMBER(AA18)),NOT(ISNUMBER(Theory_Rev!K18))),0,1))</f>
        <v>0</v>
      </c>
      <c r="L90" s="90" t="n">
        <f aca="false">IF(AND(ISNUMBER(AB18),ISNUMBER(Theory_Rev!L18)),IF(ABS(AB18-Theory_Rev!L18)&lt;=0.000000000001*MAX(1,ABS(Theory_Rev!L18)),0,1),IF(AND(NOT(ISNUMBER(AB18)),NOT(ISNUMBER(Theory_Rev!L18))),0,1))</f>
        <v>0</v>
      </c>
      <c r="M90" s="90" t="n">
        <f aca="false">IF(AND(ISNUMBER(AC18),ISNUMBER(Theory_Rev!M18)),IF(ABS(AC18-Theory_Rev!M18)&lt;=0.000000000001*MAX(1,ABS(Theory_Rev!M18)),0,1),IF(AND(NOT(ISNUMBER(AC18)),NOT(ISNUMBER(Theory_Rev!M18))),0,1))</f>
        <v>0</v>
      </c>
      <c r="N90" s="90" t="n">
        <f aca="false">IF(AND(ISNUMBER(AD18),ISNUMBER(Theory_Rev!N18)),IF(ABS(AD18-Theory_Rev!N18)&lt;=0.000000000001*MAX(1,ABS(Theory_Rev!N18)),0,1),IF(AND(NOT(ISNUMBER(AD18)),NOT(ISNUMBER(Theory_Rev!N18))),0,1))</f>
        <v>0</v>
      </c>
      <c r="O90" s="90" t="n">
        <f aca="false">IF(AND(ISNUMBER(AE18),ISNUMBER(Theory_Rev!O18)),IF(ABS(AE18-Theory_Rev!O18)&lt;=0.000000000001*MAX(1,ABS(Theory_Rev!O18)),0,1),IF(AND(NOT(ISNUMBER(AE18)),NOT(ISNUMBER(Theory_Rev!O18))),0,1))</f>
        <v>0</v>
      </c>
      <c r="P90" s="90" t="n">
        <f aca="false">IF(AND(ISNUMBER(AF18),ISNUMBER(Theory_Rev!P18)),IF(ABS(AF18-Theory_Rev!P18)&lt;=0.000000000001*MAX(1,ABS(Theory_Rev!P18)),0,1),IF(AND(NOT(ISNUMBER(AF18)),NOT(ISNUMBER(Theory_Rev!P18))),0,1))</f>
        <v>0</v>
      </c>
      <c r="Q90" s="90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3424</v>
      </c>
      <c r="C91" s="90" t="n">
        <f aca="false">IF(AND(ISNUMBER(S36),ISNUMBER(Theory_Rev!C36)),IF(ABS(S36-Theory_Rev!C36)&lt;=0.000000000001*MAX(1,ABS(Theory_Rev!C36)),0,1),IF(AND(NOT(ISNUMBER(S36)),NOT(ISNUMBER(Theory_Rev!C36))),0,1))</f>
        <v>0</v>
      </c>
      <c r="D91" s="90" t="n">
        <f aca="false">IF(AND(ISNUMBER(T36),ISNUMBER(Theory_Rev!D36)),IF(ABS(T36-Theory_Rev!D36)&lt;=0.000000000001*MAX(1,ABS(Theory_Rev!D36)),0,1),IF(AND(NOT(ISNUMBER(T36)),NOT(ISNUMBER(Theory_Rev!D36))),0,1))</f>
        <v>0</v>
      </c>
      <c r="E91" s="90" t="n">
        <f aca="false">IF(AND(ISNUMBER(U36),ISNUMBER(Theory_Rev!E36)),IF(ABS(U36-Theory_Rev!E36)&lt;=0.000000000001*MAX(1,ABS(Theory_Rev!E36)),0,1),IF(AND(NOT(ISNUMBER(U36)),NOT(ISNUMBER(Theory_Rev!E36))),0,1))</f>
        <v>0</v>
      </c>
      <c r="F91" s="90" t="n">
        <f aca="false">IF(AND(ISNUMBER(V36),ISNUMBER(Theory_Rev!F36)),IF(ABS(V36-Theory_Rev!F36)&lt;=0.000000000001*MAX(1,ABS(Theory_Rev!F36)),0,1),IF(AND(NOT(ISNUMBER(V36)),NOT(ISNUMBER(Theory_Rev!F36))),0,1))</f>
        <v>0</v>
      </c>
      <c r="G91" s="90" t="n">
        <f aca="false">IF(AND(ISNUMBER(W36),ISNUMBER(Theory_Rev!G36)),IF(ABS(W36-Theory_Rev!G36)&lt;=0.000000000001*MAX(1,ABS(Theory_Rev!G36)),0,1),IF(AND(NOT(ISNUMBER(W36)),NOT(ISNUMBER(Theory_Rev!G36))),0,1))</f>
        <v>0</v>
      </c>
      <c r="H91" s="90" t="n">
        <f aca="false">IF(AND(ISNUMBER(X36),ISNUMBER(Theory_Rev!H36)),IF(ABS(X36-Theory_Rev!H36)&lt;=0.000000000001*MAX(1,ABS(Theory_Rev!H36)),0,1),IF(AND(NOT(ISNUMBER(X36)),NOT(ISNUMBER(Theory_Rev!H36))),0,1))</f>
        <v>0</v>
      </c>
      <c r="I91" s="90" t="n">
        <f aca="false">IF(AND(ISNUMBER(Y36),ISNUMBER(Theory_Rev!I36)),IF(ABS(Y36-Theory_Rev!I36)&lt;=0.000000000001*MAX(1,ABS(Theory_Rev!I36)),0,1),IF(AND(NOT(ISNUMBER(Y36)),NOT(ISNUMBER(Theory_Rev!I36))),0,1))</f>
        <v>0</v>
      </c>
      <c r="J91" s="90" t="n">
        <f aca="false">IF(AND(ISNUMBER(Z36),ISNUMBER(Theory_Rev!J36)),IF(ABS(Z36-Theory_Rev!J36)&lt;=0.000000000001*MAX(1,ABS(Theory_Rev!J36)),0,1),IF(AND(NOT(ISNUMBER(Z36)),NOT(ISNUMBER(Theory_Rev!J36))),0,1))</f>
        <v>0</v>
      </c>
      <c r="K91" s="90" t="n">
        <f aca="false">IF(AND(ISNUMBER(AA36),ISNUMBER(Theory_Rev!K36)),IF(ABS(AA36-Theory_Rev!K36)&lt;=0.000000000001*MAX(1,ABS(Theory_Rev!K36)),0,1),IF(AND(NOT(ISNUMBER(AA36)),NOT(ISNUMBER(Theory_Rev!K36))),0,1))</f>
        <v>0</v>
      </c>
      <c r="L91" s="90" t="n">
        <f aca="false">IF(AND(ISNUMBER(AB36),ISNUMBER(Theory_Rev!L36)),IF(ABS(AB36-Theory_Rev!L36)&lt;=0.000000000001*MAX(1,ABS(Theory_Rev!L36)),0,1),IF(AND(NOT(ISNUMBER(AB36)),NOT(ISNUMBER(Theory_Rev!L36))),0,1))</f>
        <v>0</v>
      </c>
      <c r="M91" s="90" t="n">
        <f aca="false">IF(AND(ISNUMBER(AC36),ISNUMBER(Theory_Rev!M36)),IF(ABS(AC36-Theory_Rev!M36)&lt;=0.000000000001*MAX(1,ABS(Theory_Rev!M36)),0,1),IF(AND(NOT(ISNUMBER(AC36)),NOT(ISNUMBER(Theory_Rev!M36))),0,1))</f>
        <v>0</v>
      </c>
      <c r="N91" s="90" t="n">
        <f aca="false">IF(AND(ISNUMBER(AD36),ISNUMBER(Theory_Rev!N36)),IF(ABS(AD36-Theory_Rev!N36)&lt;=0.000000000001*MAX(1,ABS(Theory_Rev!N36)),0,1),IF(AND(NOT(ISNUMBER(AD36)),NOT(ISNUMBER(Theory_Rev!N36))),0,1))</f>
        <v>0</v>
      </c>
      <c r="O91" s="90" t="n">
        <f aca="false">IF(AND(ISNUMBER(AE36),ISNUMBER(Theory_Rev!O36)),IF(ABS(AE36-Theory_Rev!O36)&lt;=0.000000000001*MAX(1,ABS(Theory_Rev!O36)),0,1),IF(AND(NOT(ISNUMBER(AE36)),NOT(ISNUMBER(Theory_Rev!O36))),0,1))</f>
        <v>0</v>
      </c>
      <c r="P91" s="90" t="n">
        <f aca="false">IF(AND(ISNUMBER(AF36),ISNUMBER(Theory_Rev!P36)),IF(ABS(AF36-Theory_Rev!P36)&lt;=0.000000000001*MAX(1,ABS(Theory_Rev!P36)),0,1),IF(AND(NOT(ISNUMBER(AF36)),NOT(ISNUMBER(Theory_Rev!P36))),0,1))</f>
        <v>0</v>
      </c>
      <c r="Q91" s="90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3425</v>
      </c>
      <c r="C92" s="90" t="n">
        <f aca="false">IF(AND(ISNUMBER(S54),ISNUMBER(Theory_Rev!C54)),IF(ABS(S54-Theory_Rev!C54)&lt;=0.000000000001*MAX(1,ABS(Theory_Rev!C54)),0,1),IF(AND(NOT(ISNUMBER(S54)),NOT(ISNUMBER(Theory_Rev!C54))),0,1))</f>
        <v>0</v>
      </c>
      <c r="D92" s="90" t="n">
        <f aca="false">IF(AND(ISNUMBER(T54),ISNUMBER(Theory_Rev!D54)),IF(ABS(T54-Theory_Rev!D54)&lt;=0.000000000001*MAX(1,ABS(Theory_Rev!D54)),0,1),IF(AND(NOT(ISNUMBER(T54)),NOT(ISNUMBER(Theory_Rev!D54))),0,1))</f>
        <v>0</v>
      </c>
      <c r="E92" s="90" t="n">
        <f aca="false">IF(AND(ISNUMBER(U54),ISNUMBER(Theory_Rev!E54)),IF(ABS(U54-Theory_Rev!E54)&lt;=0.000000000001*MAX(1,ABS(Theory_Rev!E54)),0,1),IF(AND(NOT(ISNUMBER(U54)),NOT(ISNUMBER(Theory_Rev!E54))),0,1))</f>
        <v>0</v>
      </c>
      <c r="F92" s="90" t="n">
        <f aca="false">IF(AND(ISNUMBER(V54),ISNUMBER(Theory_Rev!F54)),IF(ABS(V54-Theory_Rev!F54)&lt;=0.000000000001*MAX(1,ABS(Theory_Rev!F54)),0,1),IF(AND(NOT(ISNUMBER(V54)),NOT(ISNUMBER(Theory_Rev!F54))),0,1))</f>
        <v>0</v>
      </c>
      <c r="G92" s="90" t="n">
        <f aca="false">IF(AND(ISNUMBER(W54),ISNUMBER(Theory_Rev!G54)),IF(ABS(W54-Theory_Rev!G54)&lt;=0.000000000001*MAX(1,ABS(Theory_Rev!G54)),0,1),IF(AND(NOT(ISNUMBER(W54)),NOT(ISNUMBER(Theory_Rev!G54))),0,1))</f>
        <v>0</v>
      </c>
      <c r="H92" s="90" t="n">
        <f aca="false">IF(AND(ISNUMBER(X54),ISNUMBER(Theory_Rev!H54)),IF(ABS(X54-Theory_Rev!H54)&lt;=0.000000000001*MAX(1,ABS(Theory_Rev!H54)),0,1),IF(AND(NOT(ISNUMBER(X54)),NOT(ISNUMBER(Theory_Rev!H54))),0,1))</f>
        <v>0</v>
      </c>
      <c r="I92" s="90" t="n">
        <f aca="false">IF(AND(ISNUMBER(Y54),ISNUMBER(Theory_Rev!I54)),IF(ABS(Y54-Theory_Rev!I54)&lt;=0.000000000001*MAX(1,ABS(Theory_Rev!I54)),0,1),IF(AND(NOT(ISNUMBER(Y54)),NOT(ISNUMBER(Theory_Rev!I54))),0,1))</f>
        <v>0</v>
      </c>
      <c r="J92" s="90" t="n">
        <f aca="false">IF(AND(ISNUMBER(Z54),ISNUMBER(Theory_Rev!J54)),IF(ABS(Z54-Theory_Rev!J54)&lt;=0.000000000001*MAX(1,ABS(Theory_Rev!J54)),0,1),IF(AND(NOT(ISNUMBER(Z54)),NOT(ISNUMBER(Theory_Rev!J54))),0,1))</f>
        <v>0</v>
      </c>
      <c r="K92" s="90" t="n">
        <f aca="false">IF(AND(ISNUMBER(AA54),ISNUMBER(Theory_Rev!K54)),IF(ABS(AA54-Theory_Rev!K54)&lt;=0.000000000001*MAX(1,ABS(Theory_Rev!K54)),0,1),IF(AND(NOT(ISNUMBER(AA54)),NOT(ISNUMBER(Theory_Rev!K54))),0,1))</f>
        <v>0</v>
      </c>
      <c r="L92" s="90" t="n">
        <f aca="false">IF(AND(ISNUMBER(AB54),ISNUMBER(Theory_Rev!L54)),IF(ABS(AB54-Theory_Rev!L54)&lt;=0.000000000001*MAX(1,ABS(Theory_Rev!L54)),0,1),IF(AND(NOT(ISNUMBER(AB54)),NOT(ISNUMBER(Theory_Rev!L54))),0,1))</f>
        <v>0</v>
      </c>
      <c r="M92" s="90" t="n">
        <f aca="false">IF(AND(ISNUMBER(AC54),ISNUMBER(Theory_Rev!M54)),IF(ABS(AC54-Theory_Rev!M54)&lt;=0.000000000001*MAX(1,ABS(Theory_Rev!M54)),0,1),IF(AND(NOT(ISNUMBER(AC54)),NOT(ISNUMBER(Theory_Rev!M54))),0,1))</f>
        <v>0</v>
      </c>
      <c r="N92" s="90" t="n">
        <f aca="false">IF(AND(ISNUMBER(AD54),ISNUMBER(Theory_Rev!N54)),IF(ABS(AD54-Theory_Rev!N54)&lt;=0.000000000001*MAX(1,ABS(Theory_Rev!N54)),0,1),IF(AND(NOT(ISNUMBER(AD54)),NOT(ISNUMBER(Theory_Rev!N54))),0,1))</f>
        <v>0</v>
      </c>
      <c r="O92" s="90" t="n">
        <f aca="false">IF(AND(ISNUMBER(AE54),ISNUMBER(Theory_Rev!O54)),IF(ABS(AE54-Theory_Rev!O54)&lt;=0.000000000001*MAX(1,ABS(Theory_Rev!O54)),0,1),IF(AND(NOT(ISNUMBER(AE54)),NOT(ISNUMBER(Theory_Rev!O54))),0,1))</f>
        <v>0</v>
      </c>
      <c r="P92" s="90" t="n">
        <f aca="false">IF(AND(ISNUMBER(AF54),ISNUMBER(Theory_Rev!P54)),IF(ABS(AF54-Theory_Rev!P54)&lt;=0.000000000001*MAX(1,ABS(Theory_Rev!P54)),0,1),IF(AND(NOT(ISNUMBER(AF54)),NOT(ISNUMBER(Theory_Rev!P54))),0,1))</f>
        <v>0</v>
      </c>
      <c r="Q92" s="90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3426</v>
      </c>
      <c r="C93" s="90" t="n">
        <f aca="false">IF(AND(ISNUMBER(S11),ISNUMBER(Theory_Rev!C11)),IF(ABS(S11-Theory_Rev!C11)&lt;=0.000000000001*MAX(1,ABS(Theory_Rev!C11)),0,1),IF(AND(NOT(ISNUMBER(S11)),NOT(ISNUMBER(Theory_Rev!C11))),0,1))</f>
        <v>0</v>
      </c>
      <c r="D93" s="90" t="n">
        <f aca="false">IF(AND(ISNUMBER(T11),ISNUMBER(Theory_Rev!D11)),IF(ABS(T11-Theory_Rev!D11)&lt;=0.000000000001*MAX(1,ABS(Theory_Rev!D11)),0,1),IF(AND(NOT(ISNUMBER(T11)),NOT(ISNUMBER(Theory_Rev!D11))),0,1))</f>
        <v>0</v>
      </c>
      <c r="E93" s="90" t="n">
        <f aca="false">IF(AND(ISNUMBER(U11),ISNUMBER(Theory_Rev!E11)),IF(ABS(U11-Theory_Rev!E11)&lt;=0.000000000001*MAX(1,ABS(Theory_Rev!E11)),0,1),IF(AND(NOT(ISNUMBER(U11)),NOT(ISNUMBER(Theory_Rev!E11))),0,1))</f>
        <v>0</v>
      </c>
      <c r="F93" s="90" t="n">
        <f aca="false">IF(AND(ISNUMBER(V11),ISNUMBER(Theory_Rev!F11)),IF(ABS(V11-Theory_Rev!F11)&lt;=0.000000000001*MAX(1,ABS(Theory_Rev!F11)),0,1),IF(AND(NOT(ISNUMBER(V11)),NOT(ISNUMBER(Theory_Rev!F11))),0,1))</f>
        <v>0</v>
      </c>
      <c r="G93" s="90" t="n">
        <f aca="false">IF(AND(ISNUMBER(W11),ISNUMBER(Theory_Rev!G11)),IF(ABS(W11-Theory_Rev!G11)&lt;=0.000000000001*MAX(1,ABS(Theory_Rev!G11)),0,1),IF(AND(NOT(ISNUMBER(W11)),NOT(ISNUMBER(Theory_Rev!G11))),0,1))</f>
        <v>0</v>
      </c>
      <c r="H93" s="90" t="n">
        <f aca="false">IF(AND(ISNUMBER(X11),ISNUMBER(Theory_Rev!H11)),IF(ABS(X11-Theory_Rev!H11)&lt;=0.000000000001*MAX(1,ABS(Theory_Rev!H11)),0,1),IF(AND(NOT(ISNUMBER(X11)),NOT(ISNUMBER(Theory_Rev!H11))),0,1))</f>
        <v>0</v>
      </c>
      <c r="I93" s="90" t="n">
        <f aca="false">IF(AND(ISNUMBER(Y11),ISNUMBER(Theory_Rev!I11)),IF(ABS(Y11-Theory_Rev!I11)&lt;=0.000000000001*MAX(1,ABS(Theory_Rev!I11)),0,1),IF(AND(NOT(ISNUMBER(Y11)),NOT(ISNUMBER(Theory_Rev!I11))),0,1))</f>
        <v>0</v>
      </c>
      <c r="J93" s="90" t="n">
        <f aca="false">IF(AND(ISNUMBER(Z11),ISNUMBER(Theory_Rev!J11)),IF(ABS(Z11-Theory_Rev!J11)&lt;=0.000000000001*MAX(1,ABS(Theory_Rev!J11)),0,1),IF(AND(NOT(ISNUMBER(Z11)),NOT(ISNUMBER(Theory_Rev!J11))),0,1))</f>
        <v>0</v>
      </c>
      <c r="K93" s="90" t="n">
        <f aca="false">IF(AND(ISNUMBER(AA11),ISNUMBER(Theory_Rev!K11)),IF(ABS(AA11-Theory_Rev!K11)&lt;=0.000000000001*MAX(1,ABS(Theory_Rev!K11)),0,1),IF(AND(NOT(ISNUMBER(AA11)),NOT(ISNUMBER(Theory_Rev!K11))),0,1))</f>
        <v>0</v>
      </c>
      <c r="L93" s="90" t="n">
        <f aca="false">IF(AND(ISNUMBER(AB11),ISNUMBER(Theory_Rev!L11)),IF(ABS(AB11-Theory_Rev!L11)&lt;=0.000000000001*MAX(1,ABS(Theory_Rev!L11)),0,1),IF(AND(NOT(ISNUMBER(AB11)),NOT(ISNUMBER(Theory_Rev!L11))),0,1))</f>
        <v>0</v>
      </c>
      <c r="M93" s="90" t="n">
        <f aca="false">IF(AND(ISNUMBER(AC11),ISNUMBER(Theory_Rev!M11)),IF(ABS(AC11-Theory_Rev!M11)&lt;=0.000000000001*MAX(1,ABS(Theory_Rev!M11)),0,1),IF(AND(NOT(ISNUMBER(AC11)),NOT(ISNUMBER(Theory_Rev!M11))),0,1))</f>
        <v>0</v>
      </c>
      <c r="N93" s="90" t="n">
        <f aca="false">IF(AND(ISNUMBER(AD11),ISNUMBER(Theory_Rev!N11)),IF(ABS(AD11-Theory_Rev!N11)&lt;=0.000000000001*MAX(1,ABS(Theory_Rev!N11)),0,1),IF(AND(NOT(ISNUMBER(AD11)),NOT(ISNUMBER(Theory_Rev!N11))),0,1))</f>
        <v>0</v>
      </c>
      <c r="O93" s="90" t="n">
        <f aca="false">IF(AND(ISNUMBER(AE11),ISNUMBER(Theory_Rev!O11)),IF(ABS(AE11-Theory_Rev!O11)&lt;=0.000000000001*MAX(1,ABS(Theory_Rev!O11)),0,1),IF(AND(NOT(ISNUMBER(AE11)),NOT(ISNUMBER(Theory_Rev!O11))),0,1))</f>
        <v>0</v>
      </c>
      <c r="P93" s="90" t="n">
        <f aca="false">IF(AND(ISNUMBER(AF11),ISNUMBER(Theory_Rev!P11)),IF(ABS(AF11-Theory_Rev!P11)&lt;=0.000000000001*MAX(1,ABS(Theory_Rev!P11)),0,1),IF(AND(NOT(ISNUMBER(AF11)),NOT(ISNUMBER(Theory_Rev!P11))),0,1))</f>
        <v>0</v>
      </c>
      <c r="Q93" s="90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3427</v>
      </c>
      <c r="C94" s="90" t="n">
        <f aca="false">IF(AND(ISNUMBER(S29),ISNUMBER(Theory_Rev!C29)),IF(ABS(S29-Theory_Rev!C29)&lt;=0.000000000001*MAX(1,ABS(Theory_Rev!C29)),0,1),IF(AND(NOT(ISNUMBER(S29)),NOT(ISNUMBER(Theory_Rev!C29))),0,1))</f>
        <v>0</v>
      </c>
      <c r="D94" s="90" t="n">
        <f aca="false">IF(AND(ISNUMBER(T29),ISNUMBER(Theory_Rev!D29)),IF(ABS(T29-Theory_Rev!D29)&lt;=0.000000000001*MAX(1,ABS(Theory_Rev!D29)),0,1),IF(AND(NOT(ISNUMBER(T29)),NOT(ISNUMBER(Theory_Rev!D29))),0,1))</f>
        <v>0</v>
      </c>
      <c r="E94" s="90" t="n">
        <f aca="false">IF(AND(ISNUMBER(U29),ISNUMBER(Theory_Rev!E29)),IF(ABS(U29-Theory_Rev!E29)&lt;=0.000000000001*MAX(1,ABS(Theory_Rev!E29)),0,1),IF(AND(NOT(ISNUMBER(U29)),NOT(ISNUMBER(Theory_Rev!E29))),0,1))</f>
        <v>0</v>
      </c>
      <c r="F94" s="90" t="n">
        <f aca="false">IF(AND(ISNUMBER(V29),ISNUMBER(Theory_Rev!F29)),IF(ABS(V29-Theory_Rev!F29)&lt;=0.000000000001*MAX(1,ABS(Theory_Rev!F29)),0,1),IF(AND(NOT(ISNUMBER(V29)),NOT(ISNUMBER(Theory_Rev!F29))),0,1))</f>
        <v>0</v>
      </c>
      <c r="G94" s="90" t="n">
        <f aca="false">IF(AND(ISNUMBER(W29),ISNUMBER(Theory_Rev!G29)),IF(ABS(W29-Theory_Rev!G29)&lt;=0.000000000001*MAX(1,ABS(Theory_Rev!G29)),0,1),IF(AND(NOT(ISNUMBER(W29)),NOT(ISNUMBER(Theory_Rev!G29))),0,1))</f>
        <v>0</v>
      </c>
      <c r="H94" s="90" t="n">
        <f aca="false">IF(AND(ISNUMBER(X29),ISNUMBER(Theory_Rev!H29)),IF(ABS(X29-Theory_Rev!H29)&lt;=0.000000000001*MAX(1,ABS(Theory_Rev!H29)),0,1),IF(AND(NOT(ISNUMBER(X29)),NOT(ISNUMBER(Theory_Rev!H29))),0,1))</f>
        <v>0</v>
      </c>
      <c r="I94" s="90" t="n">
        <f aca="false">IF(AND(ISNUMBER(Y29),ISNUMBER(Theory_Rev!I29)),IF(ABS(Y29-Theory_Rev!I29)&lt;=0.000000000001*MAX(1,ABS(Theory_Rev!I29)),0,1),IF(AND(NOT(ISNUMBER(Y29)),NOT(ISNUMBER(Theory_Rev!I29))),0,1))</f>
        <v>0</v>
      </c>
      <c r="J94" s="90" t="n">
        <f aca="false">IF(AND(ISNUMBER(Z29),ISNUMBER(Theory_Rev!J29)),IF(ABS(Z29-Theory_Rev!J29)&lt;=0.000000000001*MAX(1,ABS(Theory_Rev!J29)),0,1),IF(AND(NOT(ISNUMBER(Z29)),NOT(ISNUMBER(Theory_Rev!J29))),0,1))</f>
        <v>0</v>
      </c>
      <c r="K94" s="90" t="n">
        <f aca="false">IF(AND(ISNUMBER(AA29),ISNUMBER(Theory_Rev!K29)),IF(ABS(AA29-Theory_Rev!K29)&lt;=0.000000000001*MAX(1,ABS(Theory_Rev!K29)),0,1),IF(AND(NOT(ISNUMBER(AA29)),NOT(ISNUMBER(Theory_Rev!K29))),0,1))</f>
        <v>0</v>
      </c>
      <c r="L94" s="90" t="n">
        <f aca="false">IF(AND(ISNUMBER(AB29),ISNUMBER(Theory_Rev!L29)),IF(ABS(AB29-Theory_Rev!L29)&lt;=0.000000000001*MAX(1,ABS(Theory_Rev!L29)),0,1),IF(AND(NOT(ISNUMBER(AB29)),NOT(ISNUMBER(Theory_Rev!L29))),0,1))</f>
        <v>0</v>
      </c>
      <c r="M94" s="90" t="n">
        <f aca="false">IF(AND(ISNUMBER(AC29),ISNUMBER(Theory_Rev!M29)),IF(ABS(AC29-Theory_Rev!M29)&lt;=0.000000000001*MAX(1,ABS(Theory_Rev!M29)),0,1),IF(AND(NOT(ISNUMBER(AC29)),NOT(ISNUMBER(Theory_Rev!M29))),0,1))</f>
        <v>0</v>
      </c>
      <c r="N94" s="90" t="n">
        <f aca="false">IF(AND(ISNUMBER(AD29),ISNUMBER(Theory_Rev!N29)),IF(ABS(AD29-Theory_Rev!N29)&lt;=0.000000000001*MAX(1,ABS(Theory_Rev!N29)),0,1),IF(AND(NOT(ISNUMBER(AD29)),NOT(ISNUMBER(Theory_Rev!N29))),0,1))</f>
        <v>0</v>
      </c>
      <c r="O94" s="90" t="n">
        <f aca="false">IF(AND(ISNUMBER(AE29),ISNUMBER(Theory_Rev!O29)),IF(ABS(AE29-Theory_Rev!O29)&lt;=0.000000000001*MAX(1,ABS(Theory_Rev!O29)),0,1),IF(AND(NOT(ISNUMBER(AE29)),NOT(ISNUMBER(Theory_Rev!O29))),0,1))</f>
        <v>0</v>
      </c>
      <c r="P94" s="90" t="n">
        <f aca="false">IF(AND(ISNUMBER(AF29),ISNUMBER(Theory_Rev!P29)),IF(ABS(AF29-Theory_Rev!P29)&lt;=0.000000000001*MAX(1,ABS(Theory_Rev!P29)),0,1),IF(AND(NOT(ISNUMBER(AF29)),NOT(ISNUMBER(Theory_Rev!P29))),0,1))</f>
        <v>0</v>
      </c>
      <c r="Q94" s="90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3428</v>
      </c>
      <c r="C95" s="90" t="n">
        <f aca="false">IF(AND(ISNUMBER(S47),ISNUMBER(Theory_Rev!C47)),IF(ABS(S47-Theory_Rev!C47)&lt;=0.000000000001*MAX(1,ABS(Theory_Rev!C47)),0,1),IF(AND(NOT(ISNUMBER(S47)),NOT(ISNUMBER(Theory_Rev!C47))),0,1))</f>
        <v>0</v>
      </c>
      <c r="D95" s="90" t="n">
        <f aca="false">IF(AND(ISNUMBER(T47),ISNUMBER(Theory_Rev!D47)),IF(ABS(T47-Theory_Rev!D47)&lt;=0.000000000001*MAX(1,ABS(Theory_Rev!D47)),0,1),IF(AND(NOT(ISNUMBER(T47)),NOT(ISNUMBER(Theory_Rev!D47))),0,1))</f>
        <v>0</v>
      </c>
      <c r="E95" s="90" t="n">
        <f aca="false">IF(AND(ISNUMBER(U47),ISNUMBER(Theory_Rev!E47)),IF(ABS(U47-Theory_Rev!E47)&lt;=0.000000000001*MAX(1,ABS(Theory_Rev!E47)),0,1),IF(AND(NOT(ISNUMBER(U47)),NOT(ISNUMBER(Theory_Rev!E47))),0,1))</f>
        <v>0</v>
      </c>
      <c r="F95" s="90" t="n">
        <f aca="false">IF(AND(ISNUMBER(V47),ISNUMBER(Theory_Rev!F47)),IF(ABS(V47-Theory_Rev!F47)&lt;=0.000000000001*MAX(1,ABS(Theory_Rev!F47)),0,1),IF(AND(NOT(ISNUMBER(V47)),NOT(ISNUMBER(Theory_Rev!F47))),0,1))</f>
        <v>0</v>
      </c>
      <c r="G95" s="90" t="n">
        <f aca="false">IF(AND(ISNUMBER(W47),ISNUMBER(Theory_Rev!G47)),IF(ABS(W47-Theory_Rev!G47)&lt;=0.000000000001*MAX(1,ABS(Theory_Rev!G47)),0,1),IF(AND(NOT(ISNUMBER(W47)),NOT(ISNUMBER(Theory_Rev!G47))),0,1))</f>
        <v>0</v>
      </c>
      <c r="H95" s="90" t="n">
        <f aca="false">IF(AND(ISNUMBER(X47),ISNUMBER(Theory_Rev!H47)),IF(ABS(X47-Theory_Rev!H47)&lt;=0.000000000001*MAX(1,ABS(Theory_Rev!H47)),0,1),IF(AND(NOT(ISNUMBER(X47)),NOT(ISNUMBER(Theory_Rev!H47))),0,1))</f>
        <v>0</v>
      </c>
      <c r="I95" s="90" t="n">
        <f aca="false">IF(AND(ISNUMBER(Y47),ISNUMBER(Theory_Rev!I47)),IF(ABS(Y47-Theory_Rev!I47)&lt;=0.000000000001*MAX(1,ABS(Theory_Rev!I47)),0,1),IF(AND(NOT(ISNUMBER(Y47)),NOT(ISNUMBER(Theory_Rev!I47))),0,1))</f>
        <v>0</v>
      </c>
      <c r="J95" s="90" t="n">
        <f aca="false">IF(AND(ISNUMBER(Z47),ISNUMBER(Theory_Rev!J47)),IF(ABS(Z47-Theory_Rev!J47)&lt;=0.000000000001*MAX(1,ABS(Theory_Rev!J47)),0,1),IF(AND(NOT(ISNUMBER(Z47)),NOT(ISNUMBER(Theory_Rev!J47))),0,1))</f>
        <v>0</v>
      </c>
      <c r="K95" s="90" t="n">
        <f aca="false">IF(AND(ISNUMBER(AA47),ISNUMBER(Theory_Rev!K47)),IF(ABS(AA47-Theory_Rev!K47)&lt;=0.000000000001*MAX(1,ABS(Theory_Rev!K47)),0,1),IF(AND(NOT(ISNUMBER(AA47)),NOT(ISNUMBER(Theory_Rev!K47))),0,1))</f>
        <v>0</v>
      </c>
      <c r="L95" s="90" t="n">
        <f aca="false">IF(AND(ISNUMBER(AB47),ISNUMBER(Theory_Rev!L47)),IF(ABS(AB47-Theory_Rev!L47)&lt;=0.000000000001*MAX(1,ABS(Theory_Rev!L47)),0,1),IF(AND(NOT(ISNUMBER(AB47)),NOT(ISNUMBER(Theory_Rev!L47))),0,1))</f>
        <v>0</v>
      </c>
      <c r="M95" s="90" t="n">
        <f aca="false">IF(AND(ISNUMBER(AC47),ISNUMBER(Theory_Rev!M47)),IF(ABS(AC47-Theory_Rev!M47)&lt;=0.000000000001*MAX(1,ABS(Theory_Rev!M47)),0,1),IF(AND(NOT(ISNUMBER(AC47)),NOT(ISNUMBER(Theory_Rev!M47))),0,1))</f>
        <v>0</v>
      </c>
      <c r="N95" s="90" t="n">
        <f aca="false">IF(AND(ISNUMBER(AD47),ISNUMBER(Theory_Rev!N47)),IF(ABS(AD47-Theory_Rev!N47)&lt;=0.000000000001*MAX(1,ABS(Theory_Rev!N47)),0,1),IF(AND(NOT(ISNUMBER(AD47)),NOT(ISNUMBER(Theory_Rev!N47))),0,1))</f>
        <v>0</v>
      </c>
      <c r="O95" s="90" t="n">
        <f aca="false">IF(AND(ISNUMBER(AE47),ISNUMBER(Theory_Rev!O47)),IF(ABS(AE47-Theory_Rev!O47)&lt;=0.000000000001*MAX(1,ABS(Theory_Rev!O47)),0,1),IF(AND(NOT(ISNUMBER(AE47)),NOT(ISNUMBER(Theory_Rev!O47))),0,1))</f>
        <v>0</v>
      </c>
      <c r="P95" s="90" t="n">
        <f aca="false">IF(AND(ISNUMBER(AF47),ISNUMBER(Theory_Rev!P47)),IF(ABS(AF47-Theory_Rev!P47)&lt;=0.000000000001*MAX(1,ABS(Theory_Rev!P47)),0,1),IF(AND(NOT(ISNUMBER(AF47)),NOT(ISNUMBER(Theory_Rev!P47))),0,1))</f>
        <v>0</v>
      </c>
      <c r="Q95" s="90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3429</v>
      </c>
      <c r="C96" s="90" t="n">
        <f aca="false">IF(AND(ISNUMBER(S67),ISNUMBER(Theory_Rev!C67)),IF(ABS(S67-Theory_Rev!C67)&lt;=0.000000000001*MAX(1,ABS(Theory_Rev!C67)),0,1),IF(AND(NOT(ISNUMBER(S67)),NOT(ISNUMBER(Theory_Rev!C67))),0,1))</f>
        <v>0</v>
      </c>
      <c r="D96" s="90" t="n">
        <f aca="false">IF(AND(ISNUMBER(T67),ISNUMBER(Theory_Rev!D67)),IF(ABS(T67-Theory_Rev!D67)&lt;=0.000000000001*MAX(1,ABS(Theory_Rev!D67)),0,1),IF(AND(NOT(ISNUMBER(T67)),NOT(ISNUMBER(Theory_Rev!D67))),0,1))</f>
        <v>0</v>
      </c>
      <c r="E96" s="90" t="n">
        <f aca="false">IF(AND(ISNUMBER(U67),ISNUMBER(Theory_Rev!E67)),IF(ABS(U67-Theory_Rev!E67)&lt;=0.000000000001*MAX(1,ABS(Theory_Rev!E67)),0,1),IF(AND(NOT(ISNUMBER(U67)),NOT(ISNUMBER(Theory_Rev!E67))),0,1))</f>
        <v>0</v>
      </c>
      <c r="F96" s="90" t="n">
        <f aca="false">IF(AND(ISNUMBER(V67),ISNUMBER(Theory_Rev!F67)),IF(ABS(V67-Theory_Rev!F67)&lt;=0.000000000001*MAX(1,ABS(Theory_Rev!F67)),0,1),IF(AND(NOT(ISNUMBER(V67)),NOT(ISNUMBER(Theory_Rev!F67))),0,1))</f>
        <v>0</v>
      </c>
      <c r="G96" s="90" t="n">
        <f aca="false">IF(AND(ISNUMBER(W67),ISNUMBER(Theory_Rev!G67)),IF(ABS(W67-Theory_Rev!G67)&lt;=0.000000000001*MAX(1,ABS(Theory_Rev!G67)),0,1),IF(AND(NOT(ISNUMBER(W67)),NOT(ISNUMBER(Theory_Rev!G67))),0,1))</f>
        <v>0</v>
      </c>
      <c r="H96" s="90" t="n">
        <f aca="false">IF(AND(ISNUMBER(X67),ISNUMBER(Theory_Rev!H67)),IF(ABS(X67-Theory_Rev!H67)&lt;=0.000000000001*MAX(1,ABS(Theory_Rev!H67)),0,1),IF(AND(NOT(ISNUMBER(X67)),NOT(ISNUMBER(Theory_Rev!H67))),0,1))</f>
        <v>0</v>
      </c>
      <c r="I96" s="90" t="n">
        <f aca="false">IF(AND(ISNUMBER(Y67),ISNUMBER(Theory_Rev!I67)),IF(ABS(Y67-Theory_Rev!I67)&lt;=0.000000000001*MAX(1,ABS(Theory_Rev!I67)),0,1),IF(AND(NOT(ISNUMBER(Y67)),NOT(ISNUMBER(Theory_Rev!I67))),0,1))</f>
        <v>0</v>
      </c>
      <c r="J96" s="90" t="n">
        <f aca="false">IF(AND(ISNUMBER(Z67),ISNUMBER(Theory_Rev!J67)),IF(ABS(Z67-Theory_Rev!J67)&lt;=0.000000000001*MAX(1,ABS(Theory_Rev!J67)),0,1),IF(AND(NOT(ISNUMBER(Z67)),NOT(ISNUMBER(Theory_Rev!J67))),0,1))</f>
        <v>0</v>
      </c>
      <c r="K96" s="90" t="n">
        <f aca="false">IF(AND(ISNUMBER(AA67),ISNUMBER(Theory_Rev!K67)),IF(ABS(AA67-Theory_Rev!K67)&lt;=0.000000000001*MAX(1,ABS(Theory_Rev!K67)),0,1),IF(AND(NOT(ISNUMBER(AA67)),NOT(ISNUMBER(Theory_Rev!K67))),0,1))</f>
        <v>0</v>
      </c>
      <c r="L96" s="90" t="n">
        <f aca="false">IF(AND(ISNUMBER(AB67),ISNUMBER(Theory_Rev!L67)),IF(ABS(AB67-Theory_Rev!L67)&lt;=0.000000000001*MAX(1,ABS(Theory_Rev!L67)),0,1),IF(AND(NOT(ISNUMBER(AB67)),NOT(ISNUMBER(Theory_Rev!L67))),0,1))</f>
        <v>0</v>
      </c>
      <c r="M96" s="90" t="n">
        <f aca="false">IF(AND(ISNUMBER(AC67),ISNUMBER(Theory_Rev!M67)),IF(ABS(AC67-Theory_Rev!M67)&lt;=0.000000000001*MAX(1,ABS(Theory_Rev!M67)),0,1),IF(AND(NOT(ISNUMBER(AC67)),NOT(ISNUMBER(Theory_Rev!M67))),0,1))</f>
        <v>0</v>
      </c>
      <c r="N96" s="90" t="n">
        <f aca="false">IF(AND(ISNUMBER(AD67),ISNUMBER(Theory_Rev!N67)),IF(ABS(AD67-Theory_Rev!N67)&lt;=0.000000000001*MAX(1,ABS(Theory_Rev!N67)),0,1),IF(AND(NOT(ISNUMBER(AD67)),NOT(ISNUMBER(Theory_Rev!N67))),0,1))</f>
        <v>0</v>
      </c>
      <c r="O96" s="90" t="n">
        <f aca="false">IF(AND(ISNUMBER(AE67),ISNUMBER(Theory_Rev!O67)),IF(ABS(AE67-Theory_Rev!O67)&lt;=0.000000000001*MAX(1,ABS(Theory_Rev!O67)),0,1),IF(AND(NOT(ISNUMBER(AE67)),NOT(ISNUMBER(Theory_Rev!O67))),0,1))</f>
        <v>0</v>
      </c>
      <c r="P96" s="90" t="n">
        <f aca="false">IF(AND(ISNUMBER(AF67),ISNUMBER(Theory_Rev!P67)),IF(ABS(AF67-Theory_Rev!P67)&lt;=0.000000000001*MAX(1,ABS(Theory_Rev!P67)),0,1),IF(AND(NOT(ISNUMBER(AF67)),NOT(ISNUMBER(Theory_Rev!P67))),0,1))</f>
        <v>0</v>
      </c>
      <c r="Q96" s="90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3430</v>
      </c>
    </row>
    <row r="2" customFormat="false" ht="15" hidden="false" customHeight="true" outlineLevel="0" collapsed="false">
      <c r="A2" s="3" t="s">
        <v>3431</v>
      </c>
    </row>
    <row r="3" customFormat="false" ht="15" hidden="false" customHeight="true" outlineLevel="0" collapsed="false">
      <c r="A3" s="45" t="s">
        <v>3432</v>
      </c>
      <c r="Z3" s="13" t="s">
        <v>2</v>
      </c>
    </row>
    <row r="4" customFormat="false" ht="15" hidden="false" customHeight="true" outlineLevel="0" collapsed="false">
      <c r="A4" s="22" t="s">
        <v>3433</v>
      </c>
      <c r="B4" s="22" t="s">
        <v>109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5" t="s">
        <v>3434</v>
      </c>
      <c r="S4" s="85" t="s">
        <v>3435</v>
      </c>
      <c r="T4" s="84" t="s">
        <v>3436</v>
      </c>
      <c r="U4" s="84" t="s">
        <v>3437</v>
      </c>
      <c r="V4" s="84" t="s">
        <v>3438</v>
      </c>
      <c r="W4" s="84" t="s">
        <v>3439</v>
      </c>
      <c r="X4" s="84" t="s">
        <v>3440</v>
      </c>
      <c r="Y4" s="84" t="s">
        <v>3441</v>
      </c>
    </row>
    <row r="5" customFormat="false" ht="15" hidden="false" customHeight="true" outlineLevel="0" collapsed="false">
      <c r="A5" s="22" t="s">
        <v>28</v>
      </c>
      <c r="C5" s="36" t="s">
        <v>110</v>
      </c>
      <c r="D5" s="36" t="s">
        <v>111</v>
      </c>
      <c r="E5" s="36" t="s">
        <v>112</v>
      </c>
      <c r="F5" s="36" t="s">
        <v>110</v>
      </c>
      <c r="G5" s="36" t="s">
        <v>111</v>
      </c>
      <c r="H5" s="36" t="s">
        <v>112</v>
      </c>
      <c r="I5" s="36" t="s">
        <v>110</v>
      </c>
      <c r="J5" s="36" t="s">
        <v>111</v>
      </c>
      <c r="K5" s="36" t="s">
        <v>112</v>
      </c>
      <c r="L5" s="36" t="s">
        <v>110</v>
      </c>
      <c r="M5" s="36" t="s">
        <v>111</v>
      </c>
      <c r="N5" s="36" t="s">
        <v>112</v>
      </c>
      <c r="O5" s="36" t="s">
        <v>110</v>
      </c>
      <c r="P5" s="36" t="s">
        <v>111</v>
      </c>
      <c r="Q5" s="36" t="s">
        <v>112</v>
      </c>
    </row>
    <row r="6" customFormat="false" ht="15" hidden="false" customHeight="true" outlineLevel="0" collapsed="false">
      <c r="A6" s="22" t="s">
        <v>3442</v>
      </c>
      <c r="B6" s="23" t="s">
        <v>932</v>
      </c>
      <c r="C6" s="29" t="n">
        <f aca="false">(DC_Cost!C12)/CTL_GW</f>
        <v>22439</v>
      </c>
      <c r="D6" s="185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5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5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5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5" t="n">
        <f aca="false">(DC_Cost!P12)/CTL_GW</f>
        <v>2705</v>
      </c>
      <c r="Q6" s="29" t="n">
        <f aca="false">(DC_Cost!Q12)/CTL_GW</f>
        <v>2705</v>
      </c>
      <c r="R6" s="186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809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3443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3444</v>
      </c>
      <c r="B7" s="23" t="s">
        <v>926</v>
      </c>
      <c r="C7" s="29" t="n">
        <f aca="false">(DC_Cost!C14)/CTL_GW</f>
        <v>718048</v>
      </c>
      <c r="D7" s="185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5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5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5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5" t="n">
        <f aca="false">(DC_Cost!P14)/CTL_GW</f>
        <v>194760</v>
      </c>
      <c r="Q7" s="29" t="n">
        <f aca="false">(DC_Cost!Q14)/CTL_GW</f>
        <v>194760</v>
      </c>
      <c r="R7" s="186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809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3445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3446</v>
      </c>
      <c r="B8" s="17" t="s">
        <v>117</v>
      </c>
      <c r="C8" s="130" t="n">
        <f aca="false">(DC_Cost!C16/1000)/CTL_GW</f>
        <v>1.1</v>
      </c>
      <c r="D8" s="187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7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7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7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7" t="n">
        <f aca="false">(DC_Cost!P16/1000)/CTL_GW</f>
        <v>1.2</v>
      </c>
      <c r="Q8" s="130" t="n">
        <f aca="false">(DC_Cost!Q16/1000)/CTL_GW</f>
        <v>1.3</v>
      </c>
      <c r="R8" s="186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809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3447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3448</v>
      </c>
      <c r="B9" s="17" t="s">
        <v>1089</v>
      </c>
      <c r="C9" s="38" t="n">
        <f aca="false">(DC_Cost!C24)/CTL_GW</f>
        <v>21.4202694</v>
      </c>
      <c r="D9" s="188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8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8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8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8" t="n">
        <f aca="false">(DC_Cost!P24)/CTL_GW</f>
        <v>50.08578</v>
      </c>
      <c r="Q9" s="38" t="n">
        <f aca="false">(DC_Cost!Q24)/CTL_GW</f>
        <v>65.481558</v>
      </c>
      <c r="R9" s="186" t="str">
        <f aca="false">IF(SUM(Gov_Map!$AG$5:$AG$7,Gov_Map!$AG$17:$AG$22,Gov_Map!$AG$69:$AG$103,Gov_Map!$AG$687:$AG$688)&gt;0,"C",IF(SUM(Gov_Map!$AH$5:$AH$7,Gov_Map!$AH$17:$AH$22,Gov_Map!$AH$69:$AH$103,Gov_Map!$AH$687:$AH$688)&gt;0,"B","A"))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809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MAX(Gov_Map!$AJ$5:$AJ$7,Gov_Map!$AJ$17:$AJ$22,Gov_Map!$AJ$69:$AJ$103,Gov_Map!$AJ$687:$AJ$688)</f>
        <v>20261008</v>
      </c>
      <c r="W9" s="21" t="s">
        <v>3449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3450</v>
      </c>
      <c r="B10" s="17" t="s">
        <v>1089</v>
      </c>
      <c r="C10" s="38" t="n">
        <f aca="false">(DC_Cost!C32)/CTL_GW</f>
        <v>10.212</v>
      </c>
      <c r="D10" s="188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8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8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8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8" t="n">
        <f aca="false">(DC_Cost!P32)/CTL_GW</f>
        <v>12.67</v>
      </c>
      <c r="Q10" s="38" t="n">
        <f aca="false">(DC_Cost!Q32)/CTL_GW</f>
        <v>16.186</v>
      </c>
      <c r="R10" s="186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809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3451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3452</v>
      </c>
      <c r="B11" s="17" t="s">
        <v>1089</v>
      </c>
      <c r="C11" s="38" t="n">
        <f aca="false">(DC_Cost!C33)/CTL_GW</f>
        <v>31.6322694</v>
      </c>
      <c r="D11" s="188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8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8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8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8" t="n">
        <f aca="false">(DC_Cost!P33)/CTL_GW</f>
        <v>62.75578</v>
      </c>
      <c r="Q11" s="38" t="n">
        <f aca="false">(DC_Cost!Q33)/CTL_GW</f>
        <v>81.667558</v>
      </c>
      <c r="R11" s="186" t="str">
        <f aca="false">IF(SUM(Gov_Map!$AG$5:$AG$7,Gov_Map!$AG$17:$AG$40,Gov_Map!$AG$69:$AG$103,Gov_Map!$AG$687:$AG$688)&gt;0,"C",IF(SUM(Gov_Map!$AH$5:$AH$7,Gov_Map!$AH$17:$AH$40,Gov_Map!$AH$69:$AH$103,Gov_Map!$AH$687:$AH$688)&gt;0,"B","A"))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809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MAX(Gov_Map!$AJ$5:$AJ$7,Gov_Map!$AJ$17:$AJ$40,Gov_Map!$AJ$69:$AJ$103,Gov_Map!$AJ$687:$AJ$688)</f>
        <v>20261008</v>
      </c>
      <c r="W11" s="21" t="s">
        <v>3453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3454</v>
      </c>
      <c r="B12" s="17" t="s">
        <v>3455</v>
      </c>
      <c r="C12" s="189" t="n">
        <f aca="false">(DC_Cost!C49)/CTL_GW</f>
        <v>5.19000377241587</v>
      </c>
      <c r="D12" s="190" t="n">
        <f aca="false">(DC_Cost!D49)/CTL_GW</f>
        <v>7.10411981353067</v>
      </c>
      <c r="E12" s="189" t="n">
        <f aca="false">(DC_Cost!E49)/CTL_GW</f>
        <v>12.2070705365445</v>
      </c>
      <c r="F12" s="189" t="n">
        <f aca="false">(DC_Cost!F49)/CTL_GW</f>
        <v>5.04951503784896</v>
      </c>
      <c r="G12" s="190" t="n">
        <f aca="false">(DC_Cost!G49)/CTL_GW</f>
        <v>6.44917840537967</v>
      </c>
      <c r="H12" s="189" t="n">
        <f aca="false">(DC_Cost!H49)/CTL_GW</f>
        <v>10.4195985807088</v>
      </c>
      <c r="I12" s="189" t="n">
        <f aca="false">(DC_Cost!I49)/CTL_GW</f>
        <v>6.47360284700915</v>
      </c>
      <c r="J12" s="190" t="n">
        <f aca="false">(DC_Cost!J49)/CTL_GW</f>
        <v>7.98992214647791</v>
      </c>
      <c r="K12" s="189" t="n">
        <f aca="false">(DC_Cost!K49)/CTL_GW</f>
        <v>13.6330236684808</v>
      </c>
      <c r="L12" s="189" t="n">
        <f aca="false">(DC_Cost!L49)/CTL_GW</f>
        <v>7.32251312176997</v>
      </c>
      <c r="M12" s="190" t="n">
        <f aca="false">(DC_Cost!M49)/CTL_GW</f>
        <v>8.9923042149807</v>
      </c>
      <c r="N12" s="189" t="n">
        <f aca="false">(DC_Cost!N49)/CTL_GW</f>
        <v>14.5598263108425</v>
      </c>
      <c r="O12" s="189" t="n">
        <f aca="false">(DC_Cost!O49)/CTL_GW</f>
        <v>7.78527570436843</v>
      </c>
      <c r="P12" s="190" t="n">
        <f aca="false">(DC_Cost!P49)/CTL_GW</f>
        <v>11.3345929943372</v>
      </c>
      <c r="Q12" s="189" t="n">
        <f aca="false">(DC_Cost!Q49)/CTL_GW</f>
        <v>20.8704255692031</v>
      </c>
      <c r="R12" s="186" t="str">
        <f aca="false">IF(SUM(Gov_Map!$AG$5:$AG$103,Gov_Map!$AG$605:$AG$611,Gov_Map!$AG$687:$AG$688)&gt;0,"C",IF(SUM(Gov_Map!$AH$5:$AH$103,Gov_Map!$AH$605:$AH$611,Gov_Map!$AH$687:$AH$688)&gt;0,"B","A"))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809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MAX(Gov_Map!$AJ$5:$AJ$103,Gov_Map!$AJ$605:$AJ$611,Gov_Map!$AJ$687:$AJ$688)</f>
        <v>20261008</v>
      </c>
      <c r="W12" s="21" t="s">
        <v>3456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3457</v>
      </c>
      <c r="B13" s="17" t="s">
        <v>3455</v>
      </c>
      <c r="C13" s="189" t="n">
        <f aca="false">(DC_Cost!C55)/CTL_GW</f>
        <v>6.79107465326444</v>
      </c>
      <c r="D13" s="190" t="n">
        <f aca="false">(DC_Cost!D55)/CTL_GW</f>
        <v>9.70308728611469</v>
      </c>
      <c r="E13" s="189" t="n">
        <f aca="false">(DC_Cost!E55)/CTL_GW</f>
        <v>16.6637697337026</v>
      </c>
      <c r="F13" s="189" t="n">
        <f aca="false">(DC_Cost!F55)/CTL_GW</f>
        <v>6.6118162762144</v>
      </c>
      <c r="G13" s="190" t="n">
        <f aca="false">(DC_Cost!G55)/CTL_GW</f>
        <v>8.82816556596761</v>
      </c>
      <c r="H13" s="189" t="n">
        <f aca="false">(DC_Cost!H55)/CTL_GW</f>
        <v>14.3185748619737</v>
      </c>
      <c r="I13" s="189" t="n">
        <f aca="false">(DC_Cost!I55)/CTL_GW</f>
        <v>8.42889912085495</v>
      </c>
      <c r="J13" s="190" t="n">
        <f aca="false">(DC_Cost!J55)/CTL_GW</f>
        <v>10.8864110021101</v>
      </c>
      <c r="K13" s="189" t="n">
        <f aca="false">(DC_Cost!K55)/CTL_GW</f>
        <v>18.5346455040469</v>
      </c>
      <c r="L13" s="189" t="n">
        <f aca="false">(DC_Cost!L55)/CTL_GW</f>
        <v>9.51207691858967</v>
      </c>
      <c r="M13" s="190" t="n">
        <f aca="false">(DC_Cost!M55)/CTL_GW</f>
        <v>12.2254710045841</v>
      </c>
      <c r="N13" s="189" t="n">
        <f aca="false">(DC_Cost!N55)/CTL_GW</f>
        <v>19.7506269894487</v>
      </c>
      <c r="O13" s="189" t="n">
        <f aca="false">(DC_Cost!O55)/CTL_GW</f>
        <v>10.1025446864987</v>
      </c>
      <c r="P13" s="190" t="n">
        <f aca="false">(DC_Cost!P55)/CTL_GW</f>
        <v>15.3544827030524</v>
      </c>
      <c r="Q13" s="189" t="n">
        <f aca="false">(DC_Cost!Q55)/CTL_GW</f>
        <v>28.0302450108258</v>
      </c>
      <c r="R13" s="186" t="str">
        <f aca="false">IF(SUM(Gov_Map!$AG$5:$AG$103,Gov_Map!$AG$605:$AG$611,Gov_Map!$AG$687:$AG$688)&gt;0,"C",IF(SUM(Gov_Map!$AH$5:$AH$103,Gov_Map!$AH$605:$AH$611,Gov_Map!$AH$687:$AH$688)&gt;0,"B","A"))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809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MAX(Gov_Map!$AJ$5:$AJ$103,Gov_Map!$AJ$605:$AJ$611,Gov_Map!$AJ$687:$AJ$688)</f>
        <v>20261008</v>
      </c>
      <c r="W13" s="21" t="s">
        <v>3456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1124</v>
      </c>
      <c r="B14" s="17" t="s">
        <v>1049</v>
      </c>
      <c r="C14" s="189" t="n">
        <f aca="false">DC_Cost!C58</f>
        <v>1.07964486018265</v>
      </c>
      <c r="D14" s="190" t="n">
        <f aca="false">DC_Cost!D58</f>
        <v>1.54259654785589</v>
      </c>
      <c r="E14" s="189" t="n">
        <f aca="false">DC_Cost!E58</f>
        <v>2.64920565047995</v>
      </c>
      <c r="F14" s="189" t="n">
        <f aca="false">DC_Cost!F58</f>
        <v>1.50422814430785</v>
      </c>
      <c r="G14" s="190" t="n">
        <f aca="false">DC_Cost!G58</f>
        <v>2.00846099652078</v>
      </c>
      <c r="H14" s="189" t="n">
        <f aca="false">DC_Cost!H58</f>
        <v>3.25756227849869</v>
      </c>
      <c r="I14" s="189" t="n">
        <f aca="false">DC_Cost!I58</f>
        <v>1.97574392204647</v>
      </c>
      <c r="J14" s="190" t="n">
        <f aca="false">DC_Cost!J58</f>
        <v>2.55178761329595</v>
      </c>
      <c r="K14" s="189" t="n">
        <f aca="false">DC_Cost!K58</f>
        <v>4.34454282544458</v>
      </c>
      <c r="L14" s="189" t="n">
        <f aca="false">DC_Cost!L58</f>
        <v>3.72193954123947</v>
      </c>
      <c r="M14" s="190" t="n">
        <f aca="false">DC_Cost!M58</f>
        <v>4.78365180724219</v>
      </c>
      <c r="N14" s="189" t="n">
        <f aca="false">DC_Cost!N58</f>
        <v>7.72813762813851</v>
      </c>
      <c r="O14" s="189" t="n">
        <f aca="false">DC_Cost!O58</f>
        <v>5.92143420546319</v>
      </c>
      <c r="P14" s="190" t="n">
        <f aca="false">DC_Cost!P58</f>
        <v>8.99976806898525</v>
      </c>
      <c r="Q14" s="189" t="n">
        <f aca="false">DC_Cost!Q58</f>
        <v>16.4294498807254</v>
      </c>
      <c r="R14" s="186" t="str">
        <f aca="false">IF(SUM(Gov_Map!$AG$5:$AG$103,Gov_Map!$AG$605:$AG$611,Gov_Map!$AG$687:$AG$688)&gt;0,"C",IF(SUM(Gov_Map!$AH$5:$AH$103,Gov_Map!$AH$605:$AH$611,Gov_Map!$AH$687:$AH$688)&gt;0,"B","A"))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809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MAX(Gov_Map!$AJ$5:$AJ$103,Gov_Map!$AJ$605:$AJ$611,Gov_Map!$AJ$687:$AJ$688)</f>
        <v>20261008</v>
      </c>
      <c r="W14" s="21" t="s">
        <v>3456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3458</v>
      </c>
      <c r="B15" s="17" t="s">
        <v>3455</v>
      </c>
      <c r="C15" s="189" t="n">
        <f aca="false">(DC_Cost!C43)/CTL_GW</f>
        <v>0.404712</v>
      </c>
      <c r="D15" s="190" t="n">
        <f aca="false">(DC_Cost!D43)/CTL_GW</f>
        <v>0.672768</v>
      </c>
      <c r="E15" s="189" t="n">
        <f aca="false">(DC_Cost!E43)/CTL_GW</f>
        <v>1.02492</v>
      </c>
      <c r="F15" s="189" t="n">
        <f aca="false">(DC_Cost!F43)/CTL_GW</f>
        <v>0.404712</v>
      </c>
      <c r="G15" s="190" t="n">
        <f aca="false">(DC_Cost!G43)/CTL_GW</f>
        <v>0.672768</v>
      </c>
      <c r="H15" s="189" t="n">
        <f aca="false">(DC_Cost!H43)/CTL_GW</f>
        <v>1.02492</v>
      </c>
      <c r="I15" s="189" t="n">
        <f aca="false">(DC_Cost!I43)/CTL_GW</f>
        <v>0.404712</v>
      </c>
      <c r="J15" s="190" t="n">
        <f aca="false">(DC_Cost!J43)/CTL_GW</f>
        <v>0.672768</v>
      </c>
      <c r="K15" s="189" t="n">
        <f aca="false">(DC_Cost!K43)/CTL_GW</f>
        <v>1.02492</v>
      </c>
      <c r="L15" s="189" t="n">
        <f aca="false">(DC_Cost!L43)/CTL_GW</f>
        <v>0.404712</v>
      </c>
      <c r="M15" s="190" t="n">
        <f aca="false">(DC_Cost!M43)/CTL_GW</f>
        <v>0.672768</v>
      </c>
      <c r="N15" s="189" t="n">
        <f aca="false">(DC_Cost!N43)/CTL_GW</f>
        <v>1.02492</v>
      </c>
      <c r="O15" s="189" t="n">
        <f aca="false">(DC_Cost!O43)/CTL_GW</f>
        <v>0.404712</v>
      </c>
      <c r="P15" s="190" t="n">
        <f aca="false">(DC_Cost!P43)/CTL_GW</f>
        <v>0.672768</v>
      </c>
      <c r="Q15" s="189" t="n">
        <f aca="false">(DC_Cost!Q43)/CTL_GW</f>
        <v>1.02492</v>
      </c>
      <c r="R15" s="186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809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3459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91" t="s">
        <v>3460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302</v>
      </c>
      <c r="C18" s="11"/>
    </row>
    <row r="19" customFormat="false" ht="15" hidden="false" customHeight="true" outlineLevel="0" collapsed="false">
      <c r="A19" s="192" t="s">
        <v>3461</v>
      </c>
      <c r="B19" s="30" t="s">
        <v>414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3462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3463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2" t="s">
        <v>3464</v>
      </c>
      <c r="B20" s="30" t="s">
        <v>414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3462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3463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2" t="s">
        <v>3403</v>
      </c>
      <c r="B21" s="30" t="s">
        <v>993</v>
      </c>
      <c r="C21" s="185" t="n">
        <f aca="false">INDEX(Perf!$C$98:$Q$98,3*(Unit_Cost!C$6-1)+1)</f>
        <v>112228240510.472</v>
      </c>
      <c r="D21" s="193" t="n">
        <f aca="false">INDEX(Perf!$C$98:$Q$98,3*(Unit_Cost!D$6-1)+1)</f>
        <v>112228240510.472</v>
      </c>
      <c r="E21" s="193" t="n">
        <f aca="false">INDEX(Perf!$C$98:$Q$98,3*(Unit_Cost!E$6-1)+1)</f>
        <v>112228240510.472</v>
      </c>
      <c r="F21" s="193" t="n">
        <f aca="false">INDEX(Perf!$C$98:$Q$98,3*(Unit_Cost!F$6-1)+1)</f>
        <v>496729138259.007</v>
      </c>
      <c r="G21" s="193" t="n">
        <f aca="false">INDEX(Perf!$C$98:$Q$98,3*(Unit_Cost!G$6-1)+1)</f>
        <v>496729138259.007</v>
      </c>
      <c r="H21" s="193" t="n">
        <f aca="false">INDEX(Perf!$C$98:$Q$98,3*(Unit_Cost!H$6-1)+1)</f>
        <v>496729138259.007</v>
      </c>
      <c r="I21" s="193" t="n">
        <f aca="false">INDEX(Perf!$C$98:$Q$98,3*(Unit_Cost!I$6-1)+1)</f>
        <v>723176042011.176</v>
      </c>
      <c r="J21" s="193" t="n">
        <f aca="false">INDEX(Perf!$C$98:$Q$98,3*(Unit_Cost!J$6-1)+1)</f>
        <v>723176042011.176</v>
      </c>
      <c r="K21" s="193" t="n">
        <f aca="false">INDEX(Perf!$C$98:$Q$98,3*(Unit_Cost!K$6-1)+1)</f>
        <v>723176042011.176</v>
      </c>
      <c r="L21" s="193" t="n">
        <f aca="false">INDEX(Perf!$C$98:$Q$98,3*(Unit_Cost!L$6-1)+1)</f>
        <v>1043267705667.06</v>
      </c>
      <c r="M21" s="193" t="n">
        <f aca="false">INDEX(Perf!$C$98:$Q$98,3*(Unit_Cost!M$6-1)+1)</f>
        <v>1043267705667.06</v>
      </c>
      <c r="N21" s="193" t="n">
        <f aca="false">INDEX(Perf!$C$98:$Q$98,3*(Unit_Cost!N$6-1)+1)</f>
        <v>1043267705667.06</v>
      </c>
      <c r="O21" s="193" t="n">
        <f aca="false">INDEX(Perf!$C$98:$Q$98,3*(Unit_Cost!O$6-1)+1)</f>
        <v>1404587982526.55</v>
      </c>
      <c r="P21" s="193" t="n">
        <f aca="false">INDEX(Perf!$C$98:$Q$98,3*(Unit_Cost!P$6-1)+1)</f>
        <v>1404587982526.55</v>
      </c>
      <c r="Q21" s="193" t="n">
        <f aca="false">INDEX(Perf!$C$98:$Q$98,3*(Unit_Cost!Q$6-1)+1)</f>
        <v>1404587982526.55</v>
      </c>
      <c r="R2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3462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3465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3466</v>
      </c>
      <c r="B22" s="30" t="s">
        <v>132</v>
      </c>
      <c r="C22" s="130" t="n">
        <f aca="false">INDEX(Perf!$C$120:$Q$120,3*(Unit_Cost!C$6-1)+1)</f>
        <v>0.10757377028048</v>
      </c>
      <c r="D22" s="194" t="n">
        <f aca="false">INDEX(Perf!$C$120:$Q$120,3*(Unit_Cost!D$6-1)+1)</f>
        <v>0.10757377028048</v>
      </c>
      <c r="E22" s="194" t="n">
        <f aca="false">INDEX(Perf!$C$120:$Q$120,3*(Unit_Cost!E$6-1)+1)</f>
        <v>0.10757377028048</v>
      </c>
      <c r="F22" s="194" t="n">
        <f aca="false">INDEX(Perf!$C$120:$Q$120,3*(Unit_Cost!F$6-1)+1)</f>
        <v>0.476128164957813</v>
      </c>
      <c r="G22" s="194" t="n">
        <f aca="false">INDEX(Perf!$C$120:$Q$120,3*(Unit_Cost!G$6-1)+1)</f>
        <v>0.476128164957813</v>
      </c>
      <c r="H22" s="194" t="n">
        <f aca="false">INDEX(Perf!$C$120:$Q$120,3*(Unit_Cost!H$6-1)+1)</f>
        <v>0.476128164957813</v>
      </c>
      <c r="I22" s="194" t="n">
        <f aca="false">INDEX(Perf!$C$120:$Q$120,3*(Unit_Cost!I$6-1)+1)</f>
        <v>0.693183578944178</v>
      </c>
      <c r="J22" s="194" t="n">
        <f aca="false">INDEX(Perf!$C$120:$Q$120,3*(Unit_Cost!J$6-1)+1)</f>
        <v>0.693183578944178</v>
      </c>
      <c r="K22" s="194" t="n">
        <f aca="false">INDEX(Perf!$C$120:$Q$120,3*(Unit_Cost!K$6-1)+1)</f>
        <v>0.693183578944178</v>
      </c>
      <c r="L22" s="194" t="n">
        <f aca="false">INDEX(Perf!$C$120:$Q$120,3*(Unit_Cost!L$6-1)+1)</f>
        <v>1</v>
      </c>
      <c r="M22" s="194" t="n">
        <f aca="false">INDEX(Perf!$C$120:$Q$120,3*(Unit_Cost!M$6-1)+1)</f>
        <v>1</v>
      </c>
      <c r="N22" s="194" t="n">
        <f aca="false">INDEX(Perf!$C$120:$Q$120,3*(Unit_Cost!N$6-1)+1)</f>
        <v>1</v>
      </c>
      <c r="O22" s="194" t="n">
        <f aca="false">INDEX(Perf!$C$120:$Q$120,3*(Unit_Cost!O$6-1)+1)</f>
        <v>1.34633514954674</v>
      </c>
      <c r="P22" s="194" t="n">
        <f aca="false">INDEX(Perf!$C$120:$Q$120,3*(Unit_Cost!P$6-1)+1)</f>
        <v>1.34633514954674</v>
      </c>
      <c r="Q22" s="194" t="n">
        <f aca="false">INDEX(Perf!$C$120:$Q$120,3*(Unit_Cost!Q$6-1)+1)</f>
        <v>1.34633514954674</v>
      </c>
      <c r="R2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3462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3465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3404</v>
      </c>
      <c r="B23" s="30" t="s">
        <v>1040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3462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23" s="21" t="s">
        <v>3467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3468</v>
      </c>
      <c r="B24" s="30" t="s">
        <v>1040</v>
      </c>
      <c r="C24" s="195" t="n">
        <f aca="false">Unit_Cost!C17</f>
        <v>8.3822427339181E-006</v>
      </c>
      <c r="D24" s="195" t="n">
        <f aca="false">Unit_Cost!D17</f>
        <v>1.19765481979367E-005</v>
      </c>
      <c r="E24" s="195" t="n">
        <f aca="false">Unit_Cost!E17</f>
        <v>2.05681383141429E-005</v>
      </c>
      <c r="F24" s="195" t="n">
        <f aca="false">Unit_Cost!F17</f>
        <v>1.16786601759456E-005</v>
      </c>
      <c r="G24" s="195" t="n">
        <f aca="false">Unit_Cost!G17</f>
        <v>1.55934680146544E-005</v>
      </c>
      <c r="H24" s="195" t="n">
        <f aca="false">Unit_Cost!H17</f>
        <v>2.52913515788996E-005</v>
      </c>
      <c r="I24" s="195" t="n">
        <f aca="false">Unit_Cost!I17</f>
        <v>1.53394562836664E-005</v>
      </c>
      <c r="J24" s="195" t="n">
        <f aca="false">Unit_Cost!J17</f>
        <v>1.98117954976727E-005</v>
      </c>
      <c r="K24" s="195" t="n">
        <f aca="false">Unit_Cost!K17</f>
        <v>3.37305477697711E-005</v>
      </c>
      <c r="L24" s="195" t="n">
        <f aca="false">Unit_Cost!L17</f>
        <v>2.88967250493453E-005</v>
      </c>
      <c r="M24" s="195" t="n">
        <f aca="false">Unit_Cost!M17</f>
        <v>3.71397411145609E-005</v>
      </c>
      <c r="N24" s="195" t="n">
        <f aca="false">Unit_Cost!N17</f>
        <v>6.00004018629087E-005</v>
      </c>
      <c r="O24" s="195" t="n">
        <f aca="false">Unit_Cost!O17</f>
        <v>4.59733572340822E-005</v>
      </c>
      <c r="P24" s="195" t="n">
        <f aca="false">Unit_Cost!P17</f>
        <v>6.98731993133716E-005</v>
      </c>
      <c r="Q24" s="195" t="n">
        <f aca="false">Unit_Cost!Q17</f>
        <v>0.000127556423379521</v>
      </c>
      <c r="R2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3462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24" s="21" t="s">
        <v>3469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3405</v>
      </c>
      <c r="B25" s="30" t="s">
        <v>1040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3462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5" s="21" t="s">
        <v>3470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3471</v>
      </c>
      <c r="B26" s="30" t="s">
        <v>1040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3462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26" s="21" t="s">
        <v>3470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3472</v>
      </c>
      <c r="B27" s="30" t="s">
        <v>1016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3462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3473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303</v>
      </c>
    </row>
    <row r="29" customFormat="false" ht="15" hidden="false" customHeight="true" outlineLevel="0" collapsed="false">
      <c r="A29" s="44" t="s">
        <v>3474</v>
      </c>
      <c r="B29" s="30" t="s">
        <v>414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3462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3463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3475</v>
      </c>
      <c r="B30" s="30" t="s">
        <v>414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3462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3463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3406</v>
      </c>
      <c r="B31" s="30" t="s">
        <v>993</v>
      </c>
      <c r="C31" s="193" t="n">
        <f aca="false">INDEX(Perf!$C$98:$Q$98,3*(Unit_Cost!C$6-1)+2)</f>
        <v>33634916325.118</v>
      </c>
      <c r="D31" s="193" t="n">
        <f aca="false">INDEX(Perf!$C$98:$Q$98,3*(Unit_Cost!D$6-1)+2)</f>
        <v>33634916325.118</v>
      </c>
      <c r="E31" s="193" t="n">
        <f aca="false">INDEX(Perf!$C$98:$Q$98,3*(Unit_Cost!E$6-1)+2)</f>
        <v>33634916325.118</v>
      </c>
      <c r="F31" s="193" t="n">
        <f aca="false">INDEX(Perf!$C$98:$Q$98,3*(Unit_Cost!F$6-1)+2)</f>
        <v>145846430710.54</v>
      </c>
      <c r="G31" s="193" t="n">
        <f aca="false">INDEX(Perf!$C$98:$Q$98,3*(Unit_Cost!G$6-1)+2)</f>
        <v>145846430710.54</v>
      </c>
      <c r="H31" s="193" t="n">
        <f aca="false">INDEX(Perf!$C$98:$Q$98,3*(Unit_Cost!H$6-1)+2)</f>
        <v>145846430710.54</v>
      </c>
      <c r="I31" s="193" t="n">
        <f aca="false">INDEX(Perf!$C$98:$Q$98,3*(Unit_Cost!I$6-1)+2)</f>
        <v>212334321421.888</v>
      </c>
      <c r="J31" s="193" t="n">
        <f aca="false">INDEX(Perf!$C$98:$Q$98,3*(Unit_Cost!J$6-1)+2)</f>
        <v>212334321421.888</v>
      </c>
      <c r="K31" s="193" t="n">
        <f aca="false">INDEX(Perf!$C$98:$Q$98,3*(Unit_Cost!K$6-1)+2)</f>
        <v>212334321421.888</v>
      </c>
      <c r="L31" s="193" t="n">
        <f aca="false">INDEX(Perf!$C$98:$Q$98,3*(Unit_Cost!L$6-1)+2)</f>
        <v>318984897819.054</v>
      </c>
      <c r="M31" s="193" t="n">
        <f aca="false">INDEX(Perf!$C$98:$Q$98,3*(Unit_Cost!M$6-1)+2)</f>
        <v>318984897819.054</v>
      </c>
      <c r="N31" s="193" t="n">
        <f aca="false">INDEX(Perf!$C$98:$Q$98,3*(Unit_Cost!N$6-1)+2)</f>
        <v>318984897819.054</v>
      </c>
      <c r="O31" s="193" t="n">
        <f aca="false">INDEX(Perf!$C$98:$Q$98,3*(Unit_Cost!O$6-1)+2)</f>
        <v>434380455314.928</v>
      </c>
      <c r="P31" s="193" t="n">
        <f aca="false">INDEX(Perf!$C$98:$Q$98,3*(Unit_Cost!P$6-1)+2)</f>
        <v>434380455314.928</v>
      </c>
      <c r="Q31" s="193" t="n">
        <f aca="false">INDEX(Perf!$C$98:$Q$98,3*(Unit_Cost!Q$6-1)+2)</f>
        <v>434380455314.928</v>
      </c>
      <c r="R3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3462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3465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3476</v>
      </c>
      <c r="B32" s="30" t="s">
        <v>132</v>
      </c>
      <c r="C32" s="194" t="n">
        <f aca="false">INDEX(Perf!$C$120:$Q$120,3*(Unit_Cost!C$6-1)+2)</f>
        <v>0.10544360110803</v>
      </c>
      <c r="D32" s="194" t="n">
        <f aca="false">INDEX(Perf!$C$120:$Q$120,3*(Unit_Cost!D$6-1)+2)</f>
        <v>0.10544360110803</v>
      </c>
      <c r="E32" s="194" t="n">
        <f aca="false">INDEX(Perf!$C$120:$Q$120,3*(Unit_Cost!E$6-1)+2)</f>
        <v>0.10544360110803</v>
      </c>
      <c r="F32" s="194" t="n">
        <f aca="false">INDEX(Perf!$C$120:$Q$120,3*(Unit_Cost!F$6-1)+2)</f>
        <v>0.457220488204027</v>
      </c>
      <c r="G32" s="194" t="n">
        <f aca="false">INDEX(Perf!$C$120:$Q$120,3*(Unit_Cost!G$6-1)+2)</f>
        <v>0.457220488204027</v>
      </c>
      <c r="H32" s="194" t="n">
        <f aca="false">INDEX(Perf!$C$120:$Q$120,3*(Unit_Cost!H$6-1)+2)</f>
        <v>0.457220488204027</v>
      </c>
      <c r="I32" s="194" t="n">
        <f aca="false">INDEX(Perf!$C$120:$Q$120,3*(Unit_Cost!I$6-1)+2)</f>
        <v>0.665656345719338</v>
      </c>
      <c r="J32" s="194" t="n">
        <f aca="false">INDEX(Perf!$C$120:$Q$120,3*(Unit_Cost!J$6-1)+2)</f>
        <v>0.665656345719338</v>
      </c>
      <c r="K32" s="194" t="n">
        <f aca="false">INDEX(Perf!$C$120:$Q$120,3*(Unit_Cost!K$6-1)+2)</f>
        <v>0.665656345719338</v>
      </c>
      <c r="L32" s="194" t="n">
        <f aca="false">INDEX(Perf!$C$120:$Q$120,3*(Unit_Cost!L$6-1)+2)</f>
        <v>1</v>
      </c>
      <c r="M32" s="194" t="n">
        <f aca="false">INDEX(Perf!$C$120:$Q$120,3*(Unit_Cost!M$6-1)+2)</f>
        <v>1</v>
      </c>
      <c r="N32" s="194" t="n">
        <f aca="false">INDEX(Perf!$C$120:$Q$120,3*(Unit_Cost!N$6-1)+2)</f>
        <v>1</v>
      </c>
      <c r="O32" s="194" t="n">
        <f aca="false">INDEX(Perf!$C$120:$Q$120,3*(Unit_Cost!O$6-1)+2)</f>
        <v>1.36175868602197</v>
      </c>
      <c r="P32" s="194" t="n">
        <f aca="false">INDEX(Perf!$C$120:$Q$120,3*(Unit_Cost!P$6-1)+2)</f>
        <v>1.36175868602197</v>
      </c>
      <c r="Q32" s="194" t="n">
        <f aca="false">INDEX(Perf!$C$120:$Q$120,3*(Unit_Cost!Q$6-1)+2)</f>
        <v>1.36175868602197</v>
      </c>
      <c r="R3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3462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3465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3407</v>
      </c>
      <c r="B33" s="30" t="s">
        <v>1040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3462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33" s="21" t="s">
        <v>3467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3477</v>
      </c>
      <c r="B34" s="30" t="s">
        <v>1040</v>
      </c>
      <c r="C34" s="195" t="n">
        <f aca="false">Unit_Cost!C30</f>
        <v>1.18910885295117E-005</v>
      </c>
      <c r="D34" s="195" t="n">
        <f aca="false">Unit_Cost!D30</f>
        <v>1.69899869784684E-005</v>
      </c>
      <c r="E34" s="195" t="n">
        <f aca="false">Unit_Cost!E30</f>
        <v>2.91780566782028E-005</v>
      </c>
      <c r="F34" s="195" t="n">
        <f aca="false">Unit_Cost!F30</f>
        <v>1.65674016449461E-005</v>
      </c>
      <c r="G34" s="195" t="n">
        <f aca="false">Unit_Cost!G30</f>
        <v>2.21209662533469E-005</v>
      </c>
      <c r="H34" s="195" t="n">
        <f aca="false">Unit_Cost!H30</f>
        <v>3.58784289840203E-005</v>
      </c>
      <c r="I34" s="195" t="n">
        <f aca="false">Unit_Cost!I30</f>
        <v>2.17606240303174E-005</v>
      </c>
      <c r="J34" s="195" t="n">
        <f aca="false">Unit_Cost!J30</f>
        <v>2.81051052408846E-005</v>
      </c>
      <c r="K34" s="195" t="n">
        <f aca="false">Unit_Cost!K30</f>
        <v>4.7850311952466E-005</v>
      </c>
      <c r="L34" s="195" t="n">
        <f aca="false">Unit_Cost!L30</f>
        <v>4.09930285583736E-005</v>
      </c>
      <c r="M34" s="195" t="n">
        <f aca="false">Unit_Cost!M30</f>
        <v>5.2686609488098E-005</v>
      </c>
      <c r="N34" s="195" t="n">
        <f aca="false">Unit_Cost!N30</f>
        <v>8.51168491543588E-005</v>
      </c>
      <c r="O34" s="195" t="n">
        <f aca="false">Unit_Cost!O30</f>
        <v>6.52180184018376E-005</v>
      </c>
      <c r="P34" s="195" t="n">
        <f aca="false">Unit_Cost!P30</f>
        <v>9.91224455375737E-005</v>
      </c>
      <c r="Q34" s="195" t="n">
        <f aca="false">Unit_Cost!Q30</f>
        <v>0.000180952135491878</v>
      </c>
      <c r="R3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3462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34" s="21" t="s">
        <v>3469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3408</v>
      </c>
      <c r="B35" s="30" t="s">
        <v>1040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3462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5" s="21" t="s">
        <v>3470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3478</v>
      </c>
      <c r="B36" s="30" t="s">
        <v>1040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3462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36" s="21" t="s">
        <v>3470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3479</v>
      </c>
      <c r="B37" s="30" t="s">
        <v>1016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3462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3473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304</v>
      </c>
    </row>
    <row r="39" customFormat="false" ht="15" hidden="false" customHeight="true" outlineLevel="0" collapsed="false">
      <c r="A39" s="44" t="s">
        <v>3480</v>
      </c>
      <c r="B39" s="30" t="s">
        <v>414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3462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3463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3481</v>
      </c>
      <c r="B40" s="30" t="s">
        <v>414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6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3462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3463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3409</v>
      </c>
      <c r="B41" s="30" t="s">
        <v>993</v>
      </c>
      <c r="C41" s="193" t="n">
        <f aca="false">INDEX(Perf!$C$98:$Q$98,3*(Unit_Cost!C$6-1)+3)</f>
        <v>6809025705.99183</v>
      </c>
      <c r="D41" s="193" t="n">
        <f aca="false">INDEX(Perf!$C$98:$Q$98,3*(Unit_Cost!D$6-1)+3)</f>
        <v>6809025705.99183</v>
      </c>
      <c r="E41" s="193" t="n">
        <f aca="false">INDEX(Perf!$C$98:$Q$98,3*(Unit_Cost!E$6-1)+3)</f>
        <v>6809025705.99183</v>
      </c>
      <c r="F41" s="193" t="n">
        <f aca="false">INDEX(Perf!$C$98:$Q$98,3*(Unit_Cost!F$6-1)+3)</f>
        <v>29767762827.5194</v>
      </c>
      <c r="G41" s="193" t="n">
        <f aca="false">INDEX(Perf!$C$98:$Q$98,3*(Unit_Cost!G$6-1)+3)</f>
        <v>29767762827.5194</v>
      </c>
      <c r="H41" s="193" t="n">
        <f aca="false">INDEX(Perf!$C$98:$Q$98,3*(Unit_Cost!H$6-1)+3)</f>
        <v>29767762827.5194</v>
      </c>
      <c r="I41" s="193" t="n">
        <f aca="false">INDEX(Perf!$C$98:$Q$98,3*(Unit_Cost!I$6-1)+3)</f>
        <v>39257828144.5082</v>
      </c>
      <c r="J41" s="193" t="n">
        <f aca="false">INDEX(Perf!$C$98:$Q$98,3*(Unit_Cost!J$6-1)+3)</f>
        <v>39257828144.5082</v>
      </c>
      <c r="K41" s="193" t="n">
        <f aca="false">INDEX(Perf!$C$98:$Q$98,3*(Unit_Cost!K$6-1)+3)</f>
        <v>39257828144.5082</v>
      </c>
      <c r="L41" s="193" t="n">
        <f aca="false">INDEX(Perf!$C$98:$Q$98,3*(Unit_Cost!L$6-1)+3)</f>
        <v>69625193603.6778</v>
      </c>
      <c r="M41" s="193" t="n">
        <f aca="false">INDEX(Perf!$C$98:$Q$98,3*(Unit_Cost!M$6-1)+3)</f>
        <v>69625193603.6778</v>
      </c>
      <c r="N41" s="193" t="n">
        <f aca="false">INDEX(Perf!$C$98:$Q$98,3*(Unit_Cost!N$6-1)+3)</f>
        <v>69625193603.6778</v>
      </c>
      <c r="O41" s="193" t="n">
        <f aca="false">INDEX(Perf!$C$98:$Q$98,3*(Unit_Cost!O$6-1)+3)</f>
        <v>98521567397.5749</v>
      </c>
      <c r="P41" s="193" t="n">
        <f aca="false">INDEX(Perf!$C$98:$Q$98,3*(Unit_Cost!P$6-1)+3)</f>
        <v>98521567397.5749</v>
      </c>
      <c r="Q41" s="193" t="n">
        <f aca="false">INDEX(Perf!$C$98:$Q$98,3*(Unit_Cost!Q$6-1)+3)</f>
        <v>98521567397.5749</v>
      </c>
      <c r="R41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3462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3465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3482</v>
      </c>
      <c r="B42" s="30" t="s">
        <v>132</v>
      </c>
      <c r="C42" s="194" t="n">
        <f aca="false">INDEX(Perf!$C$120:$Q$120,3*(Unit_Cost!C$6-1)+3)</f>
        <v>0.0977954294066359</v>
      </c>
      <c r="D42" s="194" t="n">
        <f aca="false">INDEX(Perf!$C$120:$Q$120,3*(Unit_Cost!D$6-1)+3)</f>
        <v>0.0977954294066359</v>
      </c>
      <c r="E42" s="194" t="n">
        <f aca="false">INDEX(Perf!$C$120:$Q$120,3*(Unit_Cost!E$6-1)+3)</f>
        <v>0.0977954294066359</v>
      </c>
      <c r="F42" s="194" t="n">
        <f aca="false">INDEX(Perf!$C$120:$Q$120,3*(Unit_Cost!F$6-1)+3)</f>
        <v>0.427542981021557</v>
      </c>
      <c r="G42" s="194" t="n">
        <f aca="false">INDEX(Perf!$C$120:$Q$120,3*(Unit_Cost!G$6-1)+3)</f>
        <v>0.427542981021557</v>
      </c>
      <c r="H42" s="194" t="n">
        <f aca="false">INDEX(Perf!$C$120:$Q$120,3*(Unit_Cost!H$6-1)+3)</f>
        <v>0.427542981021557</v>
      </c>
      <c r="I42" s="194" t="n">
        <f aca="false">INDEX(Perf!$C$120:$Q$120,3*(Unit_Cost!I$6-1)+3)</f>
        <v>0.563845155935545</v>
      </c>
      <c r="J42" s="194" t="n">
        <f aca="false">INDEX(Perf!$C$120:$Q$120,3*(Unit_Cost!J$6-1)+3)</f>
        <v>0.563845155935545</v>
      </c>
      <c r="K42" s="194" t="n">
        <f aca="false">INDEX(Perf!$C$120:$Q$120,3*(Unit_Cost!K$6-1)+3)</f>
        <v>0.563845155935545</v>
      </c>
      <c r="L42" s="194" t="n">
        <f aca="false">INDEX(Perf!$C$120:$Q$120,3*(Unit_Cost!L$6-1)+3)</f>
        <v>1</v>
      </c>
      <c r="M42" s="194" t="n">
        <f aca="false">INDEX(Perf!$C$120:$Q$120,3*(Unit_Cost!M$6-1)+3)</f>
        <v>1</v>
      </c>
      <c r="N42" s="194" t="n">
        <f aca="false">INDEX(Perf!$C$120:$Q$120,3*(Unit_Cost!N$6-1)+3)</f>
        <v>1</v>
      </c>
      <c r="O42" s="194" t="n">
        <f aca="false">INDEX(Perf!$C$120:$Q$120,3*(Unit_Cost!O$6-1)+3)</f>
        <v>1.41502755393948</v>
      </c>
      <c r="P42" s="194" t="n">
        <f aca="false">INDEX(Perf!$C$120:$Q$120,3*(Unit_Cost!P$6-1)+3)</f>
        <v>1.41502755393948</v>
      </c>
      <c r="Q42" s="194" t="n">
        <f aca="false">INDEX(Perf!$C$120:$Q$120,3*(Unit_Cost!Q$6-1)+3)</f>
        <v>1.41502755393948</v>
      </c>
      <c r="R42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3462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3465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3410</v>
      </c>
      <c r="B43" s="30" t="s">
        <v>1040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6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,Gov_Map!$AG$687:$AG$688)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,Gov_Map!$AH$687:$AH$688)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3462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,Gov_Map!$AJ$687:$AJ$688)</f>
        <v>20261008</v>
      </c>
      <c r="W43" s="21" t="s">
        <v>3467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3483</v>
      </c>
      <c r="B44" s="30" t="s">
        <v>1040</v>
      </c>
      <c r="C44" s="195" t="n">
        <f aca="false">Unit_Cost!C43</f>
        <v>0.000172743177629224</v>
      </c>
      <c r="D44" s="195" t="n">
        <f aca="false">Unit_Cost!D43</f>
        <v>0.000246815447656943</v>
      </c>
      <c r="E44" s="195" t="n">
        <f aca="false">Unit_Cost!E43</f>
        <v>0.000423872904076792</v>
      </c>
      <c r="F44" s="195" t="n">
        <f aca="false">Unit_Cost!F43</f>
        <v>0.000240676503089255</v>
      </c>
      <c r="G44" s="195" t="n">
        <f aca="false">Unit_Cost!G43</f>
        <v>0.000321353759443325</v>
      </c>
      <c r="H44" s="195" t="n">
        <f aca="false">Unit_Cost!H43</f>
        <v>0.000521209964559791</v>
      </c>
      <c r="I44" s="195" t="n">
        <f aca="false">Unit_Cost!I43</f>
        <v>0.000316119027527436</v>
      </c>
      <c r="J44" s="195" t="n">
        <f aca="false">Unit_Cost!J43</f>
        <v>0.000408286018127352</v>
      </c>
      <c r="K44" s="195" t="n">
        <f aca="false">Unit_Cost!K43</f>
        <v>0.000695126852071133</v>
      </c>
      <c r="L44" s="195" t="n">
        <f aca="false">Unit_Cost!L43</f>
        <v>0.000595510326598316</v>
      </c>
      <c r="M44" s="195" t="n">
        <f aca="false">Unit_Cost!M43</f>
        <v>0.000765384289158751</v>
      </c>
      <c r="N44" s="195" t="n">
        <f aca="false">Unit_Cost!N43</f>
        <v>0.00123650202050216</v>
      </c>
      <c r="O44" s="195" t="n">
        <f aca="false">Unit_Cost!O43</f>
        <v>0.00094742947287411</v>
      </c>
      <c r="P44" s="195" t="n">
        <f aca="false">Unit_Cost!P43</f>
        <v>0.00143996289103764</v>
      </c>
      <c r="Q44" s="195" t="n">
        <f aca="false">Unit_Cost!Q43</f>
        <v>0.00262871198091606</v>
      </c>
      <c r="R44" s="186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,Gov_Map!$AG$687:$AG$688)&gt;0,"C",IF(SUM(Gov_Map!$AH$5:$AH$103,Gov_Map!$AH$183:$AH$184,Gov_Map!$AH$209,Gov_Map!$AH$212,Gov_Map!$AH$221:$AH$230,Gov_Map!$AH$239,Gov_Map!$AH$420,Gov_Map!$AH$430,Gov_Map!$AH$510:$AH$518,Gov_Map!$AH$521:$AH$522,Gov_Map!$AH$574:$AH$578,Gov_Map!$AH$605:$AH$611,Gov_Map!$AH$687:$AH$688)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3462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MAX(Gov_Map!$AJ$5:$AJ$103,Gov_Map!$AJ$183:$AJ$184,Gov_Map!$AJ$209,Gov_Map!$AJ$212,Gov_Map!$AJ$221:$AJ$230,Gov_Map!$AJ$239,Gov_Map!$AJ$420,Gov_Map!$AJ$430,Gov_Map!$AJ$510:$AJ$518,Gov_Map!$AJ$521:$AJ$522,Gov_Map!$AJ$574:$AJ$578,Gov_Map!$AJ$605:$AJ$611,Gov_Map!$AJ$687:$AJ$688)</f>
        <v>20261008</v>
      </c>
      <c r="W44" s="21" t="s">
        <v>3469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3411</v>
      </c>
      <c r="B45" s="30" t="s">
        <v>1040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3462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5" s="21" t="s">
        <v>3470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3484</v>
      </c>
      <c r="B46" s="30" t="s">
        <v>1040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6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,Gov_Map!$AG$687:$AG$688)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,Gov_Map!$AH$687:$AH$688)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3462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,Gov_Map!$AJ$687:$AJ$688)</f>
        <v>20261008</v>
      </c>
      <c r="W46" s="21" t="s">
        <v>3470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3485</v>
      </c>
      <c r="B47" s="30" t="s">
        <v>1016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6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3462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3473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3486</v>
      </c>
      <c r="B48" s="30" t="s">
        <v>127</v>
      </c>
      <c r="C48" s="196" t="n">
        <f aca="false">Serving!$C$17</f>
        <v>0.6</v>
      </c>
      <c r="R48" s="186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3487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3488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3489</v>
      </c>
      <c r="C50" s="21" t="s">
        <v>3490</v>
      </c>
    </row>
    <row r="52" customFormat="false" ht="15" hidden="false" customHeight="true" outlineLevel="0" collapsed="false">
      <c r="A52" s="43" t="s">
        <v>3491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302</v>
      </c>
    </row>
    <row r="54" customFormat="false" ht="15" hidden="false" customHeight="true" outlineLevel="0" collapsed="false">
      <c r="A54" s="44" t="s">
        <v>3492</v>
      </c>
      <c r="B54" s="30" t="s">
        <v>1292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1518493.4992289</v>
      </c>
      <c r="G54" s="49" t="n">
        <f aca="false">INDEX(Training!$C$106:$Q$106,3*(Unit_Cost!G$6-1)+1)</f>
        <v>1518493.4992289</v>
      </c>
      <c r="H54" s="49" t="n">
        <f aca="false">INDEX(Training!$C$106:$Q$106,3*(Unit_Cost!H$6-1)+1)</f>
        <v>1518493.4992289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809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54" s="21" t="s">
        <v>3493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3494</v>
      </c>
      <c r="B55" s="30" t="s">
        <v>1087</v>
      </c>
      <c r="C55" s="197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7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7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7" t="n">
        <f aca="false">IF(ISNUMBER(INDEX(Training!$C$106:$Q$106,3*(Unit_Cost!F$6-1)+1)),INDEX(Training!$C$106:$Q$106,3*(Unit_Cost!F$6-1)+1)*Unit_Cost!F$8/1000000,INDEX(Training!$C$106:$Q$106,3*(Unit_Cost!F$6-1)+1))</f>
        <v>2.28416065848862</v>
      </c>
      <c r="G55" s="197" t="n">
        <f aca="false">IF(ISNUMBER(INDEX(Training!$C$106:$Q$106,3*(Unit_Cost!G$6-1)+1)),INDEX(Training!$C$106:$Q$106,3*(Unit_Cost!G$6-1)+1)*Unit_Cost!G$8/1000000,INDEX(Training!$C$106:$Q$106,3*(Unit_Cost!G$6-1)+1))</f>
        <v>3.0498349666716</v>
      </c>
      <c r="H55" s="197" t="n">
        <f aca="false">IF(ISNUMBER(INDEX(Training!$C$106:$Q$106,3*(Unit_Cost!H$6-1)+1)),INDEX(Training!$C$106:$Q$106,3*(Unit_Cost!H$6-1)+1)*Unit_Cost!H$8/1000000,INDEX(Training!$C$106:$Q$106,3*(Unit_Cost!H$6-1)+1))</f>
        <v>4.94658714323355</v>
      </c>
      <c r="I55" s="197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7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7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7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7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7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7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7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7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809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55" s="21" t="s">
        <v>3495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3496</v>
      </c>
      <c r="B56" s="30" t="s">
        <v>127</v>
      </c>
      <c r="C56" s="198" t="n">
        <f aca="false">INDEX(Training!$C$110:$Q$110,3*(Unit_Cost!C$6-1)+1)</f>
        <v>0.131230136086418</v>
      </c>
      <c r="D56" s="198" t="n">
        <f aca="false">INDEX(Training!$C$110:$Q$110,3*(Unit_Cost!D$6-1)+1)</f>
        <v>0.131230136086418</v>
      </c>
      <c r="E56" s="198" t="n">
        <f aca="false">INDEX(Training!$C$110:$Q$110,3*(Unit_Cost!E$6-1)+1)</f>
        <v>0.131230136086418</v>
      </c>
      <c r="F56" s="198" t="n">
        <f aca="false">INDEX(Training!$C$110:$Q$110,3*(Unit_Cost!F$6-1)+1)</f>
        <v>0.131230136086418</v>
      </c>
      <c r="G56" s="198" t="n">
        <f aca="false">INDEX(Training!$C$110:$Q$110,3*(Unit_Cost!G$6-1)+1)</f>
        <v>0.131230136086418</v>
      </c>
      <c r="H56" s="198" t="n">
        <f aca="false">INDEX(Training!$C$110:$Q$110,3*(Unit_Cost!H$6-1)+1)</f>
        <v>0.131230136086418</v>
      </c>
      <c r="I56" s="198" t="n">
        <f aca="false">INDEX(Training!$C$110:$Q$110,3*(Unit_Cost!I$6-1)+1)</f>
        <v>0.131230136086418</v>
      </c>
      <c r="J56" s="198" t="n">
        <f aca="false">INDEX(Training!$C$110:$Q$110,3*(Unit_Cost!J$6-1)+1)</f>
        <v>0.131230136086418</v>
      </c>
      <c r="K56" s="198" t="n">
        <f aca="false">INDEX(Training!$C$110:$Q$110,3*(Unit_Cost!K$6-1)+1)</f>
        <v>0.131230136086418</v>
      </c>
      <c r="L56" s="198" t="n">
        <f aca="false">INDEX(Training!$C$110:$Q$110,3*(Unit_Cost!L$6-1)+1)</f>
        <v>0.131230136086418</v>
      </c>
      <c r="M56" s="198" t="n">
        <f aca="false">INDEX(Training!$C$110:$Q$110,3*(Unit_Cost!M$6-1)+1)</f>
        <v>0.131230136086418</v>
      </c>
      <c r="N56" s="198" t="n">
        <f aca="false">INDEX(Training!$C$110:$Q$110,3*(Unit_Cost!N$6-1)+1)</f>
        <v>0.131230136086418</v>
      </c>
      <c r="O56" s="198" t="n">
        <f aca="false">INDEX(Training!$C$110:$Q$110,3*(Unit_Cost!O$6-1)+1)</f>
        <v>0.131230136086418</v>
      </c>
      <c r="P56" s="198" t="n">
        <f aca="false">INDEX(Training!$C$110:$Q$110,3*(Unit_Cost!P$6-1)+1)</f>
        <v>0.131230136086418</v>
      </c>
      <c r="Q56" s="198" t="n">
        <f aca="false">INDEX(Training!$C$110:$Q$110,3*(Unit_Cost!Q$6-1)+1)</f>
        <v>0.131230136086418</v>
      </c>
      <c r="R56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809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3497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3498</v>
      </c>
      <c r="B57" s="30" t="s">
        <v>127</v>
      </c>
      <c r="C57" s="199" t="n">
        <f aca="false">INDEX(Training!$C$111:$Q$111,3*(Unit_Cost!C$6-1)+1)</f>
        <v>0.332444236058156</v>
      </c>
      <c r="D57" s="199" t="n">
        <f aca="false">INDEX(Training!$C$111:$Q$111,3*(Unit_Cost!D$6-1)+1)</f>
        <v>0.332444236058156</v>
      </c>
      <c r="E57" s="199" t="n">
        <f aca="false">INDEX(Training!$C$111:$Q$111,3*(Unit_Cost!E$6-1)+1)</f>
        <v>0.332444236058156</v>
      </c>
      <c r="F57" s="199" t="n">
        <f aca="false">INDEX(Training!$C$111:$Q$111,3*(Unit_Cost!F$6-1)+1)</f>
        <v>0.214693934547681</v>
      </c>
      <c r="G57" s="199" t="n">
        <f aca="false">INDEX(Training!$C$111:$Q$111,3*(Unit_Cost!G$6-1)+1)</f>
        <v>0.214693934547681</v>
      </c>
      <c r="H57" s="199" t="n">
        <f aca="false">INDEX(Training!$C$111:$Q$111,3*(Unit_Cost!H$6-1)+1)</f>
        <v>0.214693934547681</v>
      </c>
      <c r="I57" s="199" t="n">
        <f aca="false">INDEX(Training!$C$111:$Q$111,3*(Unit_Cost!I$6-1)+1)</f>
        <v>0.238707389111481</v>
      </c>
      <c r="J57" s="199" t="n">
        <f aca="false">INDEX(Training!$C$111:$Q$111,3*(Unit_Cost!J$6-1)+1)</f>
        <v>0.238707389111481</v>
      </c>
      <c r="K57" s="199" t="n">
        <f aca="false">INDEX(Training!$C$111:$Q$111,3*(Unit_Cost!K$6-1)+1)</f>
        <v>0.238707389111481</v>
      </c>
      <c r="L57" s="199" t="n">
        <f aca="false">INDEX(Training!$C$111:$Q$111,3*(Unit_Cost!L$6-1)+1)</f>
        <v>0.286511860627156</v>
      </c>
      <c r="M57" s="199" t="n">
        <f aca="false">INDEX(Training!$C$111:$Q$111,3*(Unit_Cost!M$6-1)+1)</f>
        <v>0.286511860627156</v>
      </c>
      <c r="N57" s="199" t="n">
        <f aca="false">INDEX(Training!$C$111:$Q$111,3*(Unit_Cost!N$6-1)+1)</f>
        <v>0.286511860627156</v>
      </c>
      <c r="O57" s="199" t="n">
        <f aca="false">INDEX(Training!$C$111:$Q$111,3*(Unit_Cost!O$6-1)+1)</f>
        <v>0.26008816948871</v>
      </c>
      <c r="P57" s="199" t="n">
        <f aca="false">INDEX(Training!$C$111:$Q$111,3*(Unit_Cost!P$6-1)+1)</f>
        <v>0.26008816948871</v>
      </c>
      <c r="Q57" s="199" t="n">
        <f aca="false">INDEX(Training!$C$111:$Q$111,3*(Unit_Cost!Q$6-1)+1)</f>
        <v>0.26008816948871</v>
      </c>
      <c r="R5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809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57" s="21" t="s">
        <v>3499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3500</v>
      </c>
      <c r="B58" s="30" t="s">
        <v>127</v>
      </c>
      <c r="C58" s="198" t="n">
        <f aca="false">INDEX(Training!$C$77:$Q$77,3*(Unit_Cost!C$6-1)+1)</f>
        <v>0.0671673042766739</v>
      </c>
      <c r="D58" s="198" t="n">
        <f aca="false">INDEX(Training!$C$77:$Q$77,3*(Unit_Cost!D$6-1)+1)</f>
        <v>0.0671673042766739</v>
      </c>
      <c r="E58" s="198" t="n">
        <f aca="false">INDEX(Training!$C$77:$Q$77,3*(Unit_Cost!E$6-1)+1)</f>
        <v>0.0671673042766739</v>
      </c>
      <c r="F58" s="198" t="n">
        <f aca="false">INDEX(Training!$C$77:$Q$77,3*(Unit_Cost!F$6-1)+1)</f>
        <v>0.12223346909218</v>
      </c>
      <c r="G58" s="198" t="n">
        <f aca="false">INDEX(Training!$C$77:$Q$77,3*(Unit_Cost!G$6-1)+1)</f>
        <v>0.12223346909218</v>
      </c>
      <c r="H58" s="198" t="n">
        <f aca="false">INDEX(Training!$C$77:$Q$77,3*(Unit_Cost!H$6-1)+1)</f>
        <v>0.12223346909218</v>
      </c>
      <c r="I58" s="198" t="n">
        <f aca="false">INDEX(Training!$C$77:$Q$77,3*(Unit_Cost!I$6-1)+1)</f>
        <v>0.106320482312473</v>
      </c>
      <c r="J58" s="198" t="n">
        <f aca="false">INDEX(Training!$C$77:$Q$77,3*(Unit_Cost!J$6-1)+1)</f>
        <v>0.106320482312473</v>
      </c>
      <c r="K58" s="198" t="n">
        <f aca="false">INDEX(Training!$C$77:$Q$77,3*(Unit_Cost!K$6-1)+1)</f>
        <v>0.106320482312473</v>
      </c>
      <c r="L58" s="198" t="n">
        <f aca="false">INDEX(Training!$C$77:$Q$77,3*(Unit_Cost!L$6-1)+1)</f>
        <v>0.0746224482738129</v>
      </c>
      <c r="M58" s="198" t="n">
        <f aca="false">INDEX(Training!$C$77:$Q$77,3*(Unit_Cost!M$6-1)+1)</f>
        <v>0.0746224482738129</v>
      </c>
      <c r="N58" s="198" t="n">
        <f aca="false">INDEX(Training!$C$77:$Q$77,3*(Unit_Cost!N$6-1)+1)</f>
        <v>0.0746224482738129</v>
      </c>
      <c r="O58" s="198" t="n">
        <f aca="false">INDEX(Training!$C$77:$Q$77,3*(Unit_Cost!O$6-1)+1)</f>
        <v>0.0853336117258793</v>
      </c>
      <c r="P58" s="198" t="n">
        <f aca="false">INDEX(Training!$C$77:$Q$77,3*(Unit_Cost!P$6-1)+1)</f>
        <v>0.0853336117258793</v>
      </c>
      <c r="Q58" s="198" t="n">
        <f aca="false">INDEX(Training!$C$77:$Q$77,3*(Unit_Cost!Q$6-1)+1)</f>
        <v>0.0853336117258793</v>
      </c>
      <c r="R5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809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58" s="21" t="s">
        <v>3501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3502</v>
      </c>
      <c r="B59" s="30" t="s">
        <v>1292</v>
      </c>
      <c r="C59" s="193" t="n">
        <f aca="false">INDEX(Training!$C$120:$Q$120,3*(Unit_Cost!C$6-1)+1)</f>
        <v>58336555.6480691</v>
      </c>
      <c r="D59" s="193" t="n">
        <f aca="false">INDEX(Training!$C$120:$Q$120,3*(Unit_Cost!D$6-1)+1)</f>
        <v>58336555.6480691</v>
      </c>
      <c r="E59" s="193" t="n">
        <f aca="false">INDEX(Training!$C$120:$Q$120,3*(Unit_Cost!E$6-1)+1)</f>
        <v>58336555.6480691</v>
      </c>
      <c r="F59" s="193" t="n">
        <f aca="false">INDEX(Training!$C$120:$Q$120,3*(Unit_Cost!F$6-1)+1)</f>
        <v>12147947.9938312</v>
      </c>
      <c r="G59" s="193" t="n">
        <f aca="false">INDEX(Training!$C$120:$Q$120,3*(Unit_Cost!G$6-1)+1)</f>
        <v>12147947.9938312</v>
      </c>
      <c r="H59" s="193" t="n">
        <f aca="false">INDEX(Training!$C$120:$Q$120,3*(Unit_Cost!H$6-1)+1)</f>
        <v>12147947.9938312</v>
      </c>
      <c r="I59" s="193" t="n">
        <f aca="false">INDEX(Training!$C$120:$Q$120,3*(Unit_Cost!I$6-1)+1)</f>
        <v>14201999.5820546</v>
      </c>
      <c r="J59" s="193" t="n">
        <f aca="false">INDEX(Training!$C$120:$Q$120,3*(Unit_Cost!J$6-1)+1)</f>
        <v>14201999.5820546</v>
      </c>
      <c r="K59" s="193" t="n">
        <f aca="false">INDEX(Training!$C$120:$Q$120,3*(Unit_Cost!K$6-1)+1)</f>
        <v>14201999.5820546</v>
      </c>
      <c r="L59" s="193" t="n">
        <f aca="false">INDEX(Training!$C$120:$Q$120,3*(Unit_Cost!L$6-1)+1)</f>
        <v>5633581.19099958</v>
      </c>
      <c r="M59" s="193" t="n">
        <f aca="false">INDEX(Training!$C$120:$Q$120,3*(Unit_Cost!M$6-1)+1)</f>
        <v>5633581.19099958</v>
      </c>
      <c r="N59" s="193" t="n">
        <f aca="false">INDEX(Training!$C$120:$Q$120,3*(Unit_Cost!N$6-1)+1)</f>
        <v>5633581.19099958</v>
      </c>
      <c r="O59" s="193" t="n">
        <f aca="false">INDEX(Training!$C$120:$Q$120,3*(Unit_Cost!O$6-1)+1)</f>
        <v>2440484.79695685</v>
      </c>
      <c r="P59" s="193" t="n">
        <f aca="false">INDEX(Training!$C$120:$Q$120,3*(Unit_Cost!P$6-1)+1)</f>
        <v>2440484.79695685</v>
      </c>
      <c r="Q59" s="193" t="n">
        <f aca="false">INDEX(Training!$C$120:$Q$120,3*(Unit_Cost!Q$6-1)+1)</f>
        <v>2440484.79695685</v>
      </c>
      <c r="R59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809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59" s="21" t="s">
        <v>3503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3412</v>
      </c>
      <c r="B60" s="30" t="s">
        <v>1087</v>
      </c>
      <c r="C60" s="193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3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3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3" t="n">
        <f aca="false">IF(ISNUMBER(INDEX(Training!$C$120:$Q$120,3*(Unit_Cost!F$6-1)+1)),INDEX(Training!$C$120:$Q$120,3*(Unit_Cost!F$6-1)+1)*Unit_Cost!F$8/1000000,INDEX(Training!$C$120:$Q$120,3*(Unit_Cost!F$6-1)+1))</f>
        <v>18.2732852679089</v>
      </c>
      <c r="G60" s="193" t="n">
        <f aca="false">IF(ISNUMBER(INDEX(Training!$C$120:$Q$120,3*(Unit_Cost!G$6-1)+1)),INDEX(Training!$C$120:$Q$120,3*(Unit_Cost!G$6-1)+1)*Unit_Cost!G$8/1000000,INDEX(Training!$C$120:$Q$120,3*(Unit_Cost!G$6-1)+1))</f>
        <v>24.3986797333728</v>
      </c>
      <c r="H60" s="193" t="n">
        <f aca="false">IF(ISNUMBER(INDEX(Training!$C$120:$Q$120,3*(Unit_Cost!H$6-1)+1)),INDEX(Training!$C$120:$Q$120,3*(Unit_Cost!H$6-1)+1)*Unit_Cost!H$8/1000000,INDEX(Training!$C$120:$Q$120,3*(Unit_Cost!H$6-1)+1))</f>
        <v>39.5726971458684</v>
      </c>
      <c r="I60" s="193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3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3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3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3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3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3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3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3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809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0" s="21" t="s">
        <v>3504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3505</v>
      </c>
      <c r="B61" s="30" t="s">
        <v>127</v>
      </c>
      <c r="C61" s="200" t="n">
        <f aca="false">INDEX(Training!$C$123:$Q$123,3*(Unit_Cost!C$6-1)+1)</f>
        <v>0.00927434400031541</v>
      </c>
      <c r="D61" s="200" t="n">
        <f aca="false">INDEX(Training!$C$123:$Q$123,3*(Unit_Cost!D$6-1)+1)</f>
        <v>0.00927434400031541</v>
      </c>
      <c r="E61" s="200" t="n">
        <f aca="false">INDEX(Training!$C$123:$Q$123,3*(Unit_Cost!E$6-1)+1)</f>
        <v>0.00927434400031541</v>
      </c>
      <c r="F61" s="200" t="n">
        <f aca="false">INDEX(Training!$C$123:$Q$123,3*(Unit_Cost!F$6-1)+1)</f>
        <v>0.00276373155340779</v>
      </c>
      <c r="G61" s="200" t="n">
        <f aca="false">INDEX(Training!$C$123:$Q$123,3*(Unit_Cost!G$6-1)+1)</f>
        <v>0.00276373155340779</v>
      </c>
      <c r="H61" s="200" t="n">
        <f aca="false">INDEX(Training!$C$123:$Q$123,3*(Unit_Cost!H$6-1)+1)</f>
        <v>0.00276373155340779</v>
      </c>
      <c r="I61" s="200" t="n">
        <f aca="false">INDEX(Training!$C$123:$Q$123,3*(Unit_Cost!I$6-1)+1)</f>
        <v>0.00332896549749013</v>
      </c>
      <c r="J61" s="200" t="n">
        <f aca="false">INDEX(Training!$C$123:$Q$123,3*(Unit_Cost!J$6-1)+1)</f>
        <v>0.00332896549749013</v>
      </c>
      <c r="K61" s="200" t="n">
        <f aca="false">INDEX(Training!$C$123:$Q$123,3*(Unit_Cost!K$6-1)+1)</f>
        <v>0.00332896549749013</v>
      </c>
      <c r="L61" s="200" t="n">
        <f aca="false">INDEX(Training!$C$123:$Q$123,3*(Unit_Cost!L$6-1)+1)</f>
        <v>0.00220433968028437</v>
      </c>
      <c r="M61" s="200" t="n">
        <f aca="false">INDEX(Training!$C$123:$Q$123,3*(Unit_Cost!M$6-1)+1)</f>
        <v>0.00220433968028437</v>
      </c>
      <c r="N61" s="200" t="n">
        <f aca="false">INDEX(Training!$C$123:$Q$123,3*(Unit_Cost!N$6-1)+1)</f>
        <v>0.00220433968028437</v>
      </c>
      <c r="O61" s="200" t="n">
        <f aca="false">INDEX(Training!$C$123:$Q$123,3*(Unit_Cost!O$6-1)+1)</f>
        <v>0.00143044852589726</v>
      </c>
      <c r="P61" s="200" t="n">
        <f aca="false">INDEX(Training!$C$123:$Q$123,3*(Unit_Cost!P$6-1)+1)</f>
        <v>0.00143044852589726</v>
      </c>
      <c r="Q61" s="200" t="n">
        <f aca="false">INDEX(Training!$C$123:$Q$123,3*(Unit_Cost!Q$6-1)+1)</f>
        <v>0.00143044852589726</v>
      </c>
      <c r="R61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809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1" s="21" t="s">
        <v>3506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303</v>
      </c>
    </row>
    <row r="63" customFormat="false" ht="15" hidden="false" customHeight="true" outlineLevel="0" collapsed="false">
      <c r="A63" s="44" t="s">
        <v>3507</v>
      </c>
      <c r="B63" s="30" t="s">
        <v>1292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4876722.34219832</v>
      </c>
      <c r="G63" s="49" t="n">
        <f aca="false">INDEX(Training!$C$106:$Q$106,3*(Unit_Cost!G$6-1)+2)</f>
        <v>4876722.34219832</v>
      </c>
      <c r="H63" s="49" t="n">
        <f aca="false">INDEX(Training!$C$106:$Q$106,3*(Unit_Cost!H$6-1)+2)</f>
        <v>4876722.34219832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809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63" s="21" t="s">
        <v>3493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3508</v>
      </c>
      <c r="B64" s="30" t="s">
        <v>1087</v>
      </c>
      <c r="C64" s="197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7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7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7" t="n">
        <f aca="false">IF(ISNUMBER(INDEX(Training!$C$106:$Q$106,3*(Unit_Cost!F$6-1)+2)),INDEX(Training!$C$106:$Q$106,3*(Unit_Cost!F$6-1)+2)*Unit_Cost!F$8/1000000,INDEX(Training!$C$106:$Q$106,3*(Unit_Cost!F$6-1)+2))</f>
        <v>7.3357029991096</v>
      </c>
      <c r="G64" s="197" t="n">
        <f aca="false">IF(ISNUMBER(INDEX(Training!$C$106:$Q$106,3*(Unit_Cost!G$6-1)+2)),INDEX(Training!$C$106:$Q$106,3*(Unit_Cost!G$6-1)+2)*Unit_Cost!G$8/1000000,INDEX(Training!$C$106:$Q$106,3*(Unit_Cost!G$6-1)+2))</f>
        <v>9.79470661516679</v>
      </c>
      <c r="H64" s="197" t="n">
        <f aca="false">IF(ISNUMBER(INDEX(Training!$C$106:$Q$106,3*(Unit_Cost!H$6-1)+2)),INDEX(Training!$C$106:$Q$106,3*(Unit_Cost!H$6-1)+2)*Unit_Cost!H$8/1000000,INDEX(Training!$C$106:$Q$106,3*(Unit_Cost!H$6-1)+2))</f>
        <v>15.886226744657</v>
      </c>
      <c r="I64" s="197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7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7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7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7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7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7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7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7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809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64" s="21" t="s">
        <v>3495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3509</v>
      </c>
      <c r="B65" s="30" t="s">
        <v>127</v>
      </c>
      <c r="C65" s="198" t="n">
        <f aca="false">INDEX(Training!$C$110:$Q$110,3*(Unit_Cost!C$6-1)+2)</f>
        <v>0.127029214627552</v>
      </c>
      <c r="D65" s="198" t="n">
        <f aca="false">INDEX(Training!$C$110:$Q$110,3*(Unit_Cost!D$6-1)+2)</f>
        <v>0.127029214627552</v>
      </c>
      <c r="E65" s="198" t="n">
        <f aca="false">INDEX(Training!$C$110:$Q$110,3*(Unit_Cost!E$6-1)+2)</f>
        <v>0.127029214627552</v>
      </c>
      <c r="F65" s="198" t="n">
        <f aca="false">INDEX(Training!$C$110:$Q$110,3*(Unit_Cost!F$6-1)+2)</f>
        <v>0.127029214627552</v>
      </c>
      <c r="G65" s="198" t="n">
        <f aca="false">INDEX(Training!$C$110:$Q$110,3*(Unit_Cost!G$6-1)+2)</f>
        <v>0.127029214627552</v>
      </c>
      <c r="H65" s="198" t="n">
        <f aca="false">INDEX(Training!$C$110:$Q$110,3*(Unit_Cost!H$6-1)+2)</f>
        <v>0.127029214627552</v>
      </c>
      <c r="I65" s="198" t="n">
        <f aca="false">INDEX(Training!$C$110:$Q$110,3*(Unit_Cost!I$6-1)+2)</f>
        <v>0.127029214627552</v>
      </c>
      <c r="J65" s="198" t="n">
        <f aca="false">INDEX(Training!$C$110:$Q$110,3*(Unit_Cost!J$6-1)+2)</f>
        <v>0.127029214627552</v>
      </c>
      <c r="K65" s="198" t="n">
        <f aca="false">INDEX(Training!$C$110:$Q$110,3*(Unit_Cost!K$6-1)+2)</f>
        <v>0.127029214627552</v>
      </c>
      <c r="L65" s="198" t="n">
        <f aca="false">INDEX(Training!$C$110:$Q$110,3*(Unit_Cost!L$6-1)+2)</f>
        <v>0.127029214627552</v>
      </c>
      <c r="M65" s="198" t="n">
        <f aca="false">INDEX(Training!$C$110:$Q$110,3*(Unit_Cost!M$6-1)+2)</f>
        <v>0.127029214627552</v>
      </c>
      <c r="N65" s="198" t="n">
        <f aca="false">INDEX(Training!$C$110:$Q$110,3*(Unit_Cost!N$6-1)+2)</f>
        <v>0.127029214627552</v>
      </c>
      <c r="O65" s="198" t="n">
        <f aca="false">INDEX(Training!$C$110:$Q$110,3*(Unit_Cost!O$6-1)+2)</f>
        <v>0.127029214627552</v>
      </c>
      <c r="P65" s="198" t="n">
        <f aca="false">INDEX(Training!$C$110:$Q$110,3*(Unit_Cost!P$6-1)+2)</f>
        <v>0.127029214627552</v>
      </c>
      <c r="Q65" s="198" t="n">
        <f aca="false">INDEX(Training!$C$110:$Q$110,3*(Unit_Cost!Q$6-1)+2)</f>
        <v>0.127029214627552</v>
      </c>
      <c r="R65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809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3497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3510</v>
      </c>
      <c r="B66" s="30" t="s">
        <v>127</v>
      </c>
      <c r="C66" s="199" t="n">
        <f aca="false">INDEX(Training!$C$111:$Q$111,3*(Unit_Cost!C$6-1)+2)</f>
        <v>0.338532361439256</v>
      </c>
      <c r="D66" s="199" t="n">
        <f aca="false">INDEX(Training!$C$111:$Q$111,3*(Unit_Cost!D$6-1)+2)</f>
        <v>0.338532361439256</v>
      </c>
      <c r="E66" s="199" t="n">
        <f aca="false">INDEX(Training!$C$111:$Q$111,3*(Unit_Cost!E$6-1)+2)</f>
        <v>0.338532361439256</v>
      </c>
      <c r="F66" s="199" t="n">
        <f aca="false">INDEX(Training!$C$111:$Q$111,3*(Unit_Cost!F$6-1)+2)</f>
        <v>0.210900160119004</v>
      </c>
      <c r="G66" s="199" t="n">
        <f aca="false">INDEX(Training!$C$111:$Q$111,3*(Unit_Cost!G$6-1)+2)</f>
        <v>0.210900160119004</v>
      </c>
      <c r="H66" s="199" t="n">
        <f aca="false">INDEX(Training!$C$111:$Q$111,3*(Unit_Cost!H$6-1)+2)</f>
        <v>0.210900160119004</v>
      </c>
      <c r="I66" s="199" t="n">
        <f aca="false">INDEX(Training!$C$111:$Q$111,3*(Unit_Cost!I$6-1)+2)</f>
        <v>0.235738956226448</v>
      </c>
      <c r="J66" s="199" t="n">
        <f aca="false">INDEX(Training!$C$111:$Q$111,3*(Unit_Cost!J$6-1)+2)</f>
        <v>0.235738956226448</v>
      </c>
      <c r="K66" s="199" t="n">
        <f aca="false">INDEX(Training!$C$111:$Q$111,3*(Unit_Cost!K$6-1)+2)</f>
        <v>0.235738956226448</v>
      </c>
      <c r="L66" s="199" t="n">
        <f aca="false">INDEX(Training!$C$111:$Q$111,3*(Unit_Cost!L$6-1)+2)</f>
        <v>0.282310936548276</v>
      </c>
      <c r="M66" s="199" t="n">
        <f aca="false">INDEX(Training!$C$111:$Q$111,3*(Unit_Cost!M$6-1)+2)</f>
        <v>0.282310936548276</v>
      </c>
      <c r="N66" s="199" t="n">
        <f aca="false">INDEX(Training!$C$111:$Q$111,3*(Unit_Cost!N$6-1)+2)</f>
        <v>0.282310936548276</v>
      </c>
      <c r="O66" s="199" t="n">
        <f aca="false">INDEX(Training!$C$111:$Q$111,3*(Unit_Cost!O$6-1)+2)</f>
        <v>0.254949018157508</v>
      </c>
      <c r="P66" s="199" t="n">
        <f aca="false">INDEX(Training!$C$111:$Q$111,3*(Unit_Cost!P$6-1)+2)</f>
        <v>0.254949018157508</v>
      </c>
      <c r="Q66" s="199" t="n">
        <f aca="false">INDEX(Training!$C$111:$Q$111,3*(Unit_Cost!Q$6-1)+2)</f>
        <v>0.254949018157508</v>
      </c>
      <c r="R6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809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66" s="21" t="s">
        <v>3499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3511</v>
      </c>
      <c r="B67" s="30" t="s">
        <v>127</v>
      </c>
      <c r="C67" s="198" t="n">
        <f aca="false">INDEX(Training!$C$77:$Q$77,3*(Unit_Cost!C$6-1)+2)</f>
        <v>0.062804610455095</v>
      </c>
      <c r="D67" s="198" t="n">
        <f aca="false">INDEX(Training!$C$77:$Q$77,3*(Unit_Cost!D$6-1)+2)</f>
        <v>0.062804610455095</v>
      </c>
      <c r="E67" s="198" t="n">
        <f aca="false">INDEX(Training!$C$77:$Q$77,3*(Unit_Cost!E$6-1)+2)</f>
        <v>0.062804610455095</v>
      </c>
      <c r="F67" s="198" t="n">
        <f aca="false">INDEX(Training!$C$77:$Q$77,3*(Unit_Cost!F$6-1)+2)</f>
        <v>0.120133991950214</v>
      </c>
      <c r="G67" s="198" t="n">
        <f aca="false">INDEX(Training!$C$77:$Q$77,3*(Unit_Cost!G$6-1)+2)</f>
        <v>0.120133991950214</v>
      </c>
      <c r="H67" s="198" t="n">
        <f aca="false">INDEX(Training!$C$77:$Q$77,3*(Unit_Cost!H$6-1)+2)</f>
        <v>0.120133991950214</v>
      </c>
      <c r="I67" s="198" t="n">
        <f aca="false">INDEX(Training!$C$77:$Q$77,3*(Unit_Cost!I$6-1)+2)</f>
        <v>0.103815837007901</v>
      </c>
      <c r="J67" s="198" t="n">
        <f aca="false">INDEX(Training!$C$77:$Q$77,3*(Unit_Cost!J$6-1)+2)</f>
        <v>0.103815837007901</v>
      </c>
      <c r="K67" s="198" t="n">
        <f aca="false">INDEX(Training!$C$77:$Q$77,3*(Unit_Cost!K$6-1)+2)</f>
        <v>0.103815837007901</v>
      </c>
      <c r="L67" s="198" t="n">
        <f aca="false">INDEX(Training!$C$77:$Q$77,3*(Unit_Cost!L$6-1)+2)</f>
        <v>0.0731801304364245</v>
      </c>
      <c r="M67" s="198" t="n">
        <f aca="false">INDEX(Training!$C$77:$Q$77,3*(Unit_Cost!M$6-1)+2)</f>
        <v>0.0731801304364245</v>
      </c>
      <c r="N67" s="198" t="n">
        <f aca="false">INDEX(Training!$C$77:$Q$77,3*(Unit_Cost!N$6-1)+2)</f>
        <v>0.0731801304364245</v>
      </c>
      <c r="O67" s="198" t="n">
        <f aca="false">INDEX(Training!$C$77:$Q$77,3*(Unit_Cost!O$6-1)+2)</f>
        <v>0.0842149737466073</v>
      </c>
      <c r="P67" s="198" t="n">
        <f aca="false">INDEX(Training!$C$77:$Q$77,3*(Unit_Cost!P$6-1)+2)</f>
        <v>0.0842149737466073</v>
      </c>
      <c r="Q67" s="198" t="n">
        <f aca="false">INDEX(Training!$C$77:$Q$77,3*(Unit_Cost!Q$6-1)+2)</f>
        <v>0.0842149737466073</v>
      </c>
      <c r="R6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809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67" s="21" t="s">
        <v>3501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3512</v>
      </c>
      <c r="B68" s="30" t="s">
        <v>1292</v>
      </c>
      <c r="C68" s="193" t="n">
        <f aca="false">INDEX(Training!$C$120:$Q$120,3*(Unit_Cost!C$6-1)+2)</f>
        <v>162016339.899227</v>
      </c>
      <c r="D68" s="193" t="n">
        <f aca="false">INDEX(Training!$C$120:$Q$120,3*(Unit_Cost!D$6-1)+2)</f>
        <v>162016339.899227</v>
      </c>
      <c r="E68" s="193" t="n">
        <f aca="false">INDEX(Training!$C$120:$Q$120,3*(Unit_Cost!E$6-1)+2)</f>
        <v>162016339.899227</v>
      </c>
      <c r="F68" s="193" t="n">
        <f aca="false">INDEX(Training!$C$120:$Q$120,3*(Unit_Cost!F$6-1)+2)</f>
        <v>39013778.7375866</v>
      </c>
      <c r="G68" s="193" t="n">
        <f aca="false">INDEX(Training!$C$120:$Q$120,3*(Unit_Cost!G$6-1)+2)</f>
        <v>39013778.7375866</v>
      </c>
      <c r="H68" s="193" t="n">
        <f aca="false">INDEX(Training!$C$120:$Q$120,3*(Unit_Cost!H$6-1)+2)</f>
        <v>39013778.7375866</v>
      </c>
      <c r="I68" s="193" t="n">
        <f aca="false">INDEX(Training!$C$120:$Q$120,3*(Unit_Cost!I$6-1)+2)</f>
        <v>43631624.8853258</v>
      </c>
      <c r="J68" s="193" t="n">
        <f aca="false">INDEX(Training!$C$120:$Q$120,3*(Unit_Cost!J$6-1)+2)</f>
        <v>43631624.8853258</v>
      </c>
      <c r="K68" s="193" t="n">
        <f aca="false">INDEX(Training!$C$120:$Q$120,3*(Unit_Cost!K$6-1)+2)</f>
        <v>43631624.8853258</v>
      </c>
      <c r="L68" s="193" t="n">
        <f aca="false">INDEX(Training!$C$120:$Q$120,3*(Unit_Cost!L$6-1)+2)</f>
        <v>16410314.0767004</v>
      </c>
      <c r="M68" s="193" t="n">
        <f aca="false">INDEX(Training!$C$120:$Q$120,3*(Unit_Cost!M$6-1)+2)</f>
        <v>16410314.0767004</v>
      </c>
      <c r="N68" s="193" t="n">
        <f aca="false">INDEX(Training!$C$120:$Q$120,3*(Unit_Cost!N$6-1)+2)</f>
        <v>16410314.0767004</v>
      </c>
      <c r="O68" s="193" t="n">
        <f aca="false">INDEX(Training!$C$120:$Q$120,3*(Unit_Cost!O$6-1)+2)</f>
        <v>7352402.97143392</v>
      </c>
      <c r="P68" s="193" t="n">
        <f aca="false">INDEX(Training!$C$120:$Q$120,3*(Unit_Cost!P$6-1)+2)</f>
        <v>7352402.97143392</v>
      </c>
      <c r="Q68" s="193" t="n">
        <f aca="false">INDEX(Training!$C$120:$Q$120,3*(Unit_Cost!Q$6-1)+2)</f>
        <v>7352402.97143392</v>
      </c>
      <c r="R6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809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68" s="21" t="s">
        <v>3503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3413</v>
      </c>
      <c r="B69" s="30" t="s">
        <v>1087</v>
      </c>
      <c r="C69" s="193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3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3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3" t="n">
        <f aca="false">IF(ISNUMBER(INDEX(Training!$C$120:$Q$120,3*(Unit_Cost!F$6-1)+2)),INDEX(Training!$C$120:$Q$120,3*(Unit_Cost!F$6-1)+2)*Unit_Cost!F$8/1000000,INDEX(Training!$C$120:$Q$120,3*(Unit_Cost!F$6-1)+2))</f>
        <v>58.6856239928768</v>
      </c>
      <c r="G69" s="193" t="n">
        <f aca="false">IF(ISNUMBER(INDEX(Training!$C$120:$Q$120,3*(Unit_Cost!G$6-1)+2)),INDEX(Training!$C$120:$Q$120,3*(Unit_Cost!G$6-1)+2)*Unit_Cost!G$8/1000000,INDEX(Training!$C$120:$Q$120,3*(Unit_Cost!G$6-1)+2))</f>
        <v>78.3576529213344</v>
      </c>
      <c r="H69" s="193" t="n">
        <f aca="false">IF(ISNUMBER(INDEX(Training!$C$120:$Q$120,3*(Unit_Cost!H$6-1)+2)),INDEX(Training!$C$120:$Q$120,3*(Unit_Cost!H$6-1)+2)*Unit_Cost!H$8/1000000,INDEX(Training!$C$120:$Q$120,3*(Unit_Cost!H$6-1)+2))</f>
        <v>127.089813957256</v>
      </c>
      <c r="I69" s="193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3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3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3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3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3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3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3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3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809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69" s="21" t="s">
        <v>3504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3513</v>
      </c>
      <c r="B70" s="30" t="s">
        <v>127</v>
      </c>
      <c r="C70" s="200" t="n">
        <f aca="false">INDEX(Training!$C$123:$Q$123,3*(Unit_Cost!C$6-1)+2)</f>
        <v>0.0257573532274046</v>
      </c>
      <c r="D70" s="200" t="n">
        <f aca="false">INDEX(Training!$C$123:$Q$123,3*(Unit_Cost!D$6-1)+2)</f>
        <v>0.0257573532274046</v>
      </c>
      <c r="E70" s="200" t="n">
        <f aca="false">INDEX(Training!$C$123:$Q$123,3*(Unit_Cost!E$6-1)+2)</f>
        <v>0.0257573532274046</v>
      </c>
      <c r="F70" s="200" t="n">
        <f aca="false">INDEX(Training!$C$123:$Q$123,3*(Unit_Cost!F$6-1)+2)</f>
        <v>0.00887587034201096</v>
      </c>
      <c r="G70" s="200" t="n">
        <f aca="false">INDEX(Training!$C$123:$Q$123,3*(Unit_Cost!G$6-1)+2)</f>
        <v>0.00887587034201096</v>
      </c>
      <c r="H70" s="200" t="n">
        <f aca="false">INDEX(Training!$C$123:$Q$123,3*(Unit_Cost!H$6-1)+2)</f>
        <v>0.00887587034201096</v>
      </c>
      <c r="I70" s="200" t="n">
        <f aca="false">INDEX(Training!$C$123:$Q$123,3*(Unit_Cost!I$6-1)+2)</f>
        <v>0.0102273044724078</v>
      </c>
      <c r="J70" s="200" t="n">
        <f aca="false">INDEX(Training!$C$123:$Q$123,3*(Unit_Cost!J$6-1)+2)</f>
        <v>0.0102273044724078</v>
      </c>
      <c r="K70" s="200" t="n">
        <f aca="false">INDEX(Training!$C$123:$Q$123,3*(Unit_Cost!K$6-1)+2)</f>
        <v>0.0102273044724078</v>
      </c>
      <c r="L70" s="200" t="n">
        <f aca="false">INDEX(Training!$C$123:$Q$123,3*(Unit_Cost!L$6-1)+2)</f>
        <v>0.00642112099901794</v>
      </c>
      <c r="M70" s="200" t="n">
        <f aca="false">INDEX(Training!$C$123:$Q$123,3*(Unit_Cost!M$6-1)+2)</f>
        <v>0.00642112099901794</v>
      </c>
      <c r="N70" s="200" t="n">
        <f aca="false">INDEX(Training!$C$123:$Q$123,3*(Unit_Cost!N$6-1)+2)</f>
        <v>0.00642112099901794</v>
      </c>
      <c r="O70" s="200" t="n">
        <f aca="false">INDEX(Training!$C$123:$Q$123,3*(Unit_Cost!O$6-1)+2)</f>
        <v>0.00430948556016603</v>
      </c>
      <c r="P70" s="200" t="n">
        <f aca="false">INDEX(Training!$C$123:$Q$123,3*(Unit_Cost!P$6-1)+2)</f>
        <v>0.00430948556016603</v>
      </c>
      <c r="Q70" s="200" t="n">
        <f aca="false">INDEX(Training!$C$123:$Q$123,3*(Unit_Cost!Q$6-1)+2)</f>
        <v>0.00430948556016603</v>
      </c>
      <c r="R70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809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0" s="21" t="s">
        <v>3506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304</v>
      </c>
    </row>
    <row r="72" customFormat="false" ht="15" hidden="false" customHeight="true" outlineLevel="0" collapsed="false">
      <c r="A72" s="44" t="s">
        <v>3514</v>
      </c>
      <c r="B72" s="30" t="s">
        <v>1292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31771312.021635</v>
      </c>
      <c r="G72" s="49" t="n">
        <f aca="false">INDEX(Training!$C$106:$Q$106,3*(Unit_Cost!G$6-1)+3)</f>
        <v>31771312.021635</v>
      </c>
      <c r="H72" s="49" t="n">
        <f aca="false">INDEX(Training!$C$106:$Q$106,3*(Unit_Cost!H$6-1)+3)</f>
        <v>31771312.021635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809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72" s="21" t="s">
        <v>3493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3515</v>
      </c>
      <c r="B73" s="30" t="s">
        <v>1087</v>
      </c>
      <c r="C73" s="197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7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7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7" t="n">
        <f aca="false">IF(ISNUMBER(INDEX(Training!$C$106:$Q$106,3*(Unit_Cost!F$6-1)+3)),INDEX(Training!$C$106:$Q$106,3*(Unit_Cost!F$6-1)+3)*Unit_Cost!F$8/1000000,INDEX(Training!$C$106:$Q$106,3*(Unit_Cost!F$6-1)+3))</f>
        <v>47.7913017245296</v>
      </c>
      <c r="G73" s="197" t="n">
        <f aca="false">IF(ISNUMBER(INDEX(Training!$C$106:$Q$106,3*(Unit_Cost!G$6-1)+3)),INDEX(Training!$C$106:$Q$106,3*(Unit_Cost!G$6-1)+3)*Unit_Cost!G$8/1000000,INDEX(Training!$C$106:$Q$106,3*(Unit_Cost!G$6-1)+3))</f>
        <v>63.8114410037457</v>
      </c>
      <c r="H73" s="197" t="n">
        <f aca="false">IF(ISNUMBER(INDEX(Training!$C$106:$Q$106,3*(Unit_Cost!H$6-1)+3)),INDEX(Training!$C$106:$Q$106,3*(Unit_Cost!H$6-1)+3)*Unit_Cost!H$8/1000000,INDEX(Training!$C$106:$Q$106,3*(Unit_Cost!H$6-1)+3))</f>
        <v>103.49702758009</v>
      </c>
      <c r="I73" s="197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7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7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7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7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7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7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7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7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809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,Gov_Map!$AJ$687:$AJ$689,Gov_Map!$AJ$691)</f>
        <v>20261008</v>
      </c>
      <c r="W73" s="21" t="s">
        <v>3495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3516</v>
      </c>
      <c r="B74" s="30" t="s">
        <v>127</v>
      </c>
      <c r="C74" s="198" t="n">
        <f aca="false">INDEX(Training!$C$110:$Q$110,3*(Unit_Cost!C$6-1)+3)</f>
        <v>0.268885180199482</v>
      </c>
      <c r="D74" s="198" t="n">
        <f aca="false">INDEX(Training!$C$110:$Q$110,3*(Unit_Cost!D$6-1)+3)</f>
        <v>0.268885180199482</v>
      </c>
      <c r="E74" s="198" t="n">
        <f aca="false">INDEX(Training!$C$110:$Q$110,3*(Unit_Cost!E$6-1)+3)</f>
        <v>0.268885180199482</v>
      </c>
      <c r="F74" s="198" t="n">
        <f aca="false">INDEX(Training!$C$110:$Q$110,3*(Unit_Cost!F$6-1)+3)</f>
        <v>0.268885180199482</v>
      </c>
      <c r="G74" s="198" t="n">
        <f aca="false">INDEX(Training!$C$110:$Q$110,3*(Unit_Cost!G$6-1)+3)</f>
        <v>0.268885180199482</v>
      </c>
      <c r="H74" s="198" t="n">
        <f aca="false">INDEX(Training!$C$110:$Q$110,3*(Unit_Cost!H$6-1)+3)</f>
        <v>0.268885180199482</v>
      </c>
      <c r="I74" s="198" t="n">
        <f aca="false">INDEX(Training!$C$110:$Q$110,3*(Unit_Cost!I$6-1)+3)</f>
        <v>0.268885180199482</v>
      </c>
      <c r="J74" s="198" t="n">
        <f aca="false">INDEX(Training!$C$110:$Q$110,3*(Unit_Cost!J$6-1)+3)</f>
        <v>0.268885180199482</v>
      </c>
      <c r="K74" s="198" t="n">
        <f aca="false">INDEX(Training!$C$110:$Q$110,3*(Unit_Cost!K$6-1)+3)</f>
        <v>0.268885180199482</v>
      </c>
      <c r="L74" s="198" t="n">
        <f aca="false">INDEX(Training!$C$110:$Q$110,3*(Unit_Cost!L$6-1)+3)</f>
        <v>0.268885180199482</v>
      </c>
      <c r="M74" s="198" t="n">
        <f aca="false">INDEX(Training!$C$110:$Q$110,3*(Unit_Cost!M$6-1)+3)</f>
        <v>0.268885180199482</v>
      </c>
      <c r="N74" s="198" t="n">
        <f aca="false">INDEX(Training!$C$110:$Q$110,3*(Unit_Cost!N$6-1)+3)</f>
        <v>0.268885180199482</v>
      </c>
      <c r="O74" s="198" t="n">
        <f aca="false">INDEX(Training!$C$110:$Q$110,3*(Unit_Cost!O$6-1)+3)</f>
        <v>0.268885180199482</v>
      </c>
      <c r="P74" s="198" t="n">
        <f aca="false">INDEX(Training!$C$110:$Q$110,3*(Unit_Cost!P$6-1)+3)</f>
        <v>0.268885180199482</v>
      </c>
      <c r="Q74" s="198" t="n">
        <f aca="false">INDEX(Training!$C$110:$Q$110,3*(Unit_Cost!Q$6-1)+3)</f>
        <v>0.268885180199482</v>
      </c>
      <c r="R74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809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3497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3517</v>
      </c>
      <c r="B75" s="30" t="s">
        <v>127</v>
      </c>
      <c r="C75" s="199" t="n">
        <f aca="false">INDEX(Training!$C$111:$Q$111,3*(Unit_Cost!C$6-1)+3)</f>
        <v>0.594349541651907</v>
      </c>
      <c r="D75" s="199" t="n">
        <f aca="false">INDEX(Training!$C$111:$Q$111,3*(Unit_Cost!D$6-1)+3)</f>
        <v>0.594349541651907</v>
      </c>
      <c r="E75" s="199" t="n">
        <f aca="false">INDEX(Training!$C$111:$Q$111,3*(Unit_Cost!E$6-1)+3)</f>
        <v>0.594349541651907</v>
      </c>
      <c r="F75" s="199" t="n">
        <f aca="false">INDEX(Training!$C$111:$Q$111,3*(Unit_Cost!F$6-1)+3)</f>
        <v>0.416669816052578</v>
      </c>
      <c r="G75" s="199" t="n">
        <f aca="false">INDEX(Training!$C$111:$Q$111,3*(Unit_Cost!G$6-1)+3)</f>
        <v>0.416669816052578</v>
      </c>
      <c r="H75" s="199" t="n">
        <f aca="false">INDEX(Training!$C$111:$Q$111,3*(Unit_Cost!H$6-1)+3)</f>
        <v>0.416669816052578</v>
      </c>
      <c r="I75" s="199" t="n">
        <f aca="false">INDEX(Training!$C$111:$Q$111,3*(Unit_Cost!I$6-1)+3)</f>
        <v>0.460983664042966</v>
      </c>
      <c r="J75" s="199" t="n">
        <f aca="false">INDEX(Training!$C$111:$Q$111,3*(Unit_Cost!J$6-1)+3)</f>
        <v>0.460983664042966</v>
      </c>
      <c r="K75" s="199" t="n">
        <f aca="false">INDEX(Training!$C$111:$Q$111,3*(Unit_Cost!K$6-1)+3)</f>
        <v>0.460983664042966</v>
      </c>
      <c r="L75" s="199" t="n">
        <f aca="false">INDEX(Training!$C$111:$Q$111,3*(Unit_Cost!L$6-1)+3)</f>
        <v>0.521148040333377</v>
      </c>
      <c r="M75" s="199" t="n">
        <f aca="false">INDEX(Training!$C$111:$Q$111,3*(Unit_Cost!M$6-1)+3)</f>
        <v>0.521148040333377</v>
      </c>
      <c r="N75" s="199" t="n">
        <f aca="false">INDEX(Training!$C$111:$Q$111,3*(Unit_Cost!N$6-1)+3)</f>
        <v>0.521148040333377</v>
      </c>
      <c r="O75" s="199" t="n">
        <f aca="false">INDEX(Training!$C$111:$Q$111,3*(Unit_Cost!O$6-1)+3)</f>
        <v>0.481150986813593</v>
      </c>
      <c r="P75" s="199" t="n">
        <f aca="false">INDEX(Training!$C$111:$Q$111,3*(Unit_Cost!P$6-1)+3)</f>
        <v>0.481150986813593</v>
      </c>
      <c r="Q75" s="199" t="n">
        <f aca="false">INDEX(Training!$C$111:$Q$111,3*(Unit_Cost!Q$6-1)+3)</f>
        <v>0.481150986813593</v>
      </c>
      <c r="R75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,Gov_Map!$AH$689,Gov_Map!$AH$691)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809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,Gov_Map!$AJ$689,Gov_Map!$AJ$691)</f>
        <v>20261005</v>
      </c>
      <c r="W75" s="21" t="s">
        <v>3499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3518</v>
      </c>
      <c r="B76" s="30" t="s">
        <v>127</v>
      </c>
      <c r="C76" s="198" t="n">
        <f aca="false">INDEX(Training!$C$77:$Q$77,3*(Unit_Cost!C$6-1)+3)</f>
        <v>0.0561462257017422</v>
      </c>
      <c r="D76" s="198" t="n">
        <f aca="false">INDEX(Training!$C$77:$Q$77,3*(Unit_Cost!D$6-1)+3)</f>
        <v>0.0561462257017422</v>
      </c>
      <c r="E76" s="198" t="n">
        <f aca="false">INDEX(Training!$C$77:$Q$77,3*(Unit_Cost!E$6-1)+3)</f>
        <v>0.0561462257017422</v>
      </c>
      <c r="F76" s="198" t="n">
        <f aca="false">INDEX(Training!$C$77:$Q$77,3*(Unit_Cost!F$6-1)+3)</f>
        <v>0.11524673684497</v>
      </c>
      <c r="G76" s="198" t="n">
        <f aca="false">INDEX(Training!$C$77:$Q$77,3*(Unit_Cost!G$6-1)+3)</f>
        <v>0.11524673684497</v>
      </c>
      <c r="H76" s="198" t="n">
        <f aca="false">INDEX(Training!$C$77:$Q$77,3*(Unit_Cost!H$6-1)+3)</f>
        <v>0.11524673684497</v>
      </c>
      <c r="I76" s="198" t="n">
        <f aca="false">INDEX(Training!$C$77:$Q$77,3*(Unit_Cost!I$6-1)+3)</f>
        <v>0.0961724702603611</v>
      </c>
      <c r="J76" s="198" t="n">
        <f aca="false">INDEX(Training!$C$77:$Q$77,3*(Unit_Cost!J$6-1)+3)</f>
        <v>0.0961724702603611</v>
      </c>
      <c r="K76" s="198" t="n">
        <f aca="false">INDEX(Training!$C$77:$Q$77,3*(Unit_Cost!K$6-1)+3)</f>
        <v>0.0961724702603611</v>
      </c>
      <c r="L76" s="198" t="n">
        <f aca="false">INDEX(Training!$C$77:$Q$77,3*(Unit_Cost!L$6-1)+3)</f>
        <v>0.0679835504547044</v>
      </c>
      <c r="M76" s="198" t="n">
        <f aca="false">INDEX(Training!$C$77:$Q$77,3*(Unit_Cost!M$6-1)+3)</f>
        <v>0.0679835504547044</v>
      </c>
      <c r="N76" s="198" t="n">
        <f aca="false">INDEX(Training!$C$77:$Q$77,3*(Unit_Cost!N$6-1)+3)</f>
        <v>0.0679835504547044</v>
      </c>
      <c r="O76" s="198" t="n">
        <f aca="false">INDEX(Training!$C$77:$Q$77,3*(Unit_Cost!O$6-1)+3)</f>
        <v>0.0798187502820238</v>
      </c>
      <c r="P76" s="198" t="n">
        <f aca="false">INDEX(Training!$C$77:$Q$77,3*(Unit_Cost!P$6-1)+3)</f>
        <v>0.0798187502820238</v>
      </c>
      <c r="Q76" s="198" t="n">
        <f aca="false">INDEX(Training!$C$77:$Q$77,3*(Unit_Cost!Q$6-1)+3)</f>
        <v>0.0798187502820238</v>
      </c>
      <c r="R76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,Gov_Map!$AH$689,Gov_Map!$AH$691)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809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,Gov_Map!$AJ$689,Gov_Map!$AJ$691)</f>
        <v>20261005</v>
      </c>
      <c r="W76" s="21" t="s">
        <v>3501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3519</v>
      </c>
      <c r="B77" s="30" t="s">
        <v>1292</v>
      </c>
      <c r="C77" s="193" t="n">
        <f aca="false">INDEX(Training!$C$120:$Q$120,3*(Unit_Cost!C$6-1)+3)</f>
        <v>986590568.929256</v>
      </c>
      <c r="D77" s="193" t="n">
        <f aca="false">INDEX(Training!$C$120:$Q$120,3*(Unit_Cost!D$6-1)+3)</f>
        <v>986590568.929256</v>
      </c>
      <c r="E77" s="193" t="n">
        <f aca="false">INDEX(Training!$C$120:$Q$120,3*(Unit_Cost!E$6-1)+3)</f>
        <v>986590568.929256</v>
      </c>
      <c r="F77" s="193" t="n">
        <f aca="false">INDEX(Training!$C$120:$Q$120,3*(Unit_Cost!F$6-1)+3)</f>
        <v>254170496.17308</v>
      </c>
      <c r="G77" s="193" t="n">
        <f aca="false">INDEX(Training!$C$120:$Q$120,3*(Unit_Cost!G$6-1)+3)</f>
        <v>254170496.17308</v>
      </c>
      <c r="H77" s="193" t="n">
        <f aca="false">INDEX(Training!$C$120:$Q$120,3*(Unit_Cost!H$6-1)+3)</f>
        <v>254170496.17308</v>
      </c>
      <c r="I77" s="193" t="n">
        <f aca="false">INDEX(Training!$C$120:$Q$120,3*(Unit_Cost!I$6-1)+3)</f>
        <v>279804081.046011</v>
      </c>
      <c r="J77" s="193" t="n">
        <f aca="false">INDEX(Training!$C$120:$Q$120,3*(Unit_Cost!J$6-1)+3)</f>
        <v>279804081.046011</v>
      </c>
      <c r="K77" s="193" t="n">
        <f aca="false">INDEX(Training!$C$120:$Q$120,3*(Unit_Cost!K$6-1)+3)</f>
        <v>279804081.046011</v>
      </c>
      <c r="L77" s="193" t="n">
        <f aca="false">INDEX(Training!$C$120:$Q$120,3*(Unit_Cost!L$6-1)+3)</f>
        <v>102272699.724672</v>
      </c>
      <c r="M77" s="193" t="n">
        <f aca="false">INDEX(Training!$C$120:$Q$120,3*(Unit_Cost!M$6-1)+3)</f>
        <v>102272699.724672</v>
      </c>
      <c r="N77" s="193" t="n">
        <f aca="false">INDEX(Training!$C$120:$Q$120,3*(Unit_Cost!N$6-1)+3)</f>
        <v>102272699.724672</v>
      </c>
      <c r="O77" s="193" t="n">
        <f aca="false">INDEX(Training!$C$120:$Q$120,3*(Unit_Cost!O$6-1)+3)</f>
        <v>46491866.832671</v>
      </c>
      <c r="P77" s="193" t="n">
        <f aca="false">INDEX(Training!$C$120:$Q$120,3*(Unit_Cost!P$6-1)+3)</f>
        <v>46491866.832671</v>
      </c>
      <c r="Q77" s="193" t="n">
        <f aca="false">INDEX(Training!$C$120:$Q$120,3*(Unit_Cost!Q$6-1)+3)</f>
        <v>46491866.832671</v>
      </c>
      <c r="R77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809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7" s="21" t="s">
        <v>3503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3414</v>
      </c>
      <c r="B78" s="30" t="s">
        <v>1087</v>
      </c>
      <c r="C78" s="193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3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3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3" t="n">
        <f aca="false">IF(ISNUMBER(INDEX(Training!$C$120:$Q$120,3*(Unit_Cost!F$6-1)+3)),INDEX(Training!$C$120:$Q$120,3*(Unit_Cost!F$6-1)+3)*Unit_Cost!F$8/1000000,INDEX(Training!$C$120:$Q$120,3*(Unit_Cost!F$6-1)+3))</f>
        <v>382.330413796237</v>
      </c>
      <c r="G78" s="193" t="n">
        <f aca="false">IF(ISNUMBER(INDEX(Training!$C$120:$Q$120,3*(Unit_Cost!G$6-1)+3)),INDEX(Training!$C$120:$Q$120,3*(Unit_Cost!G$6-1)+3)*Unit_Cost!G$8/1000000,INDEX(Training!$C$120:$Q$120,3*(Unit_Cost!G$6-1)+3))</f>
        <v>510.491528029966</v>
      </c>
      <c r="H78" s="193" t="n">
        <f aca="false">IF(ISNUMBER(INDEX(Training!$C$120:$Q$120,3*(Unit_Cost!H$6-1)+3)),INDEX(Training!$C$120:$Q$120,3*(Unit_Cost!H$6-1)+3)*Unit_Cost!H$8/1000000,INDEX(Training!$C$120:$Q$120,3*(Unit_Cost!H$6-1)+3))</f>
        <v>827.976220640721</v>
      </c>
      <c r="I78" s="193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3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3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3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3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3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3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3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3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6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809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78" s="21" t="s">
        <v>3504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3520</v>
      </c>
      <c r="B79" s="30" t="s">
        <v>127</v>
      </c>
      <c r="C79" s="200" t="n">
        <f aca="false">INDEX(Training!$C$123:$Q$123,3*(Unit_Cost!C$6-1)+3)</f>
        <v>0.156848141308111</v>
      </c>
      <c r="D79" s="200" t="n">
        <f aca="false">INDEX(Training!$C$123:$Q$123,3*(Unit_Cost!D$6-1)+3)</f>
        <v>0.156848141308111</v>
      </c>
      <c r="E79" s="200" t="n">
        <f aca="false">INDEX(Training!$C$123:$Q$123,3*(Unit_Cost!E$6-1)+3)</f>
        <v>0.156848141308111</v>
      </c>
      <c r="F79" s="200" t="n">
        <f aca="false">INDEX(Training!$C$123:$Q$123,3*(Unit_Cost!F$6-1)+3)</f>
        <v>0.0578253233036203</v>
      </c>
      <c r="G79" s="200" t="n">
        <f aca="false">INDEX(Training!$C$123:$Q$123,3*(Unit_Cost!G$6-1)+3)</f>
        <v>0.0578253233036203</v>
      </c>
      <c r="H79" s="200" t="n">
        <f aca="false">INDEX(Training!$C$123:$Q$123,3*(Unit_Cost!H$6-1)+3)</f>
        <v>0.0578253233036203</v>
      </c>
      <c r="I79" s="200" t="n">
        <f aca="false">INDEX(Training!$C$123:$Q$123,3*(Unit_Cost!I$6-1)+3)</f>
        <v>0.0655864074968763</v>
      </c>
      <c r="J79" s="200" t="n">
        <f aca="false">INDEX(Training!$C$123:$Q$123,3*(Unit_Cost!J$6-1)+3)</f>
        <v>0.0655864074968763</v>
      </c>
      <c r="K79" s="200" t="n">
        <f aca="false">INDEX(Training!$C$123:$Q$123,3*(Unit_Cost!K$6-1)+3)</f>
        <v>0.0655864074968763</v>
      </c>
      <c r="L79" s="200" t="n">
        <f aca="false">INDEX(Training!$C$123:$Q$123,3*(Unit_Cost!L$6-1)+3)</f>
        <v>0.0400178434586299</v>
      </c>
      <c r="M79" s="200" t="n">
        <f aca="false">INDEX(Training!$C$123:$Q$123,3*(Unit_Cost!M$6-1)+3)</f>
        <v>0.0400178434586299</v>
      </c>
      <c r="N79" s="200" t="n">
        <f aca="false">INDEX(Training!$C$123:$Q$123,3*(Unit_Cost!N$6-1)+3)</f>
        <v>0.0400178434586299</v>
      </c>
      <c r="O79" s="200" t="n">
        <f aca="false">INDEX(Training!$C$123:$Q$123,3*(Unit_Cost!O$6-1)+3)</f>
        <v>0.0272504145323638</v>
      </c>
      <c r="P79" s="200" t="n">
        <f aca="false">INDEX(Training!$C$123:$Q$123,3*(Unit_Cost!P$6-1)+3)</f>
        <v>0.0272504145323638</v>
      </c>
      <c r="Q79" s="200" t="n">
        <f aca="false">INDEX(Training!$C$123:$Q$123,3*(Unit_Cost!Q$6-1)+3)</f>
        <v>0.0272504145323638</v>
      </c>
      <c r="R7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,Gov_Map!$AH$689,Gov_Map!$AH$691)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809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,Gov_Map!$AJ$689,Gov_Map!$AJ$691)</f>
        <v>20261005</v>
      </c>
      <c r="W79" s="21" t="s">
        <v>3506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3521</v>
      </c>
      <c r="B80" s="30" t="s">
        <v>132</v>
      </c>
      <c r="C80" s="201" t="n">
        <f aca="false">Train_In!$C$13</f>
        <v>8</v>
      </c>
      <c r="R80" s="186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809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3522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3523</v>
      </c>
      <c r="B81" s="44" t="s">
        <v>1162</v>
      </c>
      <c r="C81" s="33" t="n">
        <f aca="false">Train_In!$C$16</f>
        <v>4</v>
      </c>
      <c r="D81" s="202" t="str">
        <f aca="false">INDEX(Spec_Rack!$C$4:$G$4,C81)</f>
        <v>VR200 NVL72</v>
      </c>
      <c r="R81" s="186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809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3524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3525</v>
      </c>
      <c r="B82" s="44" t="s">
        <v>1162</v>
      </c>
      <c r="C82" s="33" t="n">
        <f aca="false">Train_In!$C$17</f>
        <v>3</v>
      </c>
      <c r="D82" s="202" t="str">
        <f aca="false">INDEX(Spec_Rack!$C$4:$G$4,C82)</f>
        <v>GB300 NVL72</v>
      </c>
      <c r="R82" s="186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809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3524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3526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302</v>
      </c>
    </row>
    <row r="86" customFormat="false" ht="15" hidden="false" customHeight="true" outlineLevel="0" collapsed="false">
      <c r="A86" s="44" t="s">
        <v>3527</v>
      </c>
      <c r="B86" s="30" t="s">
        <v>1040</v>
      </c>
      <c r="C86" s="46" t="n">
        <f aca="false">Price_Frontier!C41</f>
        <v>0.08</v>
      </c>
      <c r="R8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809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3528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3529</v>
      </c>
      <c r="B87" s="30" t="s">
        <v>1040</v>
      </c>
      <c r="C87" s="46" t="n">
        <f aca="false">Price_Frontier!C42</f>
        <v>0.008</v>
      </c>
      <c r="R8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809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3528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3530</v>
      </c>
      <c r="B88" s="30" t="s">
        <v>1040</v>
      </c>
      <c r="C88" s="46" t="n">
        <f aca="false">Price_Frontier!C43</f>
        <v>0.4</v>
      </c>
      <c r="R88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809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3528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3531</v>
      </c>
      <c r="B89" s="30" t="s">
        <v>1040</v>
      </c>
      <c r="C89" s="46" t="n">
        <f aca="false">Price_Frontier!C44</f>
        <v>0.4</v>
      </c>
      <c r="R89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809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3528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3532</v>
      </c>
      <c r="B90" s="30" t="s">
        <v>1040</v>
      </c>
      <c r="C90" s="55" t="n">
        <f aca="false">Price_Frontier!C45</f>
        <v>0.0803555555555556</v>
      </c>
      <c r="R90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809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3533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3534</v>
      </c>
      <c r="B91" s="30" t="s">
        <v>1040</v>
      </c>
      <c r="C91" s="46" t="n">
        <f aca="false">Price_Frontier!C46</f>
        <v>0.0803555555555556</v>
      </c>
      <c r="R91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809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3535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3536</v>
      </c>
      <c r="C92" s="186" t="str">
        <f aca="false">Price_Frontier!C26</f>
        <v>GPT-6 Luna</v>
      </c>
      <c r="R92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809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3537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3538</v>
      </c>
      <c r="B93" s="44" t="s">
        <v>1454</v>
      </c>
      <c r="C93" s="32" t="n">
        <f aca="false">INDEX(B4_Life,1,1)</f>
        <v>12</v>
      </c>
      <c r="R93" s="186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809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3524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3539</v>
      </c>
      <c r="B94" s="30" t="s">
        <v>1040</v>
      </c>
      <c r="C94" s="203" t="n">
        <f aca="false">Cache_Store!C17</f>
        <v>1.32943302891933E-005</v>
      </c>
      <c r="D94" s="203" t="n">
        <f aca="false">Cache_Store!D17</f>
        <v>1.32943302891933E-005</v>
      </c>
      <c r="E94" s="203" t="n">
        <f aca="false">Cache_Store!E17</f>
        <v>1.32943302891933E-005</v>
      </c>
      <c r="F94" s="203" t="n">
        <f aca="false">Cache_Store!F17</f>
        <v>1.32943302891933E-005</v>
      </c>
      <c r="G94" s="203" t="n">
        <f aca="false">Cache_Store!G17</f>
        <v>1.32943302891933E-005</v>
      </c>
      <c r="H94" s="203" t="n">
        <f aca="false">Cache_Store!H17</f>
        <v>1.32943302891933E-005</v>
      </c>
      <c r="I94" s="203" t="n">
        <f aca="false">Cache_Store!I17</f>
        <v>1.32943302891933E-005</v>
      </c>
      <c r="J94" s="203" t="n">
        <f aca="false">Cache_Store!J17</f>
        <v>1.32943302891933E-005</v>
      </c>
      <c r="K94" s="203" t="n">
        <f aca="false">Cache_Store!K17</f>
        <v>1.32943302891933E-005</v>
      </c>
      <c r="L94" s="203" t="n">
        <f aca="false">Cache_Store!L17</f>
        <v>1.32943302891933E-005</v>
      </c>
      <c r="M94" s="203" t="n">
        <f aca="false">Cache_Store!M17</f>
        <v>1.32943302891933E-005</v>
      </c>
      <c r="N94" s="203" t="n">
        <f aca="false">Cache_Store!N17</f>
        <v>1.32943302891933E-005</v>
      </c>
      <c r="O94" s="203" t="n">
        <f aca="false">Cache_Store!O17</f>
        <v>1.32943302891933E-005</v>
      </c>
      <c r="P94" s="203" t="n">
        <f aca="false">Cache_Store!P17</f>
        <v>1.32943302891933E-005</v>
      </c>
      <c r="Q94" s="203" t="n">
        <f aca="false">Cache_Store!Q17</f>
        <v>1.32943302891933E-005</v>
      </c>
      <c r="R94" s="186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,Gov_Map!$AG$687:$AG$688)&gt;0,"C",IF(SUM(Gov_Map!$AH$5:$AH$103,Gov_Map!$AH$114:$AH$118,Gov_Map!$AH$183,Gov_Map!$AH$222,Gov_Map!$AH$225,Gov_Map!$AH$228,Gov_Map!$AH$463,Gov_Map!$AH$465,Gov_Map!$AH$467,Gov_Map!$AH$469,Gov_Map!$AH$471,Gov_Map!$AH$473,Gov_Map!$AH$475,Gov_Map!$AH$574,Gov_Map!$AH$605:$AH$611,Gov_Map!$AH$687:$AH$688)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809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,Gov_Map!$AJ$687:$AJ$688)</f>
        <v>20261008</v>
      </c>
      <c r="W94" s="21" t="s">
        <v>3540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3541</v>
      </c>
      <c r="B95" s="30" t="s">
        <v>1040</v>
      </c>
      <c r="C95" s="203" t="n">
        <f aca="false">Amortize!C13</f>
        <v>0.0461948299236361</v>
      </c>
      <c r="D95" s="203" t="n">
        <f aca="false">Amortize!D13</f>
        <v>0.0660031717808905</v>
      </c>
      <c r="E95" s="203" t="n">
        <f aca="false">Amortize!E13</f>
        <v>0.113351722376516</v>
      </c>
      <c r="F95" s="203" t="n">
        <f aca="false">Amortize!F13</f>
        <v>0.00307089725293388</v>
      </c>
      <c r="G95" s="203" t="n">
        <f aca="false">Amortize!G13</f>
        <v>0.00410029381525669</v>
      </c>
      <c r="H95" s="203" t="n">
        <f aca="false">Amortize!H13</f>
        <v>0.0066503469504659</v>
      </c>
      <c r="I95" s="203" t="n">
        <f aca="false">Amortize!I13</f>
        <v>0.00342892011098242</v>
      </c>
      <c r="J95" s="203" t="n">
        <f aca="false">Amortize!J13</f>
        <v>0.00442864875784267</v>
      </c>
      <c r="K95" s="203" t="n">
        <f aca="false">Amortize!K13</f>
        <v>0.0075399904314325</v>
      </c>
      <c r="L95" s="203" t="n">
        <f aca="false">Amortize!L13</f>
        <v>0.00155811775340172</v>
      </c>
      <c r="M95" s="203" t="n">
        <f aca="false">Amortize!M13</f>
        <v>0.00200258298781343</v>
      </c>
      <c r="N95" s="203" t="n">
        <f aca="false">Amortize!N13</f>
        <v>0.00323523483004361</v>
      </c>
      <c r="O95" s="203" t="n">
        <f aca="false">Amortize!O13</f>
        <v>0.000773266108996229</v>
      </c>
      <c r="P95" s="203" t="n">
        <f aca="false">Amortize!P13</f>
        <v>0.00117525845852548</v>
      </c>
      <c r="Q95" s="203" t="n">
        <f aca="false">Amortize!Q13</f>
        <v>0.00214548306058959</v>
      </c>
      <c r="R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809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5" s="21" t="s">
        <v>3542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3543</v>
      </c>
      <c r="B96" s="30" t="s">
        <v>1040</v>
      </c>
      <c r="C96" s="195" t="n">
        <f aca="false">Amortize!C15</f>
        <v>0.145154099875442</v>
      </c>
      <c r="D96" s="195" t="n">
        <f aca="false">Amortize!D15</f>
        <v>0.207389489905081</v>
      </c>
      <c r="E96" s="195" t="n">
        <f aca="false">Amortize!E15</f>
        <v>0.356152851063333</v>
      </c>
      <c r="F96" s="195" t="n">
        <f aca="false">Amortize!F15</f>
        <v>0.0319533364121264</v>
      </c>
      <c r="G96" s="195" t="n">
        <f aca="false">Amortize!G15</f>
        <v>0.042659200399074</v>
      </c>
      <c r="H96" s="195" t="n">
        <f aca="false">Amortize!H15</f>
        <v>0.0691800991705213</v>
      </c>
      <c r="I96" s="195" t="n">
        <f aca="false">Amortize!I15</f>
        <v>0.0279875593969906</v>
      </c>
      <c r="J96" s="195" t="n">
        <f aca="false">Amortize!J15</f>
        <v>0.0361430077880249</v>
      </c>
      <c r="K96" s="195" t="n">
        <f aca="false">Amortize!K15</f>
        <v>0.0615242815221799</v>
      </c>
      <c r="L96" s="195" t="n">
        <f aca="false">Amortize!L15</f>
        <v>0.0219168376454209</v>
      </c>
      <c r="M96" s="195" t="n">
        <f aca="false">Amortize!M15</f>
        <v>0.0281643397910292</v>
      </c>
      <c r="N96" s="195" t="n">
        <f aca="false">Amortize!N15</f>
        <v>0.0454907681208266</v>
      </c>
      <c r="O96" s="195" t="n">
        <f aca="false">Amortize!O15</f>
        <v>0.0173198764182435</v>
      </c>
      <c r="P96" s="195" t="n">
        <f aca="false">Amortize!P15</f>
        <v>0.0263157336425082</v>
      </c>
      <c r="Q96" s="195" t="n">
        <f aca="false">Amortize!Q15</f>
        <v>0.0480275945917492</v>
      </c>
      <c r="R96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809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96" s="21" t="s">
        <v>3544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3545</v>
      </c>
      <c r="B97" s="30" t="s">
        <v>1040</v>
      </c>
      <c r="C97" s="195" t="n">
        <f aca="false">Theory_Rev!C18</f>
        <v>0.147064628142164</v>
      </c>
      <c r="D97" s="195" t="n">
        <f aca="false">Theory_Rev!D18</f>
        <v>0.210121291884421</v>
      </c>
      <c r="E97" s="195" t="n">
        <f aca="false">Theory_Rev!E18</f>
        <v>0.360847771420528</v>
      </c>
      <c r="F97" s="195" t="n">
        <f aca="false">Theory_Rev!F18</f>
        <v>0.0252757581494963</v>
      </c>
      <c r="G97" s="195" t="n">
        <f aca="false">Theory_Rev!G18</f>
        <v>0.0337448229061386</v>
      </c>
      <c r="H97" s="195" t="n">
        <f aca="false">Theory_Rev!H18</f>
        <v>0.0547246531537095</v>
      </c>
      <c r="I97" s="195" t="n">
        <f aca="false">Theory_Rev!I18</f>
        <v>0.0228779020648233</v>
      </c>
      <c r="J97" s="195" t="n">
        <f aca="false">Theory_Rev!J18</f>
        <v>0.0295449762037583</v>
      </c>
      <c r="K97" s="195" t="n">
        <f aca="false">Theory_Rev!K18</f>
        <v>0.0502941521671846</v>
      </c>
      <c r="L97" s="195" t="n">
        <f aca="false">Theory_Rev!L18</f>
        <v>0.0167884625578468</v>
      </c>
      <c r="M97" s="195" t="n">
        <f aca="false">Theory_Rev!M18</f>
        <v>0.0215744123341219</v>
      </c>
      <c r="N97" s="195" t="n">
        <f aca="false">Theory_Rev!N18</f>
        <v>0.0348474635241773</v>
      </c>
      <c r="O97" s="195" t="n">
        <f aca="false">Theory_Rev!O18</f>
        <v>0.0128091124335383</v>
      </c>
      <c r="P97" s="195" t="n">
        <f aca="false">Theory_Rev!P18</f>
        <v>0.0194624631931499</v>
      </c>
      <c r="Q97" s="195" t="n">
        <f aca="false">Theory_Rev!Q18</f>
        <v>0.0355205911667204</v>
      </c>
      <c r="R9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3487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7" s="21" t="s">
        <v>3546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3547</v>
      </c>
      <c r="B98" s="30" t="s">
        <v>1040</v>
      </c>
      <c r="C98" s="204" t="n">
        <f aca="false">Amortize!C43</f>
        <v>0.111643809823497</v>
      </c>
      <c r="D98" s="204" t="n">
        <f aca="false">Amortize!D43</f>
        <v>0.159512054091793</v>
      </c>
      <c r="E98" s="204" t="n">
        <f aca="false">Amortize!E43</f>
        <v>0.273933140015809</v>
      </c>
      <c r="F98" s="204" t="n">
        <f aca="false">Amortize!F43</f>
        <v>0.0204339215912253</v>
      </c>
      <c r="G98" s="204" t="n">
        <f aca="false">Amortize!G43</f>
        <v>0.027280612608476</v>
      </c>
      <c r="H98" s="204" t="n">
        <f aca="false">Amortize!H43</f>
        <v>0.0442414482411035</v>
      </c>
      <c r="I98" s="204" t="n">
        <f aca="false">Amortize!I43</f>
        <v>0.020050088283311</v>
      </c>
      <c r="J98" s="204" t="n">
        <f aca="false">Amortize!J43</f>
        <v>0.0258930448820136</v>
      </c>
      <c r="K98" s="204" t="n">
        <f aca="false">Amortize!K43</f>
        <v>0.0440774136300878</v>
      </c>
      <c r="L98" s="204" t="n">
        <f aca="false">Amortize!L43</f>
        <v>0.0148626841575213</v>
      </c>
      <c r="M98" s="204" t="n">
        <f aca="false">Amortize!M43</f>
        <v>0.0190995701031786</v>
      </c>
      <c r="N98" s="204" t="n">
        <f aca="false">Amortize!N43</f>
        <v>0.0308498823028407</v>
      </c>
      <c r="O98" s="204" t="n">
        <f aca="false">Amortize!O43</f>
        <v>0.0108849945073861</v>
      </c>
      <c r="P98" s="204" t="n">
        <f aca="false">Amortize!P43</f>
        <v>0.0165388591664826</v>
      </c>
      <c r="Q98" s="204" t="n">
        <f aca="false">Amortize!Q43</f>
        <v>0.0301846874898821</v>
      </c>
      <c r="R9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809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8" s="21" t="s">
        <v>3546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3548</v>
      </c>
      <c r="B99" s="30" t="s">
        <v>1040</v>
      </c>
      <c r="C99" s="203" t="n">
        <f aca="false">Amortize!C44</f>
        <v>0.0481837579884481</v>
      </c>
      <c r="D99" s="203" t="n">
        <f aca="false">Amortize!D44</f>
        <v>0.0688429588953491</v>
      </c>
      <c r="E99" s="203" t="n">
        <f aca="false">Amortize!E44</f>
        <v>0.118225346702199</v>
      </c>
      <c r="F99" s="203" t="n">
        <f aca="false">Amortize!F44</f>
        <v>0.0107558717803451</v>
      </c>
      <c r="G99" s="203" t="n">
        <f aca="false">Amortize!G44</f>
        <v>0.0143597874737876</v>
      </c>
      <c r="H99" s="203" t="n">
        <f aca="false">Amortize!H44</f>
        <v>0.0232875193600833</v>
      </c>
      <c r="I99" s="203" t="n">
        <f aca="false">Amortize!I44</f>
        <v>0.00997284870203028</v>
      </c>
      <c r="J99" s="203" t="n">
        <f aca="false">Amortize!J44</f>
        <v>0.0128791163108314</v>
      </c>
      <c r="K99" s="203" t="n">
        <f aca="false">Amortize!K44</f>
        <v>0.021923962184025</v>
      </c>
      <c r="L99" s="203" t="n">
        <f aca="false">Amortize!L44</f>
        <v>0.00685107279468222</v>
      </c>
      <c r="M99" s="203" t="n">
        <f aca="false">Amortize!M44</f>
        <v>0.00880409916117299</v>
      </c>
      <c r="N99" s="203" t="n">
        <f aca="false">Amortize!N44</f>
        <v>0.014220499280218</v>
      </c>
      <c r="O99" s="203" t="n">
        <f aca="false">Amortize!O44</f>
        <v>0.00524853491548195</v>
      </c>
      <c r="P99" s="203" t="n">
        <f aca="false">Amortize!P44</f>
        <v>0.00797471966923092</v>
      </c>
      <c r="Q99" s="203" t="n">
        <f aca="false">Amortize!Q44</f>
        <v>0.014554475530149</v>
      </c>
      <c r="R9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809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99" s="21" t="s">
        <v>3549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3550</v>
      </c>
      <c r="B100" s="30" t="s">
        <v>1040</v>
      </c>
      <c r="C100" s="205" t="n">
        <f aca="false">Theory_Rev!C20</f>
        <v>0.212513608042025</v>
      </c>
      <c r="D100" s="205" t="n">
        <f aca="false">Theory_Rev!D20</f>
        <v>0.303630174195324</v>
      </c>
      <c r="E100" s="205" t="n">
        <f aca="false">Theory_Rev!E20</f>
        <v>0.52142918905982</v>
      </c>
      <c r="F100" s="205" t="n">
        <f aca="false">Theory_Rev!F20</f>
        <v>0.0426387824877877</v>
      </c>
      <c r="G100" s="205" t="n">
        <f aca="false">Theory_Rev!G20</f>
        <v>0.0569251416993579</v>
      </c>
      <c r="H100" s="205" t="n">
        <f aca="false">Theory_Rev!H20</f>
        <v>0.0923157544443471</v>
      </c>
      <c r="I100" s="205" t="n">
        <f aca="false">Theory_Rev!I20</f>
        <v>0.0394990702371519</v>
      </c>
      <c r="J100" s="205" t="n">
        <f aca="false">Theory_Rev!J20</f>
        <v>0.0510093723279292</v>
      </c>
      <c r="K100" s="205" t="n">
        <f aca="false">Theory_Rev!K20</f>
        <v>0.0868315753658399</v>
      </c>
      <c r="L100" s="205" t="n">
        <f aca="false">Theory_Rev!L20</f>
        <v>0.0300930289619664</v>
      </c>
      <c r="M100" s="205" t="n">
        <f aca="false">Theory_Rev!M20</f>
        <v>0.038671399449487</v>
      </c>
      <c r="N100" s="205" t="n">
        <f aca="false">Theory_Rev!N20</f>
        <v>0.0624621109969744</v>
      </c>
      <c r="O100" s="205" t="n">
        <f aca="false">Theory_Rev!O20</f>
        <v>0.0229208408319282</v>
      </c>
      <c r="P100" s="205" t="n">
        <f aca="false">Theory_Rev!P20</f>
        <v>0.034826063901107</v>
      </c>
      <c r="Q100" s="205" t="n">
        <f aca="false">Theory_Rev!Q20</f>
        <v>0.0635597955960129</v>
      </c>
      <c r="R100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3487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00" s="21" t="s">
        <v>3546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3551</v>
      </c>
      <c r="B101" s="30" t="s">
        <v>2255</v>
      </c>
      <c r="C101" s="206" t="n">
        <f aca="false">Theory_Rev!C11</f>
        <v>5.41089756914487</v>
      </c>
      <c r="D101" s="206" t="n">
        <f aca="false">Theory_Rev!D11</f>
        <v>5.41089756914487</v>
      </c>
      <c r="E101" s="206" t="n">
        <f aca="false">Theory_Rev!E11</f>
        <v>5.41089756914487</v>
      </c>
      <c r="F101" s="206" t="n">
        <f aca="false">Theory_Rev!F11</f>
        <v>23.9489675192609</v>
      </c>
      <c r="G101" s="206" t="n">
        <f aca="false">Theory_Rev!G11</f>
        <v>23.9489675192609</v>
      </c>
      <c r="H101" s="206" t="n">
        <f aca="false">Theory_Rev!H11</f>
        <v>23.9489675192609</v>
      </c>
      <c r="I101" s="206" t="n">
        <f aca="false">Theory_Rev!I11</f>
        <v>34.8667275721655</v>
      </c>
      <c r="J101" s="206" t="n">
        <f aca="false">Theory_Rev!J11</f>
        <v>34.8667275721655</v>
      </c>
      <c r="K101" s="206" t="n">
        <f aca="false">Theory_Rev!K11</f>
        <v>34.8667275721655</v>
      </c>
      <c r="L101" s="206" t="n">
        <f aca="false">Theory_Rev!L11</f>
        <v>50.299413649228</v>
      </c>
      <c r="M101" s="206" t="n">
        <f aca="false">Theory_Rev!M11</f>
        <v>50.299413649228</v>
      </c>
      <c r="N101" s="206" t="n">
        <f aca="false">Theory_Rev!N11</f>
        <v>50.299413649228</v>
      </c>
      <c r="O101" s="206" t="n">
        <f aca="false">Theory_Rev!O11</f>
        <v>67.7198685975468</v>
      </c>
      <c r="P101" s="206" t="n">
        <f aca="false">Theory_Rev!P11</f>
        <v>67.7198685975468</v>
      </c>
      <c r="Q101" s="206" t="n">
        <f aca="false">Theory_Rev!Q11</f>
        <v>67.7198685975468</v>
      </c>
      <c r="R10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3487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3552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3553</v>
      </c>
      <c r="B102" s="30" t="s">
        <v>2255</v>
      </c>
      <c r="C102" s="197" t="n">
        <f aca="false">Theory_Rev!C12</f>
        <v>5.41089756914487</v>
      </c>
      <c r="D102" s="197" t="n">
        <f aca="false">Theory_Rev!D12</f>
        <v>5.41089756914487</v>
      </c>
      <c r="E102" s="197" t="n">
        <f aca="false">Theory_Rev!E12</f>
        <v>5.41089756914487</v>
      </c>
      <c r="F102" s="197" t="n">
        <f aca="false">Theory_Rev!F12</f>
        <v>23.9489675192609</v>
      </c>
      <c r="G102" s="197" t="n">
        <f aca="false">Theory_Rev!G12</f>
        <v>23.9489675192609</v>
      </c>
      <c r="H102" s="197" t="n">
        <f aca="false">Theory_Rev!H12</f>
        <v>23.9489675192609</v>
      </c>
      <c r="I102" s="197" t="n">
        <f aca="false">Theory_Rev!I12</f>
        <v>34.8667275721655</v>
      </c>
      <c r="J102" s="197" t="n">
        <f aca="false">Theory_Rev!J12</f>
        <v>34.8667275721655</v>
      </c>
      <c r="K102" s="197" t="n">
        <f aca="false">Theory_Rev!K12</f>
        <v>34.8667275721655</v>
      </c>
      <c r="L102" s="197" t="n">
        <f aca="false">Theory_Rev!L12</f>
        <v>50.299413649228</v>
      </c>
      <c r="M102" s="197" t="n">
        <f aca="false">Theory_Rev!M12</f>
        <v>50.299413649228</v>
      </c>
      <c r="N102" s="197" t="n">
        <f aca="false">Theory_Rev!N12</f>
        <v>50.299413649228</v>
      </c>
      <c r="O102" s="197" t="n">
        <f aca="false">Theory_Rev!O12</f>
        <v>67.7198685975468</v>
      </c>
      <c r="P102" s="197" t="n">
        <f aca="false">Theory_Rev!P12</f>
        <v>67.7198685975468</v>
      </c>
      <c r="Q102" s="197" t="n">
        <f aca="false">Theory_Rev!Q12</f>
        <v>67.7198685975468</v>
      </c>
      <c r="R10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3487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3554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303</v>
      </c>
      <c r="B103" s="207"/>
      <c r="C103" s="46"/>
    </row>
    <row r="104" customFormat="false" ht="15" hidden="false" customHeight="true" outlineLevel="0" collapsed="false">
      <c r="A104" s="44" t="s">
        <v>3555</v>
      </c>
      <c r="B104" s="30" t="s">
        <v>1040</v>
      </c>
      <c r="C104" s="46" t="n">
        <f aca="false">Price_Frontier!D41</f>
        <v>1.6</v>
      </c>
      <c r="R10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809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3528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3556</v>
      </c>
      <c r="B105" s="30" t="s">
        <v>1040</v>
      </c>
      <c r="C105" s="46" t="n">
        <f aca="false">Price_Frontier!D42</f>
        <v>0.16</v>
      </c>
      <c r="R10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809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3528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3557</v>
      </c>
      <c r="B106" s="30" t="s">
        <v>1040</v>
      </c>
      <c r="C106" s="46" t="n">
        <f aca="false">Price_Frontier!D43</f>
        <v>8</v>
      </c>
      <c r="R106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809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3528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3558</v>
      </c>
      <c r="B107" s="30" t="s">
        <v>1040</v>
      </c>
      <c r="C107" s="46" t="n">
        <f aca="false">Price_Frontier!D44</f>
        <v>8</v>
      </c>
      <c r="R107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809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3528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3559</v>
      </c>
      <c r="B108" s="30" t="s">
        <v>1040</v>
      </c>
      <c r="C108" s="55" t="n">
        <f aca="false">Price_Frontier!D45</f>
        <v>1.60711111111111</v>
      </c>
      <c r="R108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809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3533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3560</v>
      </c>
      <c r="B109" s="30" t="s">
        <v>1040</v>
      </c>
      <c r="C109" s="46" t="n">
        <f aca="false">Price_Frontier!D46</f>
        <v>1.60711111111111</v>
      </c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203"/>
      <c r="R109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809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3535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3561</v>
      </c>
      <c r="B110" s="207"/>
      <c r="C110" s="203" t="str">
        <f aca="false">Price_Frontier!D26</f>
        <v>GPT-6 Sol</v>
      </c>
      <c r="D110" s="203"/>
      <c r="E110" s="203"/>
      <c r="F110" s="203"/>
      <c r="G110" s="203"/>
      <c r="H110" s="203"/>
      <c r="I110" s="203"/>
      <c r="J110" s="203"/>
      <c r="K110" s="203"/>
      <c r="L110" s="203"/>
      <c r="M110" s="203"/>
      <c r="N110" s="203"/>
      <c r="O110" s="203"/>
      <c r="P110" s="203"/>
      <c r="Q110" s="203"/>
      <c r="R110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809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3537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3562</v>
      </c>
      <c r="B111" s="44" t="s">
        <v>1454</v>
      </c>
      <c r="C111" s="32" t="n">
        <f aca="false">INDEX(B4_Life,1,2)</f>
        <v>12</v>
      </c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86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809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3524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3563</v>
      </c>
      <c r="B112" s="30" t="s">
        <v>1040</v>
      </c>
      <c r="C112" s="203" t="n">
        <f aca="false">Cache_Store!C23</f>
        <v>1.8859398782344E-005</v>
      </c>
      <c r="D112" s="203" t="n">
        <f aca="false">Cache_Store!D23</f>
        <v>1.8859398782344E-005</v>
      </c>
      <c r="E112" s="203" t="n">
        <f aca="false">Cache_Store!E23</f>
        <v>1.8859398782344E-005</v>
      </c>
      <c r="F112" s="203" t="n">
        <f aca="false">Cache_Store!F23</f>
        <v>1.8859398782344E-005</v>
      </c>
      <c r="G112" s="203" t="n">
        <f aca="false">Cache_Store!G23</f>
        <v>1.8859398782344E-005</v>
      </c>
      <c r="H112" s="203" t="n">
        <f aca="false">Cache_Store!H23</f>
        <v>1.8859398782344E-005</v>
      </c>
      <c r="I112" s="203" t="n">
        <f aca="false">Cache_Store!I23</f>
        <v>1.8859398782344E-005</v>
      </c>
      <c r="J112" s="203" t="n">
        <f aca="false">Cache_Store!J23</f>
        <v>1.8859398782344E-005</v>
      </c>
      <c r="K112" s="203" t="n">
        <f aca="false">Cache_Store!K23</f>
        <v>1.8859398782344E-005</v>
      </c>
      <c r="L112" s="203" t="n">
        <f aca="false">Cache_Store!L23</f>
        <v>1.8859398782344E-005</v>
      </c>
      <c r="M112" s="203" t="n">
        <f aca="false">Cache_Store!M23</f>
        <v>1.8859398782344E-005</v>
      </c>
      <c r="N112" s="203" t="n">
        <f aca="false">Cache_Store!N23</f>
        <v>1.8859398782344E-005</v>
      </c>
      <c r="O112" s="203" t="n">
        <f aca="false">Cache_Store!O23</f>
        <v>1.8859398782344E-005</v>
      </c>
      <c r="P112" s="203" t="n">
        <f aca="false">Cache_Store!P23</f>
        <v>1.8859398782344E-005</v>
      </c>
      <c r="Q112" s="203" t="n">
        <f aca="false">Cache_Store!Q23</f>
        <v>1.8859398782344E-005</v>
      </c>
      <c r="R112" s="186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,Gov_Map!$AG$687:$AG$688)&gt;0,"C",IF(SUM(Gov_Map!$AH$5:$AH$103,Gov_Map!$AH$114:$AH$118,Gov_Map!$AH$184,Gov_Map!$AH$223,Gov_Map!$AH$226,Gov_Map!$AH$229,Gov_Map!$AH$463,Gov_Map!$AH$465,Gov_Map!$AH$467,Gov_Map!$AH$469,Gov_Map!$AH$471,Gov_Map!$AH$473,Gov_Map!$AH$475,Gov_Map!$AH$574,Gov_Map!$AH$605:$AH$611,Gov_Map!$AH$687:$AH$688)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809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,Gov_Map!$AJ$687:$AJ$688)</f>
        <v>20261008</v>
      </c>
      <c r="W112" s="21" t="s">
        <v>3540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3564</v>
      </c>
      <c r="B113" s="30" t="s">
        <v>1040</v>
      </c>
      <c r="C113" s="203" t="n">
        <f aca="false">Amortize!C22</f>
        <v>0.114040439741435</v>
      </c>
      <c r="D113" s="203" t="n">
        <f aca="false">Amortize!D22</f>
        <v>0.162940977305579</v>
      </c>
      <c r="E113" s="203" t="n">
        <f aca="false">Amortize!E22</f>
        <v>0.279829588866025</v>
      </c>
      <c r="F113" s="203" t="n">
        <f aca="false">Amortize!F22</f>
        <v>0.00876653267880038</v>
      </c>
      <c r="G113" s="203" t="n">
        <f aca="false">Amortize!G22</f>
        <v>0.0117051652215942</v>
      </c>
      <c r="H113" s="203" t="n">
        <f aca="false">Amortize!H22</f>
        <v>0.0189848370247231</v>
      </c>
      <c r="I113" s="203" t="n">
        <f aca="false">Amortize!I22</f>
        <v>0.00936389932228216</v>
      </c>
      <c r="J113" s="203" t="n">
        <f aca="false">Amortize!J22</f>
        <v>0.0120940178715063</v>
      </c>
      <c r="K113" s="203" t="n">
        <f aca="false">Amortize!K22</f>
        <v>0.0205906550767309</v>
      </c>
      <c r="L113" s="203" t="n">
        <f aca="false">Amortize!L22</f>
        <v>0.00403441053211496</v>
      </c>
      <c r="M113" s="203" t="n">
        <f aca="false">Amortize!M22</f>
        <v>0.00518525758392133</v>
      </c>
      <c r="N113" s="203" t="n">
        <f aca="false">Amortize!N22</f>
        <v>0.00837694419673806</v>
      </c>
      <c r="O113" s="203" t="n">
        <f aca="false">Amortize!O22</f>
        <v>0.00207075943620614</v>
      </c>
      <c r="P113" s="203" t="n">
        <f aca="false">Amortize!P22</f>
        <v>0.00314727040880126</v>
      </c>
      <c r="Q113" s="203" t="n">
        <f aca="false">Amortize!Q22</f>
        <v>0.00574547266619956</v>
      </c>
      <c r="R113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809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3" s="21" t="s">
        <v>3542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3565</v>
      </c>
      <c r="B114" s="30" t="s">
        <v>1040</v>
      </c>
      <c r="C114" s="195" t="n">
        <f aca="false">Amortize!C24</f>
        <v>0.484280958435838</v>
      </c>
      <c r="D114" s="195" t="n">
        <f aca="false">Amortize!D24</f>
        <v>0.691931138474116</v>
      </c>
      <c r="E114" s="195" t="n">
        <f aca="false">Amortize!E24</f>
        <v>1.1882843984585</v>
      </c>
      <c r="F114" s="195" t="n">
        <f aca="false">Amortize!F24</f>
        <v>0.108769658750671</v>
      </c>
      <c r="G114" s="195" t="n">
        <f aca="false">Amortize!G24</f>
        <v>0.145222962184988</v>
      </c>
      <c r="H114" s="195" t="n">
        <f aca="false">Amortize!H24</f>
        <v>0.235526217620051</v>
      </c>
      <c r="I114" s="195" t="n">
        <f aca="false">Amortize!I24</f>
        <v>0.0952543394798669</v>
      </c>
      <c r="J114" s="195" t="n">
        <f aca="false">Amortize!J24</f>
        <v>0.123020044560673</v>
      </c>
      <c r="K114" s="195" t="n">
        <f aca="false">Amortize!K24</f>
        <v>0.209432088054504</v>
      </c>
      <c r="L114" s="195" t="n">
        <f aca="false">Amortize!L24</f>
        <v>0.0715892949664193</v>
      </c>
      <c r="M114" s="195" t="n">
        <f aca="false">Amortize!M24</f>
        <v>0.0920043913706423</v>
      </c>
      <c r="N114" s="195" t="n">
        <f aca="false">Amortize!N24</f>
        <v>0.148622331861039</v>
      </c>
      <c r="O114" s="195" t="n">
        <f aca="false">Amortize!O24</f>
        <v>0.0558784425295617</v>
      </c>
      <c r="P114" s="195" t="n">
        <f aca="false">Amortize!P24</f>
        <v>0.0849160748970673</v>
      </c>
      <c r="Q114" s="195" t="n">
        <f aca="false">Amortize!Q24</f>
        <v>0.154999561166491</v>
      </c>
      <c r="R114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809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14" s="21" t="s">
        <v>3544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3566</v>
      </c>
      <c r="B115" s="30" t="s">
        <v>1040</v>
      </c>
      <c r="C115" s="195" t="n">
        <f aca="false">Theory_Rev!C36</f>
        <v>0.450574665095153</v>
      </c>
      <c r="D115" s="195" t="n">
        <f aca="false">Theory_Rev!D36</f>
        <v>0.643774480313015</v>
      </c>
      <c r="E115" s="195" t="n">
        <f aca="false">Theory_Rev!E36</f>
        <v>1.10558654372701</v>
      </c>
      <c r="F115" s="195" t="n">
        <f aca="false">Theory_Rev!F36</f>
        <v>0.0843522277428262</v>
      </c>
      <c r="G115" s="195" t="n">
        <f aca="false">Theory_Rev!G36</f>
        <v>0.112622816909467</v>
      </c>
      <c r="H115" s="195" t="n">
        <f aca="false">Theory_Rev!H36</f>
        <v>0.182655598421708</v>
      </c>
      <c r="I115" s="195" t="n">
        <f aca="false">Theory_Rev!I36</f>
        <v>0.0755575928591388</v>
      </c>
      <c r="J115" s="195" t="n">
        <f aca="false">Theory_Rev!J36</f>
        <v>0.0975825234136689</v>
      </c>
      <c r="K115" s="195" t="n">
        <f aca="false">Theory_Rev!K36</f>
        <v>0.166128207792573</v>
      </c>
      <c r="L115" s="195" t="n">
        <f aca="false">Theory_Rev!L36</f>
        <v>0.0537829036443724</v>
      </c>
      <c r="M115" s="195" t="n">
        <f aca="false">Theory_Rev!M36</f>
        <v>0.0691205126041982</v>
      </c>
      <c r="N115" s="195" t="n">
        <f aca="false">Theory_Rev!N36</f>
        <v>0.11165686972729</v>
      </c>
      <c r="O115" s="195" t="n">
        <f aca="false">Theory_Rev!O36</f>
        <v>0.0409015415330202</v>
      </c>
      <c r="P115" s="195" t="n">
        <f aca="false">Theory_Rev!P36</f>
        <v>0.0621567461847294</v>
      </c>
      <c r="Q115" s="195" t="n">
        <f aca="false">Theory_Rev!Q36</f>
        <v>0.11345703212088</v>
      </c>
      <c r="R11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3487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5" s="21" t="s">
        <v>3546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3567</v>
      </c>
      <c r="B116" s="30" t="s">
        <v>1040</v>
      </c>
      <c r="C116" s="204" t="n">
        <f aca="false">Amortize!C45</f>
        <v>0.275613292390679</v>
      </c>
      <c r="D116" s="204" t="n">
        <f aca="false">Amortize!D45</f>
        <v>0.393784863430792</v>
      </c>
      <c r="E116" s="204" t="n">
        <f aca="false">Amortize!E45</f>
        <v>0.676254373028246</v>
      </c>
      <c r="F116" s="204" t="n">
        <f aca="false">Amortize!F45</f>
        <v>0.0583329973721456</v>
      </c>
      <c r="G116" s="204" t="n">
        <f aca="false">Amortize!G45</f>
        <v>0.0778783405082709</v>
      </c>
      <c r="H116" s="204" t="n">
        <f aca="false">Amortize!H45</f>
        <v>0.126296671564817</v>
      </c>
      <c r="I116" s="204" t="n">
        <f aca="false">Amortize!I45</f>
        <v>0.0547539755990414</v>
      </c>
      <c r="J116" s="204" t="n">
        <f aca="false">Amortize!J45</f>
        <v>0.0707102695819418</v>
      </c>
      <c r="K116" s="204" t="n">
        <f aca="false">Amortize!K45</f>
        <v>0.120369227121036</v>
      </c>
      <c r="L116" s="204" t="n">
        <f aca="false">Amortize!L45</f>
        <v>0.0384837213809363</v>
      </c>
      <c r="M116" s="204" t="n">
        <f aca="false">Amortize!M45</f>
        <v>0.0494542255326352</v>
      </c>
      <c r="N116" s="204" t="n">
        <f aca="false">Amortize!N45</f>
        <v>0.0798791296776901</v>
      </c>
      <c r="O116" s="204" t="n">
        <f aca="false">Amortize!O45</f>
        <v>0.0291493508211308</v>
      </c>
      <c r="P116" s="204" t="n">
        <f aca="false">Amortize!P45</f>
        <v>0.0442900552405372</v>
      </c>
      <c r="Q116" s="204" t="n">
        <f aca="false">Amortize!Q45</f>
        <v>0.0808327504870792</v>
      </c>
      <c r="R11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809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6" s="21" t="s">
        <v>3546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3568</v>
      </c>
      <c r="B117" s="30" t="s">
        <v>1040</v>
      </c>
      <c r="C117" s="203" t="n">
        <f aca="false">Amortize!C46</f>
        <v>0.963675159768962</v>
      </c>
      <c r="D117" s="203" t="n">
        <f aca="false">Amortize!D46</f>
        <v>1.37685917790698</v>
      </c>
      <c r="E117" s="203" t="n">
        <f aca="false">Amortize!E46</f>
        <v>2.36450693404399</v>
      </c>
      <c r="F117" s="203" t="n">
        <f aca="false">Amortize!F46</f>
        <v>0.215117435606902</v>
      </c>
      <c r="G117" s="203" t="n">
        <f aca="false">Amortize!G46</f>
        <v>0.287195749475751</v>
      </c>
      <c r="H117" s="203" t="n">
        <f aca="false">Amortize!H46</f>
        <v>0.465750387201666</v>
      </c>
      <c r="I117" s="203" t="n">
        <f aca="false">Amortize!I46</f>
        <v>0.199456974040606</v>
      </c>
      <c r="J117" s="203" t="n">
        <f aca="false">Amortize!J46</f>
        <v>0.257582326216629</v>
      </c>
      <c r="K117" s="203" t="n">
        <f aca="false">Amortize!K46</f>
        <v>0.438479243680499</v>
      </c>
      <c r="L117" s="203" t="n">
        <f aca="false">Amortize!L46</f>
        <v>0.137021455893644</v>
      </c>
      <c r="M117" s="203" t="n">
        <f aca="false">Amortize!M46</f>
        <v>0.17608198322346</v>
      </c>
      <c r="N117" s="203" t="n">
        <f aca="false">Amortize!N46</f>
        <v>0.284409985604361</v>
      </c>
      <c r="O117" s="203" t="n">
        <f aca="false">Amortize!O46</f>
        <v>0.104970698309639</v>
      </c>
      <c r="P117" s="203" t="n">
        <f aca="false">Amortize!P46</f>
        <v>0.159494393384618</v>
      </c>
      <c r="Q117" s="203" t="n">
        <f aca="false">Amortize!Q46</f>
        <v>0.29108951060298</v>
      </c>
      <c r="R117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809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7" s="21" t="s">
        <v>3549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3569</v>
      </c>
      <c r="B118" s="30" t="s">
        <v>1040</v>
      </c>
      <c r="C118" s="205" t="n">
        <f aca="false">Theory_Rev!C38</f>
        <v>0.612147517744397</v>
      </c>
      <c r="D118" s="205" t="n">
        <f aca="false">Theory_Rev!D38</f>
        <v>0.874618366438229</v>
      </c>
      <c r="E118" s="205" t="n">
        <f aca="false">Theory_Rev!E38</f>
        <v>1.50201132788924</v>
      </c>
      <c r="F118" s="205" t="n">
        <f aca="false">Theory_Rev!F38</f>
        <v>0.133918692436171</v>
      </c>
      <c r="G118" s="205" t="n">
        <f aca="false">Theory_Rev!G38</f>
        <v>0.178795992196144</v>
      </c>
      <c r="H118" s="205" t="n">
        <f aca="false">Theory_Rev!H38</f>
        <v>0.289967432961802</v>
      </c>
      <c r="I118" s="205" t="n">
        <f aca="false">Theory_Rev!I38</f>
        <v>0.120947669135898</v>
      </c>
      <c r="J118" s="205" t="n">
        <f aca="false">Theory_Rev!J38</f>
        <v>0.156198775124104</v>
      </c>
      <c r="K118" s="205" t="n">
        <f aca="false">Theory_Rev!K38</f>
        <v>0.265906779836878</v>
      </c>
      <c r="L118" s="205" t="n">
        <f aca="false">Theory_Rev!L38</f>
        <v>0.0882322144931937</v>
      </c>
      <c r="M118" s="205" t="n">
        <f aca="false">Theory_Rev!M38</f>
        <v>0.113389480552912</v>
      </c>
      <c r="N118" s="205" t="n">
        <f aca="false">Theory_Rev!N38</f>
        <v>0.183159055208242</v>
      </c>
      <c r="O118" s="205" t="n">
        <f aca="false">Theory_Rev!O38</f>
        <v>0.0679801329179448</v>
      </c>
      <c r="P118" s="205" t="n">
        <f aca="false">Theory_Rev!P38</f>
        <v>0.103299531016465</v>
      </c>
      <c r="Q118" s="205" t="n">
        <f aca="false">Theory_Rev!Q38</f>
        <v>0.18854430994176</v>
      </c>
      <c r="R118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3487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18" s="21" t="s">
        <v>3546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3570</v>
      </c>
      <c r="B119" s="30" t="s">
        <v>2255</v>
      </c>
      <c r="C119" s="206" t="n">
        <f aca="false">Theory_Rev!C29</f>
        <v>32.4330286484338</v>
      </c>
      <c r="D119" s="206" t="n">
        <f aca="false">Theory_Rev!D29</f>
        <v>32.4330286484338</v>
      </c>
      <c r="E119" s="206" t="n">
        <f aca="false">Theory_Rev!E29</f>
        <v>32.4330286484338</v>
      </c>
      <c r="F119" s="206" t="n">
        <f aca="false">Theory_Rev!F29</f>
        <v>140.634851586483</v>
      </c>
      <c r="G119" s="206" t="n">
        <f aca="false">Theory_Rev!G29</f>
        <v>140.634851586483</v>
      </c>
      <c r="H119" s="206" t="n">
        <f aca="false">Theory_Rev!H29</f>
        <v>140.634851586483</v>
      </c>
      <c r="I119" s="206" t="n">
        <f aca="false">Theory_Rev!I29</f>
        <v>204.746908336412</v>
      </c>
      <c r="J119" s="206" t="n">
        <f aca="false">Theory_Rev!J29</f>
        <v>204.746908336412</v>
      </c>
      <c r="K119" s="206" t="n">
        <f aca="false">Theory_Rev!K29</f>
        <v>204.746908336412</v>
      </c>
      <c r="L119" s="206" t="n">
        <f aca="false">Theory_Rev!L29</f>
        <v>307.586504136986</v>
      </c>
      <c r="M119" s="206" t="n">
        <f aca="false">Theory_Rev!M29</f>
        <v>307.586504136986</v>
      </c>
      <c r="N119" s="206" t="n">
        <f aca="false">Theory_Rev!N29</f>
        <v>307.586504136986</v>
      </c>
      <c r="O119" s="206" t="n">
        <f aca="false">Theory_Rev!O29</f>
        <v>418.858593711675</v>
      </c>
      <c r="P119" s="206" t="n">
        <f aca="false">Theory_Rev!P29</f>
        <v>418.858593711675</v>
      </c>
      <c r="Q119" s="206" t="n">
        <f aca="false">Theory_Rev!Q29</f>
        <v>418.858593711675</v>
      </c>
      <c r="R11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3487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3552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3571</v>
      </c>
      <c r="B120" s="30" t="s">
        <v>2255</v>
      </c>
      <c r="C120" s="197" t="n">
        <f aca="false">Theory_Rev!C30</f>
        <v>32.4330286484338</v>
      </c>
      <c r="D120" s="197" t="n">
        <f aca="false">Theory_Rev!D30</f>
        <v>32.4330286484338</v>
      </c>
      <c r="E120" s="197" t="n">
        <f aca="false">Theory_Rev!E30</f>
        <v>32.4330286484338</v>
      </c>
      <c r="F120" s="197" t="n">
        <f aca="false">Theory_Rev!F30</f>
        <v>140.634851586483</v>
      </c>
      <c r="G120" s="197" t="n">
        <f aca="false">Theory_Rev!G30</f>
        <v>140.634851586483</v>
      </c>
      <c r="H120" s="197" t="n">
        <f aca="false">Theory_Rev!H30</f>
        <v>140.634851586483</v>
      </c>
      <c r="I120" s="197" t="n">
        <f aca="false">Theory_Rev!I30</f>
        <v>204.746908336412</v>
      </c>
      <c r="J120" s="197" t="n">
        <f aca="false">Theory_Rev!J30</f>
        <v>204.746908336412</v>
      </c>
      <c r="K120" s="197" t="n">
        <f aca="false">Theory_Rev!K30</f>
        <v>204.746908336412</v>
      </c>
      <c r="L120" s="197" t="n">
        <f aca="false">Theory_Rev!L30</f>
        <v>307.586504136986</v>
      </c>
      <c r="M120" s="197" t="n">
        <f aca="false">Theory_Rev!M30</f>
        <v>307.586504136986</v>
      </c>
      <c r="N120" s="197" t="n">
        <f aca="false">Theory_Rev!N30</f>
        <v>307.586504136986</v>
      </c>
      <c r="O120" s="197" t="n">
        <f aca="false">Theory_Rev!O30</f>
        <v>418.858593711675</v>
      </c>
      <c r="P120" s="197" t="n">
        <f aca="false">Theory_Rev!P30</f>
        <v>418.858593711675</v>
      </c>
      <c r="Q120" s="197" t="n">
        <f aca="false">Theory_Rev!Q30</f>
        <v>418.858593711675</v>
      </c>
      <c r="R12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3487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3554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304</v>
      </c>
      <c r="B121" s="207"/>
      <c r="C121" s="46"/>
    </row>
    <row r="122" customFormat="false" ht="15" hidden="false" customHeight="true" outlineLevel="0" collapsed="false">
      <c r="A122" s="44" t="s">
        <v>3572</v>
      </c>
      <c r="B122" s="30" t="s">
        <v>1040</v>
      </c>
      <c r="C122" s="46" t="n">
        <f aca="false">Price_Frontier!E41</f>
        <v>8</v>
      </c>
      <c r="R122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809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3528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3573</v>
      </c>
      <c r="B123" s="30" t="s">
        <v>1040</v>
      </c>
      <c r="C123" s="46" t="n">
        <f aca="false">Price_Frontier!E42</f>
        <v>0.8</v>
      </c>
      <c r="R123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809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3528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3574</v>
      </c>
      <c r="B124" s="30" t="s">
        <v>1040</v>
      </c>
      <c r="C124" s="46" t="n">
        <f aca="false">Price_Frontier!E43</f>
        <v>40</v>
      </c>
      <c r="D124" s="203"/>
      <c r="E124" s="203"/>
      <c r="F124" s="203"/>
      <c r="G124" s="203"/>
      <c r="H124" s="203"/>
      <c r="I124" s="203"/>
      <c r="J124" s="203"/>
      <c r="K124" s="203"/>
      <c r="L124" s="203"/>
      <c r="M124" s="203"/>
      <c r="N124" s="203"/>
      <c r="O124" s="203"/>
      <c r="P124" s="203"/>
      <c r="Q124" s="203"/>
      <c r="R124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809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3528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3575</v>
      </c>
      <c r="B125" s="30" t="s">
        <v>1040</v>
      </c>
      <c r="C125" s="46" t="n">
        <f aca="false">Price_Frontier!E44</f>
        <v>40</v>
      </c>
      <c r="D125" s="203"/>
      <c r="E125" s="203"/>
      <c r="F125" s="203"/>
      <c r="G125" s="203"/>
      <c r="H125" s="203"/>
      <c r="I125" s="203"/>
      <c r="J125" s="203"/>
      <c r="K125" s="203"/>
      <c r="L125" s="203"/>
      <c r="M125" s="203"/>
      <c r="N125" s="203"/>
      <c r="O125" s="203"/>
      <c r="P125" s="203"/>
      <c r="Q125" s="203"/>
      <c r="R125" s="186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809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3528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3576</v>
      </c>
      <c r="B126" s="30" t="s">
        <v>1040</v>
      </c>
      <c r="C126" s="55" t="n">
        <f aca="false">Price_Frontier!E45</f>
        <v>8.03555555555555</v>
      </c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86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809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3533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3577</v>
      </c>
      <c r="B127" s="30" t="s">
        <v>1040</v>
      </c>
      <c r="C127" s="46" t="n">
        <f aca="false">Price_Frontier!E46</f>
        <v>7.74222222222222</v>
      </c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86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809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3535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3578</v>
      </c>
      <c r="B128" s="207"/>
      <c r="C128" s="197" t="str">
        <f aca="false">Price_Frontier!E26</f>
        <v>Claude Fable 5.1</v>
      </c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86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809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3537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3579</v>
      </c>
      <c r="B129" s="44" t="s">
        <v>1454</v>
      </c>
      <c r="C129" s="32" t="n">
        <f aca="false">INDEX(B4_Life,1,3)</f>
        <v>9</v>
      </c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86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809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3524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3580</v>
      </c>
      <c r="B130" s="30" t="s">
        <v>1040</v>
      </c>
      <c r="C130" s="203" t="n">
        <f aca="false">Cache_Store!C29</f>
        <v>0.000273972602739726</v>
      </c>
      <c r="D130" s="203" t="n">
        <f aca="false">Cache_Store!D29</f>
        <v>0.000273972602739726</v>
      </c>
      <c r="E130" s="203" t="n">
        <f aca="false">Cache_Store!E29</f>
        <v>0.000273972602739726</v>
      </c>
      <c r="F130" s="203" t="n">
        <f aca="false">Cache_Store!F29</f>
        <v>0.000273972602739726</v>
      </c>
      <c r="G130" s="203" t="n">
        <f aca="false">Cache_Store!G29</f>
        <v>0.000273972602739726</v>
      </c>
      <c r="H130" s="203" t="n">
        <f aca="false">Cache_Store!H29</f>
        <v>0.000273972602739726</v>
      </c>
      <c r="I130" s="203" t="n">
        <f aca="false">Cache_Store!I29</f>
        <v>0.000273972602739726</v>
      </c>
      <c r="J130" s="203" t="n">
        <f aca="false">Cache_Store!J29</f>
        <v>0.000273972602739726</v>
      </c>
      <c r="K130" s="203" t="n">
        <f aca="false">Cache_Store!K29</f>
        <v>0.000273972602739726</v>
      </c>
      <c r="L130" s="203" t="n">
        <f aca="false">Cache_Store!L29</f>
        <v>0.000273972602739726</v>
      </c>
      <c r="M130" s="203" t="n">
        <f aca="false">Cache_Store!M29</f>
        <v>0.000273972602739726</v>
      </c>
      <c r="N130" s="203" t="n">
        <f aca="false">Cache_Store!N29</f>
        <v>0.000273972602739726</v>
      </c>
      <c r="O130" s="203" t="n">
        <f aca="false">Cache_Store!O29</f>
        <v>0.000273972602739726</v>
      </c>
      <c r="P130" s="203" t="n">
        <f aca="false">Cache_Store!P29</f>
        <v>0.000273972602739726</v>
      </c>
      <c r="Q130" s="203" t="n">
        <f aca="false">Cache_Store!Q29</f>
        <v>0.000273972602739726</v>
      </c>
      <c r="R130" s="186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,Gov_Map!$AG$687:$AG$688)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,Gov_Map!$AH$687:$AH$688)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809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,Gov_Map!$AJ$687:$AJ$688)</f>
        <v>20261008</v>
      </c>
      <c r="W130" s="21" t="s">
        <v>3581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3582</v>
      </c>
      <c r="B131" s="30" t="s">
        <v>1040</v>
      </c>
      <c r="C131" s="203" t="n">
        <f aca="false">Amortize!C32</f>
        <v>2.77777469594551</v>
      </c>
      <c r="D131" s="203" t="n">
        <f aca="false">Amortize!D32</f>
        <v>3.96888441256699</v>
      </c>
      <c r="E131" s="203" t="n">
        <f aca="false">Amortize!E32</f>
        <v>6.81603431985413</v>
      </c>
      <c r="F131" s="203" t="n">
        <f aca="false">Amortize!F32</f>
        <v>0.228452001604401</v>
      </c>
      <c r="G131" s="203" t="n">
        <f aca="false">Amortize!G32</f>
        <v>0.305031478460118</v>
      </c>
      <c r="H131" s="203" t="n">
        <f aca="false">Amortize!H32</f>
        <v>0.49473653693433</v>
      </c>
      <c r="I131" s="203" t="n">
        <f aca="false">Amortize!I32</f>
        <v>0.24019799874652</v>
      </c>
      <c r="J131" s="203" t="n">
        <f aca="false">Amortize!J32</f>
        <v>0.310229615842608</v>
      </c>
      <c r="K131" s="203" t="n">
        <f aca="false">Amortize!K32</f>
        <v>0.528181046387546</v>
      </c>
      <c r="L131" s="203" t="n">
        <f aca="false">Amortize!L32</f>
        <v>0.100573347953864</v>
      </c>
      <c r="M131" s="203" t="n">
        <f aca="false">Amortize!M32</f>
        <v>0.129262679409264</v>
      </c>
      <c r="N131" s="203" t="n">
        <f aca="false">Amortize!N32</f>
        <v>0.208827861414237</v>
      </c>
      <c r="O131" s="203" t="n">
        <f aca="false">Amortize!O32</f>
        <v>0.0523766024928945</v>
      </c>
      <c r="P131" s="203" t="n">
        <f aca="false">Amortize!P32</f>
        <v>0.0796052541194475</v>
      </c>
      <c r="Q131" s="203" t="n">
        <f aca="false">Amortize!Q32</f>
        <v>0.145322693070838</v>
      </c>
      <c r="R13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809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1" s="21" t="s">
        <v>3542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3583</v>
      </c>
      <c r="B132" s="30" t="s">
        <v>1040</v>
      </c>
      <c r="C132" s="195" t="n">
        <f aca="false">Amortize!C34</f>
        <v>2.39257479448417</v>
      </c>
      <c r="D132" s="195" t="n">
        <f aca="false">Amortize!D34</f>
        <v>3.41837305432272</v>
      </c>
      <c r="E132" s="195" t="n">
        <f aca="false">Amortize!E34</f>
        <v>5.87037338614669</v>
      </c>
      <c r="F132" s="195" t="n">
        <f aca="false">Amortize!F34</f>
        <v>0.533314225412997</v>
      </c>
      <c r="G132" s="195" t="n">
        <f aca="false">Amortize!G34</f>
        <v>0.711978992821689</v>
      </c>
      <c r="H132" s="195" t="n">
        <f aca="false">Amortize!H34</f>
        <v>1.15457290362114</v>
      </c>
      <c r="I132" s="195" t="n">
        <f aca="false">Amortize!I34</f>
        <v>0.515637670522155</v>
      </c>
      <c r="J132" s="195" t="n">
        <f aca="false">Amortize!J34</f>
        <v>0.66588223082747</v>
      </c>
      <c r="K132" s="195" t="n">
        <f aca="false">Amortize!K34</f>
        <v>1.13347127429064</v>
      </c>
      <c r="L132" s="195" t="n">
        <f aca="false">Amortize!L34</f>
        <v>0.3286813243973</v>
      </c>
      <c r="M132" s="195" t="n">
        <f aca="false">Amortize!M34</f>
        <v>0.422348597012267</v>
      </c>
      <c r="N132" s="195" t="n">
        <f aca="false">Amortize!N34</f>
        <v>0.682119501925305</v>
      </c>
      <c r="O132" s="195" t="n">
        <f aca="false">Amortize!O34</f>
        <v>0.247364894289715</v>
      </c>
      <c r="P132" s="195" t="n">
        <f aca="false">Amortize!P34</f>
        <v>0.375793719119929</v>
      </c>
      <c r="Q132" s="195" t="n">
        <f aca="false">Amortize!Q34</f>
        <v>0.685761820777516</v>
      </c>
      <c r="R132" s="186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,Gov_Map!$AG$687:$AG$688)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,Gov_Map!$AH$687:$AH$688)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809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,Gov_Map!$AJ$687:$AJ$688)</f>
        <v>20261008</v>
      </c>
      <c r="W132" s="21" t="s">
        <v>3544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3584</v>
      </c>
      <c r="B133" s="30" t="s">
        <v>1040</v>
      </c>
      <c r="C133" s="195" t="n">
        <f aca="false">Theory_Rev!C54</f>
        <v>4.44041141753621</v>
      </c>
      <c r="D133" s="195" t="n">
        <f aca="false">Theory_Rev!D54</f>
        <v>6.34436399268955</v>
      </c>
      <c r="E133" s="195" t="n">
        <f aca="false">Theory_Rev!E54</f>
        <v>10.8954463339561</v>
      </c>
      <c r="F133" s="195" t="n">
        <f aca="false">Theory_Rev!F54</f>
        <v>0.599060192145636</v>
      </c>
      <c r="G133" s="195" t="n">
        <f aca="false">Theory_Rev!G54</f>
        <v>0.79979654126841</v>
      </c>
      <c r="H133" s="195" t="n">
        <f aca="false">Theory_Rev!H54</f>
        <v>1.2970668597897</v>
      </c>
      <c r="I133" s="195" t="n">
        <f aca="false">Theory_Rev!I54</f>
        <v>0.598522481651746</v>
      </c>
      <c r="J133" s="195" t="n">
        <f aca="false">Theory_Rev!J54</f>
        <v>0.772961335570172</v>
      </c>
      <c r="K133" s="195" t="n">
        <f aca="false">Theory_Rev!K54</f>
        <v>1.31584752513189</v>
      </c>
      <c r="L133" s="195" t="n">
        <f aca="false">Theory_Rev!L54</f>
        <v>0.328979014060463</v>
      </c>
      <c r="M133" s="195" t="n">
        <f aca="false">Theory_Rev!M54</f>
        <v>0.422759162078806</v>
      </c>
      <c r="N133" s="195" t="n">
        <f aca="false">Theory_Rev!N54</f>
        <v>0.682843108514873</v>
      </c>
      <c r="O133" s="195" t="n">
        <f aca="false">Theory_Rev!O54</f>
        <v>0.224274240897612</v>
      </c>
      <c r="P133" s="195" t="n">
        <f aca="false">Theory_Rev!P54</f>
        <v>0.340750041982449</v>
      </c>
      <c r="Q133" s="195" t="n">
        <f aca="false">Theory_Rev!Q54</f>
        <v>0.621869043102671</v>
      </c>
      <c r="R13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3487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3" s="21" t="s">
        <v>3546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3585</v>
      </c>
      <c r="B134" s="30" t="s">
        <v>1040</v>
      </c>
      <c r="C134" s="204" t="n">
        <f aca="false">Amortize!C47</f>
        <v>6.71333459608619</v>
      </c>
      <c r="D134" s="204" t="n">
        <f aca="false">Amortize!D47</f>
        <v>9.59173457910629</v>
      </c>
      <c r="E134" s="204" t="n">
        <f aca="false">Amortize!E47</f>
        <v>16.4720715710975</v>
      </c>
      <c r="F134" s="204" t="n">
        <f aca="false">Amortize!F47</f>
        <v>1.52013235990977</v>
      </c>
      <c r="G134" s="204" t="n">
        <f aca="false">Amortize!G47</f>
        <v>2.02947544058869</v>
      </c>
      <c r="H134" s="204" t="n">
        <f aca="false">Amortize!H47</f>
        <v>3.29123593923616</v>
      </c>
      <c r="I134" s="204" t="n">
        <f aca="false">Amortize!I47</f>
        <v>1.4045212266443</v>
      </c>
      <c r="J134" s="204" t="n">
        <f aca="false">Amortize!J47</f>
        <v>1.81382399146405</v>
      </c>
      <c r="K134" s="204" t="n">
        <f aca="false">Amortize!K47</f>
        <v>3.08765039755805</v>
      </c>
      <c r="L134" s="204" t="n">
        <f aca="false">Amortize!L47</f>
        <v>0.959356186038775</v>
      </c>
      <c r="M134" s="204" t="n">
        <f aca="false">Amortize!M47</f>
        <v>1.23283860001109</v>
      </c>
      <c r="N134" s="204" t="n">
        <f aca="false">Amortize!N47</f>
        <v>1.99129747440816</v>
      </c>
      <c r="O134" s="204" t="n">
        <f aca="false">Amortize!O47</f>
        <v>0.737286975101976</v>
      </c>
      <c r="P134" s="204" t="n">
        <f aca="false">Amortize!P47</f>
        <v>1.12024727602933</v>
      </c>
      <c r="Q134" s="204" t="n">
        <f aca="false">Amortize!Q47</f>
        <v>2.04453726813664</v>
      </c>
      <c r="R13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809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4" s="21" t="s">
        <v>3546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3586</v>
      </c>
      <c r="B135" s="30" t="s">
        <v>1040</v>
      </c>
      <c r="C135" s="203" t="n">
        <f aca="false">Amortize!C48</f>
        <v>4.81837579884481</v>
      </c>
      <c r="D135" s="203" t="n">
        <f aca="false">Amortize!D48</f>
        <v>6.8842958895349</v>
      </c>
      <c r="E135" s="203" t="n">
        <f aca="false">Amortize!E48</f>
        <v>11.8225346702199</v>
      </c>
      <c r="F135" s="203" t="n">
        <f aca="false">Amortize!F48</f>
        <v>1.07558717803451</v>
      </c>
      <c r="G135" s="203" t="n">
        <f aca="false">Amortize!G48</f>
        <v>1.43597874737875</v>
      </c>
      <c r="H135" s="203" t="n">
        <f aca="false">Amortize!H48</f>
        <v>2.32875193600833</v>
      </c>
      <c r="I135" s="203" t="n">
        <f aca="false">Amortize!I48</f>
        <v>0.997284870203028</v>
      </c>
      <c r="J135" s="203" t="n">
        <f aca="false">Amortize!J48</f>
        <v>1.28791163108314</v>
      </c>
      <c r="K135" s="203" t="n">
        <f aca="false">Amortize!K48</f>
        <v>2.19239621840249</v>
      </c>
      <c r="L135" s="203" t="n">
        <f aca="false">Amortize!L48</f>
        <v>0.685107279468222</v>
      </c>
      <c r="M135" s="203" t="n">
        <f aca="false">Amortize!M48</f>
        <v>0.880409916117299</v>
      </c>
      <c r="N135" s="203" t="n">
        <f aca="false">Amortize!N48</f>
        <v>1.4220499280218</v>
      </c>
      <c r="O135" s="203" t="n">
        <f aca="false">Amortize!O48</f>
        <v>0.524853491548195</v>
      </c>
      <c r="P135" s="203" t="n">
        <f aca="false">Amortize!P48</f>
        <v>0.797471966923091</v>
      </c>
      <c r="Q135" s="203" t="n">
        <f aca="false">Amortize!Q48</f>
        <v>1.4554475530149</v>
      </c>
      <c r="R1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809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5" s="21" t="s">
        <v>3549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3587</v>
      </c>
      <c r="B136" s="30" t="s">
        <v>1040</v>
      </c>
      <c r="C136" s="205" t="n">
        <f aca="false">Theory_Rev!C56</f>
        <v>8.37597131767689</v>
      </c>
      <c r="D136" s="205" t="n">
        <f aca="false">Theory_Rev!D56</f>
        <v>11.9672141592289</v>
      </c>
      <c r="E136" s="205" t="n">
        <f aca="false">Theory_Rev!E56</f>
        <v>20.5514835851995</v>
      </c>
      <c r="F136" s="205" t="n">
        <f aca="false">Theory_Rev!F56</f>
        <v>1.890740550451</v>
      </c>
      <c r="G136" s="205" t="n">
        <f aca="false">Theory_Rev!G56</f>
        <v>2.52424050339698</v>
      </c>
      <c r="H136" s="205" t="n">
        <f aca="false">Theory_Rev!H56</f>
        <v>4.09356626209152</v>
      </c>
      <c r="I136" s="205" t="n">
        <f aca="false">Theory_Rev!I56</f>
        <v>1.76284570954953</v>
      </c>
      <c r="J136" s="205" t="n">
        <f aca="false">Theory_Rev!J56</f>
        <v>2.27655571119161</v>
      </c>
      <c r="K136" s="205" t="n">
        <f aca="false">Theory_Rev!K56</f>
        <v>3.87531687630239</v>
      </c>
      <c r="L136" s="205" t="n">
        <f aca="false">Theory_Rev!L56</f>
        <v>1.18776185214537</v>
      </c>
      <c r="M136" s="205" t="n">
        <f aca="false">Theory_Rev!M56</f>
        <v>1.52633508268063</v>
      </c>
      <c r="N136" s="205" t="n">
        <f aca="false">Theory_Rev!N56</f>
        <v>2.46531272150879</v>
      </c>
      <c r="O136" s="205" t="n">
        <f aca="false">Theory_Rev!O56</f>
        <v>0.909184613506693</v>
      </c>
      <c r="P136" s="205" t="n">
        <f aca="false">Theory_Rev!P56</f>
        <v>1.38139206389233</v>
      </c>
      <c r="Q136" s="205" t="n">
        <f aca="false">Theory_Rev!Q56</f>
        <v>2.52108361816848</v>
      </c>
      <c r="R136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3487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136" s="21" t="s">
        <v>3546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3588</v>
      </c>
      <c r="B137" s="30" t="s">
        <v>2255</v>
      </c>
      <c r="C137" s="206" t="n">
        <f aca="false">Theory_Rev!C47</f>
        <v>32.8285826038219</v>
      </c>
      <c r="D137" s="206" t="n">
        <f aca="false">Theory_Rev!D47</f>
        <v>32.8285826038219</v>
      </c>
      <c r="E137" s="206" t="n">
        <f aca="false">Theory_Rev!E47</f>
        <v>32.8285826038219</v>
      </c>
      <c r="F137" s="206" t="n">
        <f aca="false">Theory_Rev!F47</f>
        <v>143.52030717908</v>
      </c>
      <c r="G137" s="206" t="n">
        <f aca="false">Theory_Rev!G47</f>
        <v>143.52030717908</v>
      </c>
      <c r="H137" s="206" t="n">
        <f aca="false">Theory_Rev!H47</f>
        <v>143.52030717908</v>
      </c>
      <c r="I137" s="206" t="n">
        <f aca="false">Theory_Rev!I47</f>
        <v>189.275075427389</v>
      </c>
      <c r="J137" s="206" t="n">
        <f aca="false">Theory_Rev!J47</f>
        <v>189.275075427389</v>
      </c>
      <c r="K137" s="206" t="n">
        <f aca="false">Theory_Rev!K47</f>
        <v>189.275075427389</v>
      </c>
      <c r="L137" s="206" t="n">
        <f aca="false">Theory_Rev!L47</f>
        <v>335.686266761199</v>
      </c>
      <c r="M137" s="206" t="n">
        <f aca="false">Theory_Rev!M47</f>
        <v>335.686266761199</v>
      </c>
      <c r="N137" s="206" t="n">
        <f aca="false">Theory_Rev!N47</f>
        <v>335.686266761199</v>
      </c>
      <c r="O137" s="206" t="n">
        <f aca="false">Theory_Rev!O47</f>
        <v>475.005316946174</v>
      </c>
      <c r="P137" s="206" t="n">
        <f aca="false">Theory_Rev!P47</f>
        <v>475.005316946174</v>
      </c>
      <c r="Q137" s="206" t="n">
        <f aca="false">Theory_Rev!Q47</f>
        <v>475.005316946174</v>
      </c>
      <c r="R13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3487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3552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3589</v>
      </c>
      <c r="B138" s="30" t="s">
        <v>2255</v>
      </c>
      <c r="C138" s="197" t="n">
        <f aca="false">Theory_Rev!C48</f>
        <v>31.6301940795674</v>
      </c>
      <c r="D138" s="197" t="n">
        <f aca="false">Theory_Rev!D48</f>
        <v>31.6301940795674</v>
      </c>
      <c r="E138" s="197" t="n">
        <f aca="false">Theory_Rev!E48</f>
        <v>31.6301940795674</v>
      </c>
      <c r="F138" s="197" t="n">
        <f aca="false">Theory_Rev!F48</f>
        <v>138.281180921437</v>
      </c>
      <c r="G138" s="197" t="n">
        <f aca="false">Theory_Rev!G48</f>
        <v>138.281180921437</v>
      </c>
      <c r="H138" s="197" t="n">
        <f aca="false">Theory_Rev!H48</f>
        <v>138.281180921437</v>
      </c>
      <c r="I138" s="197" t="n">
        <f aca="false">Theory_Rev!I48</f>
        <v>182.365697673955</v>
      </c>
      <c r="J138" s="197" t="n">
        <f aca="false">Theory_Rev!J48</f>
        <v>182.365697673955</v>
      </c>
      <c r="K138" s="197" t="n">
        <f aca="false">Theory_Rev!K48</f>
        <v>182.365697673955</v>
      </c>
      <c r="L138" s="197" t="n">
        <f aca="false">Theory_Rev!L48</f>
        <v>323.432232686951</v>
      </c>
      <c r="M138" s="197" t="n">
        <f aca="false">Theory_Rev!M48</f>
        <v>323.432232686951</v>
      </c>
      <c r="N138" s="197" t="n">
        <f aca="false">Theory_Rev!N48</f>
        <v>323.432232686951</v>
      </c>
      <c r="O138" s="197" t="n">
        <f aca="false">Theory_Rev!O48</f>
        <v>457.665521084201</v>
      </c>
      <c r="P138" s="197" t="n">
        <f aca="false">Theory_Rev!P48</f>
        <v>457.665521084201</v>
      </c>
      <c r="Q138" s="197" t="n">
        <f aca="false">Theory_Rev!Q48</f>
        <v>457.665521084201</v>
      </c>
      <c r="R1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3487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3554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3590</v>
      </c>
    </row>
    <row r="140" customFormat="false" ht="15" hidden="false" customHeight="true" outlineLevel="0" collapsed="false">
      <c r="A140" s="44" t="s">
        <v>3591</v>
      </c>
      <c r="B140" s="30" t="s">
        <v>2255</v>
      </c>
      <c r="C140" s="208" t="n">
        <f aca="false">Theory_Rev!C64</f>
        <v>0.109558036619274</v>
      </c>
      <c r="D140" s="208" t="n">
        <f aca="false">Theory_Rev!D64</f>
        <v>0.109558036619274</v>
      </c>
      <c r="E140" s="208" t="n">
        <f aca="false">Theory_Rev!E64</f>
        <v>0.109558036619274</v>
      </c>
      <c r="F140" s="208" t="n">
        <f aca="false">Theory_Rev!F64</f>
        <v>0.478153408787978</v>
      </c>
      <c r="G140" s="208" t="n">
        <f aca="false">Theory_Rev!G64</f>
        <v>0.478153408787978</v>
      </c>
      <c r="H140" s="208" t="n">
        <f aca="false">Theory_Rev!H64</f>
        <v>0.478153408787978</v>
      </c>
      <c r="I140" s="208" t="n">
        <f aca="false">Theory_Rev!I64</f>
        <v>0.657565003455634</v>
      </c>
      <c r="J140" s="208" t="n">
        <f aca="false">Theory_Rev!J64</f>
        <v>0.657565003455634</v>
      </c>
      <c r="K140" s="208" t="n">
        <f aca="false">Theory_Rev!K64</f>
        <v>0.657565003455634</v>
      </c>
      <c r="L140" s="208" t="n">
        <f aca="false">Theory_Rev!L64</f>
        <v>1.08135801601782</v>
      </c>
      <c r="M140" s="208" t="n">
        <f aca="false">Theory_Rev!M64</f>
        <v>1.08135801601782</v>
      </c>
      <c r="N140" s="208" t="n">
        <f aca="false">Theory_Rev!N64</f>
        <v>1.08135801601782</v>
      </c>
      <c r="O140" s="208" t="n">
        <f aca="false">Theory_Rev!O64</f>
        <v>1.50172339469163</v>
      </c>
      <c r="P140" s="208" t="n">
        <f aca="false">Theory_Rev!P64</f>
        <v>1.50172339469163</v>
      </c>
      <c r="Q140" s="208" t="n">
        <f aca="false">Theory_Rev!Q64</f>
        <v>1.50172339469163</v>
      </c>
      <c r="R140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3487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3592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3593</v>
      </c>
      <c r="B141" s="30" t="s">
        <v>2255</v>
      </c>
      <c r="C141" s="208" t="n">
        <f aca="false">Theory_Rev!C65</f>
        <v>2.46505582393367</v>
      </c>
      <c r="D141" s="208" t="n">
        <f aca="false">Theory_Rev!D65</f>
        <v>2.46505582393367</v>
      </c>
      <c r="E141" s="208" t="n">
        <f aca="false">Theory_Rev!E65</f>
        <v>2.46505582393367</v>
      </c>
      <c r="F141" s="208" t="n">
        <f aca="false">Theory_Rev!F65</f>
        <v>10.7584516977295</v>
      </c>
      <c r="G141" s="208" t="n">
        <f aca="false">Theory_Rev!G65</f>
        <v>10.7584516977295</v>
      </c>
      <c r="H141" s="208" t="n">
        <f aca="false">Theory_Rev!H65</f>
        <v>10.7584516977295</v>
      </c>
      <c r="I141" s="208" t="n">
        <f aca="false">Theory_Rev!I65</f>
        <v>14.7952125777518</v>
      </c>
      <c r="J141" s="208" t="n">
        <f aca="false">Theory_Rev!J65</f>
        <v>14.7952125777518</v>
      </c>
      <c r="K141" s="208" t="n">
        <f aca="false">Theory_Rev!K65</f>
        <v>14.7952125777518</v>
      </c>
      <c r="L141" s="208" t="n">
        <f aca="false">Theory_Rev!L65</f>
        <v>24.330555360401</v>
      </c>
      <c r="M141" s="208" t="n">
        <f aca="false">Theory_Rev!M65</f>
        <v>24.330555360401</v>
      </c>
      <c r="N141" s="208" t="n">
        <f aca="false">Theory_Rev!N65</f>
        <v>24.330555360401</v>
      </c>
      <c r="O141" s="208" t="n">
        <f aca="false">Theory_Rev!O65</f>
        <v>33.7887763805617</v>
      </c>
      <c r="P141" s="208" t="n">
        <f aca="false">Theory_Rev!P65</f>
        <v>33.7887763805617</v>
      </c>
      <c r="Q141" s="208" t="n">
        <f aca="false">Theory_Rev!Q65</f>
        <v>33.7887763805617</v>
      </c>
      <c r="R141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3487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3592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3594</v>
      </c>
      <c r="B142" s="30" t="s">
        <v>2255</v>
      </c>
      <c r="C142" s="208" t="n">
        <f aca="false">Theory_Rev!C66</f>
        <v>4.10842637322278</v>
      </c>
      <c r="D142" s="208" t="n">
        <f aca="false">Theory_Rev!D66</f>
        <v>4.10842637322278</v>
      </c>
      <c r="E142" s="208" t="n">
        <f aca="false">Theory_Rev!E66</f>
        <v>4.10842637322278</v>
      </c>
      <c r="F142" s="208" t="n">
        <f aca="false">Theory_Rev!F66</f>
        <v>17.9307528295491</v>
      </c>
      <c r="G142" s="208" t="n">
        <f aca="false">Theory_Rev!G66</f>
        <v>17.9307528295491</v>
      </c>
      <c r="H142" s="208" t="n">
        <f aca="false">Theory_Rev!H66</f>
        <v>17.9307528295491</v>
      </c>
      <c r="I142" s="208" t="n">
        <f aca="false">Theory_Rev!I66</f>
        <v>24.6586876295863</v>
      </c>
      <c r="J142" s="208" t="n">
        <f aca="false">Theory_Rev!J66</f>
        <v>24.6586876295863</v>
      </c>
      <c r="K142" s="208" t="n">
        <f aca="false">Theory_Rev!K66</f>
        <v>24.6586876295863</v>
      </c>
      <c r="L142" s="208" t="n">
        <f aca="false">Theory_Rev!L66</f>
        <v>40.5509256006683</v>
      </c>
      <c r="M142" s="208" t="n">
        <f aca="false">Theory_Rev!M66</f>
        <v>40.5509256006683</v>
      </c>
      <c r="N142" s="208" t="n">
        <f aca="false">Theory_Rev!N66</f>
        <v>40.5509256006683</v>
      </c>
      <c r="O142" s="208" t="n">
        <f aca="false">Theory_Rev!O66</f>
        <v>56.3146273009361</v>
      </c>
      <c r="P142" s="208" t="n">
        <f aca="false">Theory_Rev!P66</f>
        <v>56.3146273009361</v>
      </c>
      <c r="Q142" s="208" t="n">
        <f aca="false">Theory_Rev!Q66</f>
        <v>56.3146273009361</v>
      </c>
      <c r="R142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3487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3592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3595</v>
      </c>
      <c r="B143" s="30" t="s">
        <v>2255</v>
      </c>
      <c r="C143" s="206" t="n">
        <f aca="false">Theory_Rev!C67</f>
        <v>6.68304023377571</v>
      </c>
      <c r="D143" s="206" t="n">
        <f aca="false">Theory_Rev!D67</f>
        <v>6.68304023377571</v>
      </c>
      <c r="E143" s="206" t="n">
        <f aca="false">Theory_Rev!E67</f>
        <v>6.68304023377571</v>
      </c>
      <c r="F143" s="206" t="n">
        <f aca="false">Theory_Rev!F67</f>
        <v>29.1673579360666</v>
      </c>
      <c r="G143" s="206" t="n">
        <f aca="false">Theory_Rev!G67</f>
        <v>29.1673579360666</v>
      </c>
      <c r="H143" s="206" t="n">
        <f aca="false">Theory_Rev!H67</f>
        <v>29.1673579360666</v>
      </c>
      <c r="I143" s="206" t="n">
        <f aca="false">Theory_Rev!I67</f>
        <v>40.1114652107936</v>
      </c>
      <c r="J143" s="206" t="n">
        <f aca="false">Theory_Rev!J67</f>
        <v>40.1114652107936</v>
      </c>
      <c r="K143" s="206" t="n">
        <f aca="false">Theory_Rev!K67</f>
        <v>40.1114652107936</v>
      </c>
      <c r="L143" s="206" t="n">
        <f aca="false">Theory_Rev!L67</f>
        <v>65.9628389770872</v>
      </c>
      <c r="M143" s="206" t="n">
        <f aca="false">Theory_Rev!M67</f>
        <v>65.9628389770872</v>
      </c>
      <c r="N143" s="206" t="n">
        <f aca="false">Theory_Rev!N67</f>
        <v>65.9628389770872</v>
      </c>
      <c r="O143" s="206" t="n">
        <f aca="false">Theory_Rev!O67</f>
        <v>91.6051270761894</v>
      </c>
      <c r="P143" s="206" t="n">
        <f aca="false">Theory_Rev!P67</f>
        <v>91.6051270761894</v>
      </c>
      <c r="Q143" s="206" t="n">
        <f aca="false">Theory_Rev!Q67</f>
        <v>91.6051270761894</v>
      </c>
      <c r="R1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3487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3592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3596</v>
      </c>
      <c r="B144" s="30" t="s">
        <v>2255</v>
      </c>
      <c r="C144" s="208" t="n">
        <f aca="false">Theory_Rev!C68</f>
        <v>0.109558036619274</v>
      </c>
      <c r="D144" s="208" t="n">
        <f aca="false">Theory_Rev!D68</f>
        <v>0.109558036619274</v>
      </c>
      <c r="E144" s="208" t="n">
        <f aca="false">Theory_Rev!E68</f>
        <v>0.109558036619274</v>
      </c>
      <c r="F144" s="208" t="n">
        <f aca="false">Theory_Rev!F68</f>
        <v>0.478153408787977</v>
      </c>
      <c r="G144" s="208" t="n">
        <f aca="false">Theory_Rev!G68</f>
        <v>0.478153408787977</v>
      </c>
      <c r="H144" s="208" t="n">
        <f aca="false">Theory_Rev!H68</f>
        <v>0.478153408787977</v>
      </c>
      <c r="I144" s="208" t="n">
        <f aca="false">Theory_Rev!I68</f>
        <v>0.657565003455634</v>
      </c>
      <c r="J144" s="208" t="n">
        <f aca="false">Theory_Rev!J68</f>
        <v>0.657565003455634</v>
      </c>
      <c r="K144" s="208" t="n">
        <f aca="false">Theory_Rev!K68</f>
        <v>0.657565003455634</v>
      </c>
      <c r="L144" s="208" t="n">
        <f aca="false">Theory_Rev!L68</f>
        <v>1.08135801601782</v>
      </c>
      <c r="M144" s="208" t="n">
        <f aca="false">Theory_Rev!M68</f>
        <v>1.08135801601782</v>
      </c>
      <c r="N144" s="208" t="n">
        <f aca="false">Theory_Rev!N68</f>
        <v>1.08135801601782</v>
      </c>
      <c r="O144" s="208" t="n">
        <f aca="false">Theory_Rev!O68</f>
        <v>1.50172339469163</v>
      </c>
      <c r="P144" s="208" t="n">
        <f aca="false">Theory_Rev!P68</f>
        <v>1.50172339469163</v>
      </c>
      <c r="Q144" s="208" t="n">
        <f aca="false">Theory_Rev!Q68</f>
        <v>1.50172339469163</v>
      </c>
      <c r="R1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3487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3597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3598</v>
      </c>
      <c r="B145" s="30" t="s">
        <v>2255</v>
      </c>
      <c r="C145" s="208" t="n">
        <f aca="false">Theory_Rev!C69</f>
        <v>2.46505582393367</v>
      </c>
      <c r="D145" s="208" t="n">
        <f aca="false">Theory_Rev!D69</f>
        <v>2.46505582393367</v>
      </c>
      <c r="E145" s="208" t="n">
        <f aca="false">Theory_Rev!E69</f>
        <v>2.46505582393367</v>
      </c>
      <c r="F145" s="208" t="n">
        <f aca="false">Theory_Rev!F69</f>
        <v>10.7584516977295</v>
      </c>
      <c r="G145" s="208" t="n">
        <f aca="false">Theory_Rev!G69</f>
        <v>10.7584516977295</v>
      </c>
      <c r="H145" s="208" t="n">
        <f aca="false">Theory_Rev!H69</f>
        <v>10.7584516977295</v>
      </c>
      <c r="I145" s="208" t="n">
        <f aca="false">Theory_Rev!I69</f>
        <v>14.7952125777518</v>
      </c>
      <c r="J145" s="208" t="n">
        <f aca="false">Theory_Rev!J69</f>
        <v>14.7952125777518</v>
      </c>
      <c r="K145" s="208" t="n">
        <f aca="false">Theory_Rev!K69</f>
        <v>14.7952125777518</v>
      </c>
      <c r="L145" s="208" t="n">
        <f aca="false">Theory_Rev!L69</f>
        <v>24.330555360401</v>
      </c>
      <c r="M145" s="208" t="n">
        <f aca="false">Theory_Rev!M69</f>
        <v>24.330555360401</v>
      </c>
      <c r="N145" s="208" t="n">
        <f aca="false">Theory_Rev!N69</f>
        <v>24.330555360401</v>
      </c>
      <c r="O145" s="208" t="n">
        <f aca="false">Theory_Rev!O69</f>
        <v>33.7887763805617</v>
      </c>
      <c r="P145" s="208" t="n">
        <f aca="false">Theory_Rev!P69</f>
        <v>33.7887763805617</v>
      </c>
      <c r="Q145" s="208" t="n">
        <f aca="false">Theory_Rev!Q69</f>
        <v>33.7887763805617</v>
      </c>
      <c r="R145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3487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3597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3599</v>
      </c>
      <c r="B146" s="30" t="s">
        <v>2255</v>
      </c>
      <c r="C146" s="208" t="n">
        <f aca="false">Theory_Rev!C70</f>
        <v>3.95845063172239</v>
      </c>
      <c r="D146" s="208" t="n">
        <f aca="false">Theory_Rev!D70</f>
        <v>3.95845063172239</v>
      </c>
      <c r="E146" s="208" t="n">
        <f aca="false">Theory_Rev!E70</f>
        <v>3.95845063172239</v>
      </c>
      <c r="F146" s="208" t="n">
        <f aca="false">Theory_Rev!F70</f>
        <v>17.2762010116563</v>
      </c>
      <c r="G146" s="208" t="n">
        <f aca="false">Theory_Rev!G70</f>
        <v>17.2762010116563</v>
      </c>
      <c r="H146" s="208" t="n">
        <f aca="false">Theory_Rev!H70</f>
        <v>17.2762010116563</v>
      </c>
      <c r="I146" s="208" t="n">
        <f aca="false">Theory_Rev!I70</f>
        <v>23.7585364218691</v>
      </c>
      <c r="J146" s="208" t="n">
        <f aca="false">Theory_Rev!J70</f>
        <v>23.7585364218691</v>
      </c>
      <c r="K146" s="208" t="n">
        <f aca="false">Theory_Rev!K70</f>
        <v>23.7585364218691</v>
      </c>
      <c r="L146" s="208" t="n">
        <f aca="false">Theory_Rev!L70</f>
        <v>39.0706373873696</v>
      </c>
      <c r="M146" s="208" t="n">
        <f aca="false">Theory_Rev!M70</f>
        <v>39.0706373873696</v>
      </c>
      <c r="N146" s="208" t="n">
        <f aca="false">Theory_Rev!N70</f>
        <v>39.0706373873696</v>
      </c>
      <c r="O146" s="208" t="n">
        <f aca="false">Theory_Rev!O70</f>
        <v>54.2588942246851</v>
      </c>
      <c r="P146" s="208" t="n">
        <f aca="false">Theory_Rev!P70</f>
        <v>54.2588942246851</v>
      </c>
      <c r="Q146" s="208" t="n">
        <f aca="false">Theory_Rev!Q70</f>
        <v>54.2588942246851</v>
      </c>
      <c r="R146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3487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3597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3600</v>
      </c>
      <c r="B147" s="30" t="s">
        <v>2255</v>
      </c>
      <c r="C147" s="206" t="n">
        <f aca="false">Theory_Rev!C71</f>
        <v>6.53306449227533</v>
      </c>
      <c r="D147" s="206" t="n">
        <f aca="false">Theory_Rev!D71</f>
        <v>6.53306449227533</v>
      </c>
      <c r="E147" s="206" t="n">
        <f aca="false">Theory_Rev!E71</f>
        <v>6.53306449227533</v>
      </c>
      <c r="F147" s="206" t="n">
        <f aca="false">Theory_Rev!F71</f>
        <v>28.5128061181738</v>
      </c>
      <c r="G147" s="206" t="n">
        <f aca="false">Theory_Rev!G71</f>
        <v>28.5128061181738</v>
      </c>
      <c r="H147" s="206" t="n">
        <f aca="false">Theory_Rev!H71</f>
        <v>28.5128061181738</v>
      </c>
      <c r="I147" s="206" t="n">
        <f aca="false">Theory_Rev!I71</f>
        <v>39.2113140030764</v>
      </c>
      <c r="J147" s="206" t="n">
        <f aca="false">Theory_Rev!J71</f>
        <v>39.2113140030764</v>
      </c>
      <c r="K147" s="206" t="n">
        <f aca="false">Theory_Rev!K71</f>
        <v>39.2113140030764</v>
      </c>
      <c r="L147" s="206" t="n">
        <f aca="false">Theory_Rev!L71</f>
        <v>64.4825507637884</v>
      </c>
      <c r="M147" s="206" t="n">
        <f aca="false">Theory_Rev!M71</f>
        <v>64.4825507637884</v>
      </c>
      <c r="N147" s="206" t="n">
        <f aca="false">Theory_Rev!N71</f>
        <v>64.4825507637884</v>
      </c>
      <c r="O147" s="206" t="n">
        <f aca="false">Theory_Rev!O71</f>
        <v>89.5493939999384</v>
      </c>
      <c r="P147" s="206" t="n">
        <f aca="false">Theory_Rev!P71</f>
        <v>89.5493939999384</v>
      </c>
      <c r="Q147" s="206" t="n">
        <f aca="false">Theory_Rev!Q71</f>
        <v>89.5493939999384</v>
      </c>
      <c r="R147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3487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3597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3601</v>
      </c>
      <c r="B148" s="30" t="s">
        <v>127</v>
      </c>
      <c r="C148" s="209" t="n">
        <f aca="false">B4_Serve</f>
        <v>0.41</v>
      </c>
      <c r="R148" s="186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809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3602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3603</v>
      </c>
      <c r="B149" s="30" t="s">
        <v>127</v>
      </c>
      <c r="C149" s="209" t="n">
        <f aca="false">B4_Free</f>
        <v>0.46</v>
      </c>
      <c r="R149" s="186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809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3604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3605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3606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3607</v>
      </c>
      <c r="S152" s="30" t="s">
        <v>809</v>
      </c>
      <c r="T152" s="30" t="s">
        <v>809</v>
      </c>
      <c r="U152" s="30" t="s">
        <v>809</v>
      </c>
    </row>
    <row r="153" customFormat="false" ht="15" hidden="false" customHeight="true" outlineLevel="0" collapsed="false">
      <c r="A153" s="30" t="s">
        <v>3608</v>
      </c>
      <c r="B153" s="30" t="s">
        <v>132</v>
      </c>
      <c r="C153" s="210" t="n">
        <f aca="false">B5_W</f>
        <v>0</v>
      </c>
      <c r="R153" s="186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809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3609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3610</v>
      </c>
      <c r="B154" s="44"/>
      <c r="C154" s="44" t="str">
        <f aca="false">B5_ProfileName</f>
        <v>供應商原生增強（保留推理狀態＋上下文壓縮）</v>
      </c>
      <c r="R154" s="186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809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3524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3611</v>
      </c>
      <c r="B155" s="30" t="s">
        <v>1448</v>
      </c>
      <c r="C155" s="210" t="n">
        <f aca="false">INDEX(B5_TaskLen,1,1)</f>
        <v>0.02</v>
      </c>
      <c r="D155" s="210" t="n">
        <f aca="false">INDEX(B5_TaskLen,1,2)</f>
        <v>0.1</v>
      </c>
      <c r="E155" s="210" t="n">
        <f aca="false">INDEX(B5_TaskLen,1,3)</f>
        <v>0.5</v>
      </c>
      <c r="F155" s="210" t="n">
        <f aca="false">INDEX(B5_TaskLen,1,4)</f>
        <v>2</v>
      </c>
      <c r="G155" s="210" t="n">
        <f aca="false">INDEX(B5_TaskLen,1,5)</f>
        <v>8</v>
      </c>
      <c r="R155" s="186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809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3524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3612</v>
      </c>
      <c r="B156" s="30" t="s">
        <v>333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809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3613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3614</v>
      </c>
      <c r="B157" s="30" t="s">
        <v>333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809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3613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3615</v>
      </c>
      <c r="B158" s="30" t="s">
        <v>333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6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809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3616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3617</v>
      </c>
      <c r="B159" s="30" t="s">
        <v>333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6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809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3618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3619</v>
      </c>
      <c r="B160" s="30" t="s">
        <v>132</v>
      </c>
      <c r="C160" s="194" t="n">
        <f aca="false">Harness!C45</f>
        <v>1</v>
      </c>
      <c r="D160" s="194" t="n">
        <f aca="false">Harness!D45</f>
        <v>1</v>
      </c>
      <c r="E160" s="194" t="n">
        <f aca="false">Harness!E45</f>
        <v>0.588771014492754</v>
      </c>
      <c r="F160" s="194" t="n">
        <f aca="false">Harness!F45</f>
        <v>0.588771014492754</v>
      </c>
      <c r="G160" s="194" t="n">
        <f aca="false">Harness!G45</f>
        <v>0.492530120481928</v>
      </c>
      <c r="R160" s="186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809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3620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302</v>
      </c>
    </row>
    <row r="162" customFormat="false" ht="15" hidden="false" customHeight="true" outlineLevel="0" collapsed="false">
      <c r="A162" s="44" t="s">
        <v>3621</v>
      </c>
      <c r="B162" s="30" t="s">
        <v>127</v>
      </c>
      <c r="C162" s="198" t="n">
        <f aca="false">Harness!C57</f>
        <v>0.962243725044712</v>
      </c>
      <c r="D162" s="198" t="n">
        <f aca="false">Harness!D57</f>
        <v>0.884017511243649</v>
      </c>
      <c r="E162" s="198" t="n">
        <f aca="false">Harness!E57</f>
        <v>0.695076124968439</v>
      </c>
      <c r="F162" s="198" t="n">
        <f aca="false">Harness!F57</f>
        <v>0.446267899285204</v>
      </c>
      <c r="G162" s="198" t="n">
        <f aca="false">Harness!G57</f>
        <v>0.221752565013566</v>
      </c>
      <c r="R162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809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3622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3623</v>
      </c>
      <c r="B163" s="30" t="s">
        <v>127</v>
      </c>
      <c r="C163" s="198" t="n">
        <f aca="false">Harness!C58</f>
        <v>0.962243725044712</v>
      </c>
      <c r="D163" s="198" t="n">
        <f aca="false">Harness!D58</f>
        <v>0.884017511243649</v>
      </c>
      <c r="E163" s="198" t="n">
        <f aca="false">Harness!E58</f>
        <v>0.723262011773013</v>
      </c>
      <c r="F163" s="198" t="n">
        <f aca="false">Harness!F58</f>
        <v>0.575444203093429</v>
      </c>
      <c r="G163" s="198" t="n">
        <f aca="false">Harness!G58</f>
        <v>0.323962245896112</v>
      </c>
      <c r="R163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809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3624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3625</v>
      </c>
      <c r="B164" s="30" t="s">
        <v>2513</v>
      </c>
      <c r="C164" s="211" t="n">
        <f aca="false">Harness!C88</f>
        <v>8.8899077896421E-005</v>
      </c>
      <c r="D164" s="211" t="n">
        <f aca="false">Harness!D88</f>
        <v>0.000627888436452441</v>
      </c>
      <c r="E164" s="211" t="n">
        <f aca="false">Harness!E88</f>
        <v>0.000588020351383176</v>
      </c>
      <c r="F164" s="211" t="n">
        <f aca="false">Harness!F88</f>
        <v>0.00366343990142828</v>
      </c>
      <c r="G164" s="211" t="n">
        <f aca="false">Harness!G88</f>
        <v>0.027571077499982</v>
      </c>
      <c r="R16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3487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3626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3627</v>
      </c>
      <c r="B165" s="30" t="s">
        <v>2513</v>
      </c>
      <c r="C165" s="212" t="n">
        <f aca="false">Harness!C97</f>
        <v>0.000114248703667037</v>
      </c>
      <c r="D165" s="212" t="n">
        <f aca="false">Harness!D97</f>
        <v>0.000810841077890223</v>
      </c>
      <c r="E165" s="212" t="n">
        <f aca="false">Harness!E97</f>
        <v>0.000754882105708299</v>
      </c>
      <c r="F165" s="212" t="n">
        <f aca="false">Harness!F97</f>
        <v>0.00470300937785723</v>
      </c>
      <c r="G165" s="212" t="n">
        <f aca="false">Harness!G97</f>
        <v>0.0349973127558091</v>
      </c>
      <c r="R16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809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3628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3629</v>
      </c>
      <c r="B166" s="30" t="s">
        <v>2513</v>
      </c>
      <c r="C166" s="212" t="n">
        <f aca="false">Harness!C126</f>
        <v>0.000340869980715914</v>
      </c>
      <c r="D166" s="212" t="n">
        <f aca="false">Harness!D126</f>
        <v>0.00181896849275965</v>
      </c>
      <c r="E166" s="212" t="n">
        <f aca="false">Harness!E126</f>
        <v>0.00237971056778149</v>
      </c>
      <c r="F166" s="212" t="n">
        <f aca="false">Harness!F126</f>
        <v>0.0148258927218325</v>
      </c>
      <c r="G166" s="212" t="n">
        <f aca="false">Harness!G126</f>
        <v>0.171997108568582</v>
      </c>
      <c r="R166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809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3630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3631</v>
      </c>
      <c r="B167" s="30" t="s">
        <v>132</v>
      </c>
      <c r="C167" s="194" t="n">
        <f aca="false">Harness!C136</f>
        <v>1</v>
      </c>
      <c r="D167" s="194" t="n">
        <f aca="false">Harness!D136</f>
        <v>1</v>
      </c>
      <c r="E167" s="194" t="n">
        <f aca="false">Harness!E136</f>
        <v>0.591852640323466</v>
      </c>
      <c r="F167" s="194" t="n">
        <f aca="false">Harness!F136</f>
        <v>0.477605481152274</v>
      </c>
      <c r="G167" s="194" t="n">
        <f aca="false">Harness!G136</f>
        <v>0.414018377875692</v>
      </c>
      <c r="R16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809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3626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303</v>
      </c>
    </row>
    <row r="169" customFormat="false" ht="15" hidden="false" customHeight="true" outlineLevel="0" collapsed="false">
      <c r="A169" s="44" t="s">
        <v>3632</v>
      </c>
      <c r="B169" s="30" t="s">
        <v>127</v>
      </c>
      <c r="C169" s="198" t="n">
        <f aca="false">Harness!C60</f>
        <v>0.988943278022254</v>
      </c>
      <c r="D169" s="198" t="n">
        <f aca="false">Harness!D60</f>
        <v>0.963963460360214</v>
      </c>
      <c r="E169" s="198" t="n">
        <f aca="false">Harness!E60</f>
        <v>0.888888888888889</v>
      </c>
      <c r="F169" s="198" t="n">
        <f aca="false">Harness!F60</f>
        <v>0.738796125036259</v>
      </c>
      <c r="G169" s="198" t="n">
        <f aca="false">Harness!G60</f>
        <v>0.5</v>
      </c>
      <c r="R169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809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3622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3633</v>
      </c>
      <c r="B170" s="30" t="s">
        <v>127</v>
      </c>
      <c r="C170" s="198" t="n">
        <f aca="false">Harness!C61</f>
        <v>0.988943278022254</v>
      </c>
      <c r="D170" s="198" t="n">
        <f aca="false">Harness!D61</f>
        <v>0.963963460360214</v>
      </c>
      <c r="E170" s="198" t="n">
        <f aca="false">Harness!E61</f>
        <v>0.901693340131513</v>
      </c>
      <c r="F170" s="198" t="n">
        <f aca="false">Harness!F61</f>
        <v>0.826293243415818</v>
      </c>
      <c r="G170" s="198" t="n">
        <f aca="false">Harness!G61</f>
        <v>0.627115119175411</v>
      </c>
      <c r="R170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809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3624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3634</v>
      </c>
      <c r="B171" s="30" t="s">
        <v>2513</v>
      </c>
      <c r="C171" s="211" t="n">
        <f aca="false">Harness!C91</f>
        <v>0.000282271466750481</v>
      </c>
      <c r="D171" s="211" t="n">
        <f aca="false">Harness!D91</f>
        <v>0.00186329714942528</v>
      </c>
      <c r="E171" s="211" t="n">
        <f aca="false">Harness!E91</f>
        <v>0.00149769640054521</v>
      </c>
      <c r="F171" s="211" t="n">
        <f aca="false">Harness!F91</f>
        <v>0.00720786503479934</v>
      </c>
      <c r="G171" s="211" t="n">
        <f aca="false">Harness!G91</f>
        <v>0.0399390829605138</v>
      </c>
      <c r="R17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3487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3626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3635</v>
      </c>
      <c r="B172" s="30" t="s">
        <v>2513</v>
      </c>
      <c r="C172" s="212" t="n">
        <f aca="false">Harness!C100</f>
        <v>0.000378316172579921</v>
      </c>
      <c r="D172" s="212" t="n">
        <f aca="false">Harness!D100</f>
        <v>0.00252446526061555</v>
      </c>
      <c r="E172" s="212" t="n">
        <f aca="false">Harness!E100</f>
        <v>0.00200720272080044</v>
      </c>
      <c r="F172" s="212" t="n">
        <f aca="false">Harness!F100</f>
        <v>0.00965993261634659</v>
      </c>
      <c r="G172" s="212" t="n">
        <f aca="false">Harness!G100</f>
        <v>0.0527516276769073</v>
      </c>
      <c r="R17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809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3628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3636</v>
      </c>
      <c r="B173" s="30" t="s">
        <v>2513</v>
      </c>
      <c r="C173" s="212" t="n">
        <f aca="false">Harness!C129</f>
        <v>0.00663334302966199</v>
      </c>
      <c r="D173" s="212" t="n">
        <f aca="false">Harness!D129</f>
        <v>0.0333622604201019</v>
      </c>
      <c r="E173" s="212" t="n">
        <f aca="false">Harness!E129</f>
        <v>0.0372168</v>
      </c>
      <c r="F173" s="212" t="n">
        <f aca="false">Harness!F129</f>
        <v>0.179110847385002</v>
      </c>
      <c r="G173" s="212" t="n">
        <f aca="false">Harness!G129</f>
        <v>1.525632</v>
      </c>
      <c r="R173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809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3630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3637</v>
      </c>
      <c r="B174" s="30" t="s">
        <v>132</v>
      </c>
      <c r="C174" s="194" t="n">
        <f aca="false">Harness!C137</f>
        <v>1</v>
      </c>
      <c r="D174" s="194" t="n">
        <f aca="false">Harness!D137</f>
        <v>1</v>
      </c>
      <c r="E174" s="194" t="n">
        <f aca="false">Harness!E137</f>
        <v>0.606334408966066</v>
      </c>
      <c r="F174" s="194" t="n">
        <f aca="false">Harness!F137</f>
        <v>0.549938350367623</v>
      </c>
      <c r="G174" s="194" t="n">
        <f aca="false">Harness!G137</f>
        <v>0.478078141949835</v>
      </c>
      <c r="R174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809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3626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304</v>
      </c>
    </row>
    <row r="176" customFormat="false" ht="15" hidden="false" customHeight="true" outlineLevel="0" collapsed="false">
      <c r="A176" s="44" t="s">
        <v>3638</v>
      </c>
      <c r="B176" s="30" t="s">
        <v>127</v>
      </c>
      <c r="C176" s="198" t="n">
        <f aca="false">Harness!C63</f>
        <v>0.993396032445753</v>
      </c>
      <c r="D176" s="198" t="n">
        <f aca="false">Harness!D63</f>
        <v>0.978254868861662</v>
      </c>
      <c r="E176" s="198" t="n">
        <f aca="false">Harness!E63</f>
        <v>0.930816639357101</v>
      </c>
      <c r="F176" s="198" t="n">
        <f aca="false">Harness!F63</f>
        <v>0.826293243415818</v>
      </c>
      <c r="G176" s="198" t="n">
        <f aca="false">Harness!G63</f>
        <v>0.627115119175411</v>
      </c>
      <c r="R176" s="186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809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3622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3639</v>
      </c>
      <c r="B177" s="30" t="s">
        <v>127</v>
      </c>
      <c r="C177" s="198" t="n">
        <f aca="false">Harness!C64</f>
        <v>0.993396032445753</v>
      </c>
      <c r="D177" s="198" t="n">
        <f aca="false">Harness!D64</f>
        <v>0.978254868861662</v>
      </c>
      <c r="E177" s="198" t="n">
        <f aca="false">Harness!E64</f>
        <v>0.939120259663704</v>
      </c>
      <c r="F177" s="198" t="n">
        <f aca="false">Harness!F64</f>
        <v>0.888888888888889</v>
      </c>
      <c r="G177" s="198" t="n">
        <f aca="false">Harness!G64</f>
        <v>0.738796125036259</v>
      </c>
      <c r="R177" s="186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809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3624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3640</v>
      </c>
      <c r="B178" s="30" t="s">
        <v>2513</v>
      </c>
      <c r="C178" s="211" t="n">
        <f aca="false">Harness!C94</f>
        <v>0.00129917760034516</v>
      </c>
      <c r="D178" s="211" t="n">
        <f aca="false">Harness!D94</f>
        <v>0.00884075209631596</v>
      </c>
      <c r="E178" s="211" t="n">
        <f aca="false">Harness!E94</f>
        <v>0.00664194467737183</v>
      </c>
      <c r="F178" s="211" t="n">
        <f aca="false">Harness!F94</f>
        <v>0.0299285159241019</v>
      </c>
      <c r="G178" s="211" t="n">
        <f aca="false">Harness!G94</f>
        <v>0.142811041402312</v>
      </c>
      <c r="R178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3487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3626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3641</v>
      </c>
      <c r="B179" s="30" t="s">
        <v>2513</v>
      </c>
      <c r="C179" s="212" t="n">
        <f aca="false">Harness!C103</f>
        <v>0.00205965174823083</v>
      </c>
      <c r="D179" s="212" t="n">
        <f aca="false">Harness!D103</f>
        <v>0.0143361394890655</v>
      </c>
      <c r="E179" s="212" t="n">
        <f aca="false">Harness!E103</f>
        <v>0.0105201674316699</v>
      </c>
      <c r="F179" s="212" t="n">
        <f aca="false">Harness!F103</f>
        <v>0.0474037369771555</v>
      </c>
      <c r="G179" s="212" t="n">
        <f aca="false">Harness!G103</f>
        <v>0.21795007078719</v>
      </c>
      <c r="R179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809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3628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3642</v>
      </c>
      <c r="B180" s="30" t="s">
        <v>2513</v>
      </c>
      <c r="C180" s="212" t="n">
        <f aca="false">Harness!C132</f>
        <v>0.0330180501317747</v>
      </c>
      <c r="D180" s="212" t="n">
        <f aca="false">Harness!D132</f>
        <v>0.164374341614178</v>
      </c>
      <c r="E180" s="212" t="n">
        <f aca="false">Harness!E132</f>
        <v>0.177702023154898</v>
      </c>
      <c r="F180" s="212" t="n">
        <f aca="false">Harness!F132</f>
        <v>0.800722994254286</v>
      </c>
      <c r="G180" s="212" t="n">
        <f aca="false">Harness!G132</f>
        <v>6.08194553659479</v>
      </c>
      <c r="R180" s="186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809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3630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3643</v>
      </c>
      <c r="B181" s="30" t="s">
        <v>132</v>
      </c>
      <c r="C181" s="194" t="n">
        <f aca="false">Harness!C138</f>
        <v>1</v>
      </c>
      <c r="D181" s="194" t="n">
        <f aca="false">Harness!D138</f>
        <v>1</v>
      </c>
      <c r="E181" s="194" t="n">
        <f aca="false">Harness!E138</f>
        <v>0.609544423277789</v>
      </c>
      <c r="F181" s="194" t="n">
        <f aca="false">Harness!F138</f>
        <v>0.571674943858998</v>
      </c>
      <c r="G181" s="194" t="n">
        <f aca="false">Harness!G138</f>
        <v>0.519237863316496</v>
      </c>
      <c r="R18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809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3626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3644</v>
      </c>
    </row>
    <row r="183" customFormat="false" ht="15" hidden="false" customHeight="true" outlineLevel="0" collapsed="false">
      <c r="A183" s="30" t="s">
        <v>3645</v>
      </c>
      <c r="B183" s="30" t="s">
        <v>2513</v>
      </c>
      <c r="C183" s="212" t="n">
        <f aca="false">Harness!C68</f>
        <v>8.55425798680921E-005</v>
      </c>
      <c r="D183" s="212" t="n">
        <f aca="false">Harness!D68</f>
        <v>0.000555064372931353</v>
      </c>
      <c r="E183" s="212" t="n">
        <f aca="false">Harness!E68</f>
        <v>0.000408718907241998</v>
      </c>
      <c r="F183" s="212" t="n">
        <f aca="false">Harness!F68</f>
        <v>0.00163487562896799</v>
      </c>
      <c r="G183" s="212" t="n">
        <f aca="false">Harness!G68</f>
        <v>0.00611395715580883</v>
      </c>
      <c r="R183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3487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3646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3647</v>
      </c>
      <c r="B184" s="30" t="s">
        <v>1448</v>
      </c>
      <c r="C184" s="194" t="n">
        <f aca="false">Harness!C160</f>
        <v>1.5</v>
      </c>
      <c r="D184" s="194" t="n">
        <f aca="false">Harness!D160</f>
        <v>1.5</v>
      </c>
      <c r="E184" s="194" t="n">
        <f aca="false">Harness!E160</f>
        <v>1.5</v>
      </c>
      <c r="F184" s="194" t="n">
        <f aca="false">Harness!F160</f>
        <v>1.5</v>
      </c>
      <c r="G184" s="194" t="n">
        <f aca="false">Harness!G160</f>
        <v>1.5</v>
      </c>
      <c r="R184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809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3624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3648</v>
      </c>
      <c r="B185" s="30" t="s">
        <v>2513</v>
      </c>
      <c r="C185" s="212" t="n">
        <f aca="false">Harness!C71</f>
        <v>0.000279150469620371</v>
      </c>
      <c r="D185" s="212" t="n">
        <f aca="false">Harness!D71</f>
        <v>0.00179615036783932</v>
      </c>
      <c r="E185" s="212" t="n">
        <f aca="false">Harness!E71</f>
        <v>0.00133128568937352</v>
      </c>
      <c r="F185" s="212" t="n">
        <f aca="false">Harness!F71</f>
        <v>0.00532514275749409</v>
      </c>
      <c r="G185" s="212" t="n">
        <f aca="false">Harness!G71</f>
        <v>0.0199695414802569</v>
      </c>
      <c r="R185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3487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3646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3649</v>
      </c>
      <c r="B186" s="30" t="s">
        <v>1448</v>
      </c>
      <c r="C186" s="194" t="n">
        <f aca="false">Harness!C161</f>
        <v>8</v>
      </c>
      <c r="D186" s="194" t="n">
        <f aca="false">Harness!D161</f>
        <v>8</v>
      </c>
      <c r="E186" s="194" t="n">
        <f aca="false">Harness!E161</f>
        <v>8</v>
      </c>
      <c r="F186" s="194" t="n">
        <f aca="false">Harness!F161</f>
        <v>8</v>
      </c>
      <c r="G186" s="194" t="n">
        <f aca="false">Harness!G161</f>
        <v>8</v>
      </c>
      <c r="R186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809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3624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3650</v>
      </c>
      <c r="B187" s="30" t="s">
        <v>2513</v>
      </c>
      <c r="C187" s="212" t="n">
        <f aca="false">Harness!C74</f>
        <v>0.00129059787362528</v>
      </c>
      <c r="D187" s="212" t="n">
        <f aca="false">Harness!D74</f>
        <v>0.00864850878262003</v>
      </c>
      <c r="E187" s="212" t="n">
        <f aca="false">Harness!E74</f>
        <v>0.00618243262338703</v>
      </c>
      <c r="F187" s="212" t="n">
        <f aca="false">Harness!F74</f>
        <v>0.0247297304935481</v>
      </c>
      <c r="G187" s="212" t="n">
        <f aca="false">Harness!G74</f>
        <v>0.0895589632485757</v>
      </c>
      <c r="R187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3487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3646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3651</v>
      </c>
      <c r="B188" s="30" t="s">
        <v>1448</v>
      </c>
      <c r="C188" s="194" t="n">
        <f aca="false">Harness!C162</f>
        <v>16</v>
      </c>
      <c r="D188" s="194" t="n">
        <f aca="false">Harness!D162</f>
        <v>16</v>
      </c>
      <c r="E188" s="194" t="n">
        <f aca="false">Harness!E162</f>
        <v>16</v>
      </c>
      <c r="F188" s="194" t="n">
        <f aca="false">Harness!F162</f>
        <v>16</v>
      </c>
      <c r="G188" s="194" t="n">
        <f aca="false">Harness!G162</f>
        <v>16</v>
      </c>
      <c r="R188" s="186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809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3624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3652</v>
      </c>
      <c r="B189" s="30" t="s">
        <v>127</v>
      </c>
      <c r="C189" s="209" t="n">
        <f aca="false">B5_PFloor</f>
        <v>0.5</v>
      </c>
      <c r="R189" s="186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809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3524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3653</v>
      </c>
      <c r="B190" s="30" t="s">
        <v>2513</v>
      </c>
      <c r="C190" s="211" t="n">
        <f aca="false">Harness!C151</f>
        <v>8.8899077896421E-005</v>
      </c>
      <c r="D190" s="211" t="n">
        <f aca="false">Harness!D151</f>
        <v>0.000627888436452441</v>
      </c>
      <c r="E190" s="211" t="n">
        <f aca="false">Harness!E151</f>
        <v>0.000348021397530065</v>
      </c>
      <c r="F190" s="211" t="n">
        <f aca="false">Harness!F151</f>
        <v>0.00174967897679409</v>
      </c>
      <c r="G190" s="211" t="n">
        <f aca="false">Harness!G151</f>
        <v>0.0190940025729427</v>
      </c>
      <c r="R190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809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3654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3655</v>
      </c>
      <c r="B191" s="44"/>
      <c r="C191" s="186" t="str">
        <f aca="false">Harness!C152</f>
        <v>Luna｜標準</v>
      </c>
      <c r="D191" s="186" t="str">
        <f aca="false">Harness!D152</f>
        <v>Luna｜標準</v>
      </c>
      <c r="E191" s="186" t="str">
        <f aca="false">Harness!E152</f>
        <v>Luna｜選定</v>
      </c>
      <c r="F191" s="186" t="str">
        <f aca="false">Harness!F152</f>
        <v>Luna｜選定</v>
      </c>
      <c r="G191" s="186" t="str">
        <f aca="false">Harness!G152</f>
        <v>Sol｜選定</v>
      </c>
      <c r="R191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809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3654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3656</v>
      </c>
      <c r="B192" s="30" t="s">
        <v>127</v>
      </c>
      <c r="C192" s="198" t="n">
        <f aca="false">Harness!C153</f>
        <v>0.962243725044712</v>
      </c>
      <c r="D192" s="198" t="n">
        <f aca="false">Harness!D153</f>
        <v>0.884017511243649</v>
      </c>
      <c r="E192" s="198" t="n">
        <f aca="false">Harness!E153</f>
        <v>0.723262011773013</v>
      </c>
      <c r="F192" s="198" t="n">
        <f aca="false">Harness!F153</f>
        <v>0.575444203093429</v>
      </c>
      <c r="G192" s="198" t="n">
        <f aca="false">Harness!G153</f>
        <v>0.627115119175411</v>
      </c>
      <c r="R192" s="186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809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3654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3657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3658</v>
      </c>
      <c r="B195" s="30" t="s">
        <v>127</v>
      </c>
      <c r="C195" s="213" t="n">
        <f aca="false">AL_Q1</f>
        <v>0.184322317309608</v>
      </c>
      <c r="R195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3487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5" s="21" t="s">
        <v>3659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3660</v>
      </c>
      <c r="B196" s="30" t="s">
        <v>127</v>
      </c>
      <c r="C196" s="214" t="n">
        <f aca="false">AL_Q1R2</f>
        <v>0.563029812844433</v>
      </c>
      <c r="R196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3487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6" s="21" t="s">
        <v>3659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3661</v>
      </c>
      <c r="B197" s="30" t="s">
        <v>127</v>
      </c>
      <c r="C197" s="213" t="n">
        <f aca="false">AL_Q2</f>
        <v>0.184983490208217</v>
      </c>
      <c r="R197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3487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197" s="21" t="s">
        <v>3659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3662</v>
      </c>
      <c r="B198" s="30" t="s">
        <v>117</v>
      </c>
      <c r="C198" s="215" t="n">
        <f aca="false">IF(AL_ServeGW="整代不可達","整代不可達",AL_ServeGWSpend)</f>
        <v>0.89809617101894</v>
      </c>
      <c r="R19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,Gov_Map!$AH$687:$AH$688)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3487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,Gov_Map!$AJ$687:$AJ$688)</f>
        <v>20261008</v>
      </c>
      <c r="W198" s="21" t="s">
        <v>3663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3664</v>
      </c>
      <c r="B199" s="30" t="s">
        <v>2788</v>
      </c>
      <c r="C199" s="215" t="n">
        <f aca="false">AL_RDGW</f>
        <v>0.202946790039775</v>
      </c>
      <c r="R199" s="186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,Gov_Map!$AG$689,Gov_Map!$AG$691)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,Gov_Map!$AH$689,Gov_Map!$AH$691)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809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,Gov_Map!$AJ$689,Gov_Map!$AJ$691)</f>
        <v>20261005</v>
      </c>
      <c r="W199" s="21" t="s">
        <v>3665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3666</v>
      </c>
      <c r="B200" s="30" t="s">
        <v>993</v>
      </c>
      <c r="C200" s="56" t="n">
        <f aca="false">AL_D</f>
        <v>6015200000</v>
      </c>
      <c r="R200" s="186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809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3667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3668</v>
      </c>
      <c r="B201" s="44" t="s">
        <v>370</v>
      </c>
      <c r="C201" s="210" t="n">
        <f aca="false">AL_ImpliedNk</f>
        <v>11.36020687772</v>
      </c>
      <c r="R201" s="186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,Gov_Map!$AG$687:$AG$689,Gov_Map!$AG$691)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,Gov_Map!$AH$687:$AH$689,Gov_Map!$AH$691)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3487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,Gov_Map!$AJ$687:$AJ$689,Gov_Map!$AJ$691)</f>
        <v>20261008</v>
      </c>
      <c r="W201" s="21" t="s">
        <v>3669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3670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3671</v>
      </c>
      <c r="B204" s="30" t="s">
        <v>1040</v>
      </c>
      <c r="C204" s="195" t="n">
        <f aca="false">Theory_Rev_Prod!C18</f>
        <v>0.201294741428264</v>
      </c>
      <c r="D204" s="195" t="n">
        <f aca="false">Theory_Rev_Prod!D18</f>
        <v>0.287605276322433</v>
      </c>
      <c r="E204" s="195" t="n">
        <f aca="false">Theory_Rev_Prod!E18</f>
        <v>0.493916271852604</v>
      </c>
      <c r="F204" s="195" t="n">
        <f aca="false">Theory_Rev_Prod!F18</f>
        <v>0.0316179029806012</v>
      </c>
      <c r="G204" s="195" t="n">
        <f aca="false">Theory_Rev_Prod!G18</f>
        <v>0.0422129203657971</v>
      </c>
      <c r="H204" s="195" t="n">
        <f aca="false">Theory_Rev_Prod!H18</f>
        <v>0.0684592264927087</v>
      </c>
      <c r="I204" s="195" t="n">
        <f aca="false">Theory_Rev_Prod!I18</f>
        <v>0.0288026153594239</v>
      </c>
      <c r="J204" s="195" t="n">
        <f aca="false">Theory_Rev_Prod!J18</f>
        <v>0.0371970862919076</v>
      </c>
      <c r="K204" s="195" t="n">
        <f aca="false">Theory_Rev_Prod!K18</f>
        <v>0.0633222426750938</v>
      </c>
      <c r="L204" s="195" t="n">
        <f aca="false">Theory_Rev_Prod!L18</f>
        <v>0.0209826194864454</v>
      </c>
      <c r="M204" s="195" t="n">
        <f aca="false">Theory_Rev_Prod!M18</f>
        <v>0.0269649852193189</v>
      </c>
      <c r="N204" s="195" t="n">
        <f aca="false">Theory_Rev_Prod!N18</f>
        <v>0.0435561009480476</v>
      </c>
      <c r="O204" s="195" t="n">
        <f aca="false">Theory_Rev_Prod!O18</f>
        <v>0.0159209733995654</v>
      </c>
      <c r="P204" s="195" t="n">
        <f aca="false">Theory_Rev_Prod!P18</f>
        <v>0.024192065175611</v>
      </c>
      <c r="Q204" s="195" t="n">
        <f aca="false">Theory_Rev_Prod!Q18</f>
        <v>0.0441546757487897</v>
      </c>
      <c r="R204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3672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4" s="21" t="s">
        <v>3673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3674</v>
      </c>
      <c r="B205" s="30" t="s">
        <v>1040</v>
      </c>
      <c r="C205" s="195" t="n">
        <f aca="false">Theory_Rev_Prod!C36</f>
        <v>0.592104750515731</v>
      </c>
      <c r="D205" s="195" t="n">
        <f aca="false">Theory_Rev_Prod!D36</f>
        <v>0.845992662642524</v>
      </c>
      <c r="E205" s="195" t="n">
        <f aca="false">Theory_Rev_Prod!E36</f>
        <v>1.45286954005015</v>
      </c>
      <c r="F205" s="195" t="n">
        <f aca="false">Theory_Rev_Prod!F36</f>
        <v>0.1037019329333</v>
      </c>
      <c r="G205" s="195" t="n">
        <f aca="false">Theory_Rev_Prod!G36</f>
        <v>0.138458743671178</v>
      </c>
      <c r="H205" s="195" t="n">
        <f aca="false">Theory_Rev_Prod!H36</f>
        <v>0.224559394708913</v>
      </c>
      <c r="I205" s="195" t="n">
        <f aca="false">Theory_Rev_Prod!I36</f>
        <v>0.0933186786593271</v>
      </c>
      <c r="J205" s="195" t="n">
        <f aca="false">Theory_Rev_Prod!J36</f>
        <v>0.120521993573679</v>
      </c>
      <c r="K205" s="195" t="n">
        <f aca="false">Theory_Rev_Prod!K36</f>
        <v>0.205183774166472</v>
      </c>
      <c r="L205" s="195" t="n">
        <f aca="false">Theory_Rev_Prod!L36</f>
        <v>0.0659173053800908</v>
      </c>
      <c r="M205" s="195" t="n">
        <f aca="false">Theory_Rev_Prod!M36</f>
        <v>0.0847163470205577</v>
      </c>
      <c r="N205" s="195" t="n">
        <f aca="false">Theory_Rev_Prod!N36</f>
        <v>0.136852423177233</v>
      </c>
      <c r="O205" s="195" t="n">
        <f aca="false">Theory_Rev_Prod!O36</f>
        <v>0.0499064918263528</v>
      </c>
      <c r="P205" s="195" t="n">
        <f aca="false">Theory_Rev_Prod!P36</f>
        <v>0.0758430359079122</v>
      </c>
      <c r="Q205" s="195" t="n">
        <f aca="false">Theory_Rev_Prod!Q36</f>
        <v>0.138441921657647</v>
      </c>
      <c r="R205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3672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5" s="21" t="s">
        <v>3673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3675</v>
      </c>
      <c r="B206" s="30" t="s">
        <v>1040</v>
      </c>
      <c r="C206" s="195" t="n">
        <f aca="false">Theory_Rev_Prod!C54</f>
        <v>6.39656108567329</v>
      </c>
      <c r="D206" s="195" t="n">
        <f aca="false">Theory_Rev_Prod!D54</f>
        <v>9.13931058711618</v>
      </c>
      <c r="E206" s="195" t="n">
        <f aca="false">Theory_Rev_Prod!E54</f>
        <v>15.6953976375139</v>
      </c>
      <c r="F206" s="195" t="n">
        <f aca="false">Theory_Rev_Prod!F54</f>
        <v>0.768239561562932</v>
      </c>
      <c r="G206" s="195" t="n">
        <f aca="false">Theory_Rev_Prod!G54</f>
        <v>1.02568658738703</v>
      </c>
      <c r="H206" s="195" t="n">
        <f aca="false">Theory_Rev_Prod!H54</f>
        <v>1.66344235555438</v>
      </c>
      <c r="I206" s="195" t="n">
        <f aca="false">Theory_Rev_Prod!I54</f>
        <v>0.780177660507834</v>
      </c>
      <c r="J206" s="195" t="n">
        <f aca="false">Theory_Rev_Prod!J54</f>
        <v>1.00757951160175</v>
      </c>
      <c r="K206" s="195" t="n">
        <f aca="false">Theory_Rev_Prod!K54</f>
        <v>1.71529640876383</v>
      </c>
      <c r="L206" s="195" t="n">
        <f aca="false">Theory_Rev_Prod!L54</f>
        <v>0.420721519561101</v>
      </c>
      <c r="M206" s="195" t="n">
        <f aca="false">Theory_Rev_Prod!M54</f>
        <v>0.540671932390196</v>
      </c>
      <c r="N206" s="195" t="n">
        <f aca="false">Theory_Rev_Prod!N54</f>
        <v>0.873334840313147</v>
      </c>
      <c r="O206" s="195" t="n">
        <f aca="false">Theory_Rev_Prod!O54</f>
        <v>0.283299527686788</v>
      </c>
      <c r="P206" s="195" t="n">
        <f aca="false">Theory_Rev_Prod!P54</f>
        <v>0.43046038459131</v>
      </c>
      <c r="Q206" s="195" t="n">
        <f aca="false">Theory_Rev_Prod!Q54</f>
        <v>0.785638994325553</v>
      </c>
      <c r="R206" s="186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,Gov_Map!$AG$687:$AG$689,Gov_Map!$AG$691)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,Gov_Map!$AH$687:$AH$689,Gov_Map!$AH$691)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3672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,Gov_Map!$AJ$687:$AJ$689,Gov_Map!$AJ$691)</f>
        <v>20261008</v>
      </c>
      <c r="W206" s="21" t="s">
        <v>3673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3676</v>
      </c>
      <c r="B207" s="30" t="s">
        <v>2255</v>
      </c>
      <c r="C207" s="206" t="n">
        <f aca="false">Theory_Rev_Prod!C11</f>
        <v>4.16601653965016</v>
      </c>
      <c r="D207" s="206" t="n">
        <f aca="false">Theory_Rev_Prod!D11</f>
        <v>4.16601653965016</v>
      </c>
      <c r="E207" s="206" t="n">
        <f aca="false">Theory_Rev_Prod!E11</f>
        <v>4.16601653965016</v>
      </c>
      <c r="F207" s="206" t="n">
        <f aca="false">Theory_Rev_Prod!F11</f>
        <v>19.2981660478862</v>
      </c>
      <c r="G207" s="206" t="n">
        <f aca="false">Theory_Rev_Prod!G11</f>
        <v>19.2981660478862</v>
      </c>
      <c r="H207" s="206" t="n">
        <f aca="false">Theory_Rev_Prod!H11</f>
        <v>19.2981660478862</v>
      </c>
      <c r="I207" s="206" t="n">
        <f aca="false">Theory_Rev_Prod!I11</f>
        <v>28.0957372251188</v>
      </c>
      <c r="J207" s="206" t="n">
        <f aca="false">Theory_Rev_Prod!J11</f>
        <v>28.0957372251188</v>
      </c>
      <c r="K207" s="206" t="n">
        <f aca="false">Theory_Rev_Prod!K11</f>
        <v>28.0957372251188</v>
      </c>
      <c r="L207" s="206" t="n">
        <f aca="false">Theory_Rev_Prod!L11</f>
        <v>40.6269205958863</v>
      </c>
      <c r="M207" s="206" t="n">
        <f aca="false">Theory_Rev_Prod!M11</f>
        <v>40.6269205958863</v>
      </c>
      <c r="N207" s="206" t="n">
        <f aca="false">Theory_Rev_Prod!N11</f>
        <v>40.6269205958863</v>
      </c>
      <c r="O207" s="206" t="n">
        <f aca="false">Theory_Rev_Prod!O11</f>
        <v>54.7307309163427</v>
      </c>
      <c r="P207" s="206" t="n">
        <f aca="false">Theory_Rev_Prod!P11</f>
        <v>54.7307309163427</v>
      </c>
      <c r="Q207" s="206" t="n">
        <f aca="false">Theory_Rev_Prod!Q11</f>
        <v>54.7307309163427</v>
      </c>
      <c r="R207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3672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3677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3678</v>
      </c>
      <c r="B208" s="30" t="s">
        <v>2255</v>
      </c>
      <c r="C208" s="206" t="n">
        <f aca="false">Theory_Rev_Prod!C29</f>
        <v>25.8351210172715</v>
      </c>
      <c r="D208" s="206" t="n">
        <f aca="false">Theory_Rev_Prod!D29</f>
        <v>25.8351210172715</v>
      </c>
      <c r="E208" s="206" t="n">
        <f aca="false">Theory_Rev_Prod!E29</f>
        <v>25.8351210172715</v>
      </c>
      <c r="F208" s="206" t="n">
        <f aca="false">Theory_Rev_Prod!F29</f>
        <v>115.189801090007</v>
      </c>
      <c r="G208" s="206" t="n">
        <f aca="false">Theory_Rev_Prod!G29</f>
        <v>115.189801090007</v>
      </c>
      <c r="H208" s="206" t="n">
        <f aca="false">Theory_Rev_Prod!H29</f>
        <v>115.189801090007</v>
      </c>
      <c r="I208" s="206" t="n">
        <f aca="false">Theory_Rev_Prod!I29</f>
        <v>167.702069430222</v>
      </c>
      <c r="J208" s="206" t="n">
        <f aca="false">Theory_Rev_Prod!J29</f>
        <v>167.702069430222</v>
      </c>
      <c r="K208" s="206" t="n">
        <f aca="false">Theory_Rev_Prod!K29</f>
        <v>167.702069430222</v>
      </c>
      <c r="L208" s="206" t="n">
        <f aca="false">Theory_Rev_Prod!L29</f>
        <v>252.853670235275</v>
      </c>
      <c r="M208" s="206" t="n">
        <f aca="false">Theory_Rev_Prod!M29</f>
        <v>252.853670235275</v>
      </c>
      <c r="N208" s="206" t="n">
        <f aca="false">Theory_Rev_Prod!N29</f>
        <v>252.853670235275</v>
      </c>
      <c r="O208" s="206" t="n">
        <f aca="false">Theory_Rev_Prod!O29</f>
        <v>344.651879941955</v>
      </c>
      <c r="P208" s="206" t="n">
        <f aca="false">Theory_Rev_Prod!P29</f>
        <v>344.651879941955</v>
      </c>
      <c r="Q208" s="206" t="n">
        <f aca="false">Theory_Rev_Prod!Q29</f>
        <v>344.651879941955</v>
      </c>
      <c r="R208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3672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3677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3679</v>
      </c>
      <c r="B209" s="30" t="s">
        <v>2255</v>
      </c>
      <c r="C209" s="206" t="n">
        <f aca="false">Theory_Rev_Prod!C47</f>
        <v>23.7314208542587</v>
      </c>
      <c r="D209" s="206" t="n">
        <f aca="false">Theory_Rev_Prod!D47</f>
        <v>23.7314208542587</v>
      </c>
      <c r="E209" s="206" t="n">
        <f aca="false">Theory_Rev_Prod!E47</f>
        <v>23.7314208542587</v>
      </c>
      <c r="F209" s="206" t="n">
        <f aca="false">Theory_Rev_Prod!F47</f>
        <v>112.606466107701</v>
      </c>
      <c r="G209" s="206" t="n">
        <f aca="false">Theory_Rev_Prod!G47</f>
        <v>112.606466107701</v>
      </c>
      <c r="H209" s="206" t="n">
        <f aca="false">Theory_Rev_Prod!H47</f>
        <v>112.606466107701</v>
      </c>
      <c r="I209" s="206" t="n">
        <f aca="false">Theory_Rev_Prod!I47</f>
        <v>146.896191352993</v>
      </c>
      <c r="J209" s="206" t="n">
        <f aca="false">Theory_Rev_Prod!J47</f>
        <v>146.896191352993</v>
      </c>
      <c r="K209" s="206" t="n">
        <f aca="false">Theory_Rev_Prod!K47</f>
        <v>146.896191352993</v>
      </c>
      <c r="L209" s="206" t="n">
        <f aca="false">Theory_Rev_Prod!L47</f>
        <v>266.938542515567</v>
      </c>
      <c r="M209" s="206" t="n">
        <f aca="false">Theory_Rev_Prod!M47</f>
        <v>266.938542515567</v>
      </c>
      <c r="N209" s="206" t="n">
        <f aca="false">Theory_Rev_Prod!N47</f>
        <v>266.938542515567</v>
      </c>
      <c r="O209" s="206" t="n">
        <f aca="false">Theory_Rev_Prod!O47</f>
        <v>379.622499261887</v>
      </c>
      <c r="P209" s="206" t="n">
        <f aca="false">Theory_Rev_Prod!P47</f>
        <v>379.622499261887</v>
      </c>
      <c r="Q209" s="206" t="n">
        <f aca="false">Theory_Rev_Prod!Q47</f>
        <v>379.622499261887</v>
      </c>
      <c r="R209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3672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3677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3680</v>
      </c>
      <c r="B210" s="30" t="s">
        <v>2255</v>
      </c>
      <c r="C210" s="206" t="n">
        <f aca="false">Theory_Rev_Prod!C67</f>
        <v>5.01848956376868</v>
      </c>
      <c r="D210" s="206" t="n">
        <f aca="false">Theory_Rev_Prod!D67</f>
        <v>5.01848956376868</v>
      </c>
      <c r="E210" s="206" t="n">
        <f aca="false">Theory_Rev_Prod!E67</f>
        <v>5.01848956376868</v>
      </c>
      <c r="F210" s="206" t="n">
        <f aca="false">Theory_Rev_Prod!F67</f>
        <v>23.2784953027427</v>
      </c>
      <c r="G210" s="206" t="n">
        <f aca="false">Theory_Rev_Prod!G67</f>
        <v>23.2784953027427</v>
      </c>
      <c r="H210" s="206" t="n">
        <f aca="false">Theory_Rev_Prod!H67</f>
        <v>23.2784953027427</v>
      </c>
      <c r="I210" s="206" t="n">
        <f aca="false">Theory_Rev_Prod!I67</f>
        <v>31.7743161074204</v>
      </c>
      <c r="J210" s="206" t="n">
        <f aca="false">Theory_Rev_Prod!J67</f>
        <v>31.7743161074204</v>
      </c>
      <c r="K210" s="206" t="n">
        <f aca="false">Theory_Rev_Prod!K67</f>
        <v>31.7743161074204</v>
      </c>
      <c r="L210" s="206" t="n">
        <f aca="false">Theory_Rev_Prod!L67</f>
        <v>53.1540686485926</v>
      </c>
      <c r="M210" s="206" t="n">
        <f aca="false">Theory_Rev_Prod!M67</f>
        <v>53.1540686485926</v>
      </c>
      <c r="N210" s="206" t="n">
        <f aca="false">Theory_Rev_Prod!N67</f>
        <v>53.1540686485926</v>
      </c>
      <c r="O210" s="206" t="n">
        <f aca="false">Theory_Rev_Prod!O67</f>
        <v>74.0683951910804</v>
      </c>
      <c r="P210" s="206" t="n">
        <f aca="false">Theory_Rev_Prod!P67</f>
        <v>74.0683951910804</v>
      </c>
      <c r="Q210" s="206" t="n">
        <f aca="false">Theory_Rev_Prod!Q67</f>
        <v>74.0683951910804</v>
      </c>
      <c r="R21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3672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3681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3682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3683</v>
      </c>
      <c r="B213" s="30" t="s">
        <v>2255</v>
      </c>
      <c r="C213" s="206" t="n">
        <f aca="false">Theory_Rev!C90</f>
        <v>4.16601653965016</v>
      </c>
      <c r="D213" s="206" t="n">
        <f aca="false">Theory_Rev!D90</f>
        <v>4.16601653965016</v>
      </c>
      <c r="E213" s="206" t="n">
        <f aca="false">Theory_Rev!E90</f>
        <v>4.16601653965016</v>
      </c>
      <c r="F213" s="206" t="n">
        <f aca="false">Theory_Rev!F90</f>
        <v>19.2981660478862</v>
      </c>
      <c r="G213" s="206" t="n">
        <f aca="false">Theory_Rev!G90</f>
        <v>19.2981660478862</v>
      </c>
      <c r="H213" s="206" t="n">
        <f aca="false">Theory_Rev!H90</f>
        <v>19.2981660478862</v>
      </c>
      <c r="I213" s="206" t="n">
        <f aca="false">Theory_Rev!I90</f>
        <v>28.0957372251188</v>
      </c>
      <c r="J213" s="206" t="n">
        <f aca="false">Theory_Rev!J90</f>
        <v>28.0957372251188</v>
      </c>
      <c r="K213" s="206" t="n">
        <f aca="false">Theory_Rev!K90</f>
        <v>28.0957372251188</v>
      </c>
      <c r="L213" s="206" t="n">
        <f aca="false">Theory_Rev!L90</f>
        <v>40.6269205958863</v>
      </c>
      <c r="M213" s="206" t="n">
        <f aca="false">Theory_Rev!M90</f>
        <v>40.6269205958863</v>
      </c>
      <c r="N213" s="206" t="n">
        <f aca="false">Theory_Rev!N90</f>
        <v>40.6269205958863</v>
      </c>
      <c r="O213" s="206" t="n">
        <f aca="false">Theory_Rev!O90</f>
        <v>54.7307309163427</v>
      </c>
      <c r="P213" s="206" t="n">
        <f aca="false">Theory_Rev!P90</f>
        <v>54.7307309163427</v>
      </c>
      <c r="Q213" s="206" t="n">
        <f aca="false">Theory_Rev!Q90</f>
        <v>54.7307309163427</v>
      </c>
      <c r="R213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3684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3685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3686</v>
      </c>
      <c r="B214" s="30" t="s">
        <v>2255</v>
      </c>
      <c r="C214" s="206" t="n">
        <f aca="false">Theory_Rev!C91</f>
        <v>25.8351210172715</v>
      </c>
      <c r="D214" s="206" t="n">
        <f aca="false">Theory_Rev!D91</f>
        <v>25.8351210172715</v>
      </c>
      <c r="E214" s="206" t="n">
        <f aca="false">Theory_Rev!E91</f>
        <v>25.8351210172715</v>
      </c>
      <c r="F214" s="206" t="n">
        <f aca="false">Theory_Rev!F91</f>
        <v>115.189801090007</v>
      </c>
      <c r="G214" s="206" t="n">
        <f aca="false">Theory_Rev!G91</f>
        <v>115.189801090007</v>
      </c>
      <c r="H214" s="206" t="n">
        <f aca="false">Theory_Rev!H91</f>
        <v>115.189801090007</v>
      </c>
      <c r="I214" s="206" t="n">
        <f aca="false">Theory_Rev!I91</f>
        <v>167.702069430222</v>
      </c>
      <c r="J214" s="206" t="n">
        <f aca="false">Theory_Rev!J91</f>
        <v>167.702069430222</v>
      </c>
      <c r="K214" s="206" t="n">
        <f aca="false">Theory_Rev!K91</f>
        <v>167.702069430222</v>
      </c>
      <c r="L214" s="206" t="n">
        <f aca="false">Theory_Rev!L91</f>
        <v>252.853670235275</v>
      </c>
      <c r="M214" s="206" t="n">
        <f aca="false">Theory_Rev!M91</f>
        <v>252.853670235275</v>
      </c>
      <c r="N214" s="206" t="n">
        <f aca="false">Theory_Rev!N91</f>
        <v>252.853670235275</v>
      </c>
      <c r="O214" s="206" t="n">
        <f aca="false">Theory_Rev!O91</f>
        <v>344.651879941955</v>
      </c>
      <c r="P214" s="206" t="n">
        <f aca="false">Theory_Rev!P91</f>
        <v>344.651879941955</v>
      </c>
      <c r="Q214" s="206" t="n">
        <f aca="false">Theory_Rev!Q91</f>
        <v>344.651879941955</v>
      </c>
      <c r="R214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3684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3685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3687</v>
      </c>
      <c r="B215" s="30" t="s">
        <v>2255</v>
      </c>
      <c r="C215" s="206" t="n">
        <f aca="false">Theory_Rev!C92</f>
        <v>23.7314208542587</v>
      </c>
      <c r="D215" s="206" t="n">
        <f aca="false">Theory_Rev!D92</f>
        <v>23.7314208542587</v>
      </c>
      <c r="E215" s="206" t="n">
        <f aca="false">Theory_Rev!E92</f>
        <v>23.7314208542587</v>
      </c>
      <c r="F215" s="206" t="n">
        <f aca="false">Theory_Rev!F92</f>
        <v>112.606466107701</v>
      </c>
      <c r="G215" s="206" t="n">
        <f aca="false">Theory_Rev!G92</f>
        <v>112.606466107701</v>
      </c>
      <c r="H215" s="206" t="n">
        <f aca="false">Theory_Rev!H92</f>
        <v>112.606466107701</v>
      </c>
      <c r="I215" s="206" t="n">
        <f aca="false">Theory_Rev!I92</f>
        <v>146.896191352993</v>
      </c>
      <c r="J215" s="206" t="n">
        <f aca="false">Theory_Rev!J92</f>
        <v>146.896191352993</v>
      </c>
      <c r="K215" s="206" t="n">
        <f aca="false">Theory_Rev!K92</f>
        <v>146.896191352993</v>
      </c>
      <c r="L215" s="206" t="n">
        <f aca="false">Theory_Rev!L92</f>
        <v>266.938542515567</v>
      </c>
      <c r="M215" s="206" t="n">
        <f aca="false">Theory_Rev!M92</f>
        <v>266.938542515567</v>
      </c>
      <c r="N215" s="206" t="n">
        <f aca="false">Theory_Rev!N92</f>
        <v>266.938542515567</v>
      </c>
      <c r="O215" s="206" t="n">
        <f aca="false">Theory_Rev!O92</f>
        <v>379.622499261887</v>
      </c>
      <c r="P215" s="206" t="n">
        <f aca="false">Theory_Rev!P92</f>
        <v>379.622499261887</v>
      </c>
      <c r="Q215" s="206" t="n">
        <f aca="false">Theory_Rev!Q92</f>
        <v>379.622499261887</v>
      </c>
      <c r="R21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3684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3685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3688</v>
      </c>
      <c r="B216" s="30" t="s">
        <v>2255</v>
      </c>
      <c r="C216" s="206" t="n">
        <f aca="false">Theory_Rev!C93</f>
        <v>5.01848956376868</v>
      </c>
      <c r="D216" s="206" t="n">
        <f aca="false">Theory_Rev!D93</f>
        <v>5.01848956376868</v>
      </c>
      <c r="E216" s="206" t="n">
        <f aca="false">Theory_Rev!E93</f>
        <v>5.01848956376868</v>
      </c>
      <c r="F216" s="206" t="n">
        <f aca="false">Theory_Rev!F93</f>
        <v>23.2784953027427</v>
      </c>
      <c r="G216" s="206" t="n">
        <f aca="false">Theory_Rev!G93</f>
        <v>23.2784953027427</v>
      </c>
      <c r="H216" s="206" t="n">
        <f aca="false">Theory_Rev!H93</f>
        <v>23.2784953027427</v>
      </c>
      <c r="I216" s="206" t="n">
        <f aca="false">Theory_Rev!I93</f>
        <v>31.7743161074204</v>
      </c>
      <c r="J216" s="206" t="n">
        <f aca="false">Theory_Rev!J93</f>
        <v>31.7743161074204</v>
      </c>
      <c r="K216" s="206" t="n">
        <f aca="false">Theory_Rev!K93</f>
        <v>31.7743161074204</v>
      </c>
      <c r="L216" s="206" t="n">
        <f aca="false">Theory_Rev!L93</f>
        <v>53.1540686485926</v>
      </c>
      <c r="M216" s="206" t="n">
        <f aca="false">Theory_Rev!M93</f>
        <v>53.1540686485926</v>
      </c>
      <c r="N216" s="206" t="n">
        <f aca="false">Theory_Rev!N93</f>
        <v>53.1540686485926</v>
      </c>
      <c r="O216" s="206" t="n">
        <f aca="false">Theory_Rev!O93</f>
        <v>74.0683951910804</v>
      </c>
      <c r="P216" s="206" t="n">
        <f aca="false">Theory_Rev!P93</f>
        <v>74.0683951910804</v>
      </c>
      <c r="Q216" s="206" t="n">
        <f aca="false">Theory_Rev!Q93</f>
        <v>74.0683951910804</v>
      </c>
      <c r="R21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3684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3689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3690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3691</v>
      </c>
      <c r="B219" s="44" t="s">
        <v>163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6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809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3692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3693</v>
      </c>
      <c r="B220" s="30" t="s">
        <v>2255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6" t="str">
        <f aca="false">IF(SUM(Gov_Map!$AG$5:$AG$7,Gov_Map!$AG$17:$AG$22,Gov_Map!$AG$62:$AG$64,Gov_Map!$AG$69:$AG$103,Gov_Map!$AG$687:$AG$688)&gt;0,"C",IF(SUM(Gov_Map!$AH$5:$AH$7,Gov_Map!$AH$17:$AH$22,Gov_Map!$AH$62:$AH$64,Gov_Map!$AH$69:$AH$103,Gov_Map!$AH$687:$AH$688)&gt;0,"B","A"))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809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MAX(Gov_Map!$AJ$5:$AJ$7,Gov_Map!$AJ$17:$AJ$22,Gov_Map!$AJ$62:$AJ$64,Gov_Map!$AJ$69:$AJ$103,Gov_Map!$AJ$687:$AJ$688)</f>
        <v>20261008</v>
      </c>
      <c r="W220" s="21" t="s">
        <v>3694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3695</v>
      </c>
      <c r="B221" s="30" t="s">
        <v>2255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6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809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3696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3697</v>
      </c>
      <c r="B222" s="30" t="s">
        <v>127</v>
      </c>
      <c r="C222" s="198" t="n">
        <f aca="false">DC_Cost!C41</f>
        <v>0.7</v>
      </c>
      <c r="D222" s="198" t="n">
        <f aca="false">DC_Cost!D41</f>
        <v>0.8</v>
      </c>
      <c r="E222" s="198" t="n">
        <f aca="false">DC_Cost!E41</f>
        <v>0.9</v>
      </c>
      <c r="F222" s="198" t="n">
        <f aca="false">DC_Cost!F41</f>
        <v>0.7</v>
      </c>
      <c r="G222" s="198" t="n">
        <f aca="false">DC_Cost!G41</f>
        <v>0.8</v>
      </c>
      <c r="H222" s="198" t="n">
        <f aca="false">DC_Cost!H41</f>
        <v>0.9</v>
      </c>
      <c r="I222" s="198" t="n">
        <f aca="false">DC_Cost!I41</f>
        <v>0.7</v>
      </c>
      <c r="J222" s="198" t="n">
        <f aca="false">DC_Cost!J41</f>
        <v>0.8</v>
      </c>
      <c r="K222" s="198" t="n">
        <f aca="false">DC_Cost!K41</f>
        <v>0.9</v>
      </c>
      <c r="L222" s="198" t="n">
        <f aca="false">DC_Cost!L41</f>
        <v>0.7</v>
      </c>
      <c r="M222" s="198" t="n">
        <f aca="false">DC_Cost!M41</f>
        <v>0.8</v>
      </c>
      <c r="N222" s="198" t="n">
        <f aca="false">DC_Cost!N41</f>
        <v>0.9</v>
      </c>
      <c r="O222" s="198" t="n">
        <f aca="false">DC_Cost!O41</f>
        <v>0.7</v>
      </c>
      <c r="P222" s="198" t="n">
        <f aca="false">DC_Cost!P41</f>
        <v>0.8</v>
      </c>
      <c r="Q222" s="198" t="n">
        <f aca="false">DC_Cost!Q41</f>
        <v>0.9</v>
      </c>
      <c r="R222" s="186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809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3698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3699</v>
      </c>
      <c r="B223" s="30" t="s">
        <v>138</v>
      </c>
      <c r="C223" s="216" t="n">
        <f aca="false">DC_Cost!C42</f>
        <v>0.06</v>
      </c>
      <c r="D223" s="216" t="n">
        <f aca="false">DC_Cost!D42</f>
        <v>0.08</v>
      </c>
      <c r="E223" s="216" t="n">
        <f aca="false">DC_Cost!E42</f>
        <v>0.1</v>
      </c>
      <c r="F223" s="216" t="n">
        <f aca="false">DC_Cost!F42</f>
        <v>0.06</v>
      </c>
      <c r="G223" s="216" t="n">
        <f aca="false">DC_Cost!G42</f>
        <v>0.08</v>
      </c>
      <c r="H223" s="216" t="n">
        <f aca="false">DC_Cost!H42</f>
        <v>0.1</v>
      </c>
      <c r="I223" s="216" t="n">
        <f aca="false">DC_Cost!I42</f>
        <v>0.06</v>
      </c>
      <c r="J223" s="216" t="n">
        <f aca="false">DC_Cost!J42</f>
        <v>0.08</v>
      </c>
      <c r="K223" s="216" t="n">
        <f aca="false">DC_Cost!K42</f>
        <v>0.1</v>
      </c>
      <c r="L223" s="216" t="n">
        <f aca="false">DC_Cost!L42</f>
        <v>0.06</v>
      </c>
      <c r="M223" s="216" t="n">
        <f aca="false">DC_Cost!M42</f>
        <v>0.08</v>
      </c>
      <c r="N223" s="216" t="n">
        <f aca="false">DC_Cost!N42</f>
        <v>0.1</v>
      </c>
      <c r="O223" s="216" t="n">
        <f aca="false">DC_Cost!O42</f>
        <v>0.06</v>
      </c>
      <c r="P223" s="216" t="n">
        <f aca="false">DC_Cost!P42</f>
        <v>0.08</v>
      </c>
      <c r="Q223" s="216" t="n">
        <f aca="false">DC_Cost!Q42</f>
        <v>0.1</v>
      </c>
      <c r="R223" s="186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809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3698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3700</v>
      </c>
      <c r="B224" s="30" t="s">
        <v>2255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6" t="str">
        <f aca="false">IF(SUM(Gov_Map!$AG$5:$AG$7,Gov_Map!$AG$17:$AG$22,Gov_Map!$AG$41:$AG$46,Gov_Map!$AG$62:$AG$64,Gov_Map!$AG$69:$AG$103,Gov_Map!$AG$605:$AG$611,Gov_Map!$AG$687:$AG$688)&gt;0,"C",IF(SUM(Gov_Map!$AH$5:$AH$7,Gov_Map!$AH$17:$AH$22,Gov_Map!$AH$41:$AH$46,Gov_Map!$AH$62:$AH$64,Gov_Map!$AH$69:$AH$103,Gov_Map!$AH$605:$AH$611,Gov_Map!$AH$687:$AH$688)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809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MAX(Gov_Map!$AJ$5:$AJ$7,Gov_Map!$AJ$17:$AJ$22,Gov_Map!$AJ$41:$AJ$46,Gov_Map!$AJ$62:$AJ$64,Gov_Map!$AJ$69:$AJ$103,Gov_Map!$AJ$605:$AJ$611,Gov_Map!$AJ$687:$AJ$688)</f>
        <v>20261008</v>
      </c>
      <c r="W224" s="21" t="s">
        <v>3701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3702</v>
      </c>
      <c r="B225" s="30" t="s">
        <v>2255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6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809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3703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3704</v>
      </c>
      <c r="B226" s="30" t="s">
        <v>2255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6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809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3459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3705</v>
      </c>
      <c r="B227" s="30" t="s">
        <v>2255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6" t="str">
        <f aca="false">IF(SUM(Gov_Map!$AG$5:$AG$7,Gov_Map!$AG$17:$AG$40,Gov_Map!$AG$59:$AG$61,Gov_Map!$AG$69:$AG$103,Gov_Map!$AG$687:$AG$688)&gt;0,"C",IF(SUM(Gov_Map!$AH$5:$AH$7,Gov_Map!$AH$17:$AH$40,Gov_Map!$AH$59:$AH$61,Gov_Map!$AH$69:$AH$103,Gov_Map!$AH$687:$AH$688)&gt;0,"B","A"))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809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MAX(Gov_Map!$AJ$5:$AJ$7,Gov_Map!$AJ$17:$AJ$40,Gov_Map!$AJ$59:$AJ$61,Gov_Map!$AJ$69:$AJ$103,Gov_Map!$AJ$687:$AJ$688)</f>
        <v>20261008</v>
      </c>
      <c r="W227" s="21" t="s">
        <v>3706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3707</v>
      </c>
      <c r="B228" s="30" t="s">
        <v>2255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6" t="str">
        <f aca="false">IF(SUM(Gov_Map!$AG$5:$AG$64,Gov_Map!$AG$69:$AG$103,Gov_Map!$AG$605:$AG$611,Gov_Map!$AG$687:$AG$688)&gt;0,"C",IF(SUM(Gov_Map!$AH$5:$AH$64,Gov_Map!$AH$69:$AH$103,Gov_Map!$AH$605:$AH$611,Gov_Map!$AH$687:$AH$688)&gt;0,"B","A"))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809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MAX(Gov_Map!$AJ$5:$AJ$64,Gov_Map!$AJ$69:$AJ$103,Gov_Map!$AJ$605:$AJ$611,Gov_Map!$AJ$687:$AJ$688)</f>
        <v>20261008</v>
      </c>
      <c r="W228" s="21" t="s">
        <v>3708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3709</v>
      </c>
      <c r="B229" s="30" t="s">
        <v>2255</v>
      </c>
      <c r="C229" s="217" t="n">
        <f aca="false">C220+C221+C228-C12</f>
        <v>0</v>
      </c>
      <c r="D229" s="217" t="n">
        <f aca="false">D220+D221+D228-D12</f>
        <v>0</v>
      </c>
      <c r="E229" s="217" t="n">
        <f aca="false">E220+E221+E228-E12</f>
        <v>0</v>
      </c>
      <c r="F229" s="217" t="n">
        <f aca="false">F220+F221+F228-F12</f>
        <v>0</v>
      </c>
      <c r="G229" s="217" t="n">
        <f aca="false">G220+G221+G228-G12</f>
        <v>0</v>
      </c>
      <c r="H229" s="217" t="n">
        <f aca="false">H220+H221+H228-H12</f>
        <v>0</v>
      </c>
      <c r="I229" s="217" t="n">
        <f aca="false">I220+I221+I228-I12</f>
        <v>0</v>
      </c>
      <c r="J229" s="217" t="n">
        <f aca="false">J220+J221+J228-J12</f>
        <v>0</v>
      </c>
      <c r="K229" s="217" t="n">
        <f aca="false">K220+K221+K228-K12</f>
        <v>0</v>
      </c>
      <c r="L229" s="217" t="n">
        <f aca="false">L220+L221+L228-L12</f>
        <v>0</v>
      </c>
      <c r="M229" s="217" t="n">
        <f aca="false">M220+M221+M228-M12</f>
        <v>0</v>
      </c>
      <c r="N229" s="217" t="n">
        <f aca="false">N220+N221+N228-N12</f>
        <v>0</v>
      </c>
      <c r="O229" s="217" t="n">
        <f aca="false">O220+O221+O228-O12</f>
        <v>0</v>
      </c>
      <c r="P229" s="217" t="n">
        <f aca="false">P220+P221+P228-P12</f>
        <v>0</v>
      </c>
      <c r="Q229" s="217" t="n">
        <f aca="false">Q220+Q221+Q228-Q12</f>
        <v>0</v>
      </c>
      <c r="R229" s="186" t="str">
        <f aca="false">IF(SUM(Gov_Map!$AG$5:$AG$103,Gov_Map!$AG$605:$AG$611,Gov_Map!$AG$687:$AG$688)&gt;0,"C",IF(SUM(Gov_Map!$AH$5:$AH$103,Gov_Map!$AH$605:$AH$611,Gov_Map!$AH$687:$AH$688)&gt;0,"B","A"))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809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MAX(Gov_Map!$AJ$5:$AJ$103,Gov_Map!$AJ$605:$AJ$611,Gov_Map!$AJ$687:$AJ$688)</f>
        <v>20261008</v>
      </c>
      <c r="W229" s="21" t="s">
        <v>3456</v>
      </c>
      <c r="X229" s="32" t="n">
        <f aca="false">IF(ISNUMBER(FIND("上限",S229)),1,0)</f>
        <v>0</v>
      </c>
      <c r="Y229" s="32" t="n">
        <v>0</v>
      </c>
      <c r="Z229" s="21" t="s">
        <v>3710</v>
      </c>
    </row>
    <row r="231" customFormat="false" ht="15" hidden="false" customHeight="true" outlineLevel="0" collapsed="false">
      <c r="A231" s="43" t="s">
        <v>3711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3712</v>
      </c>
    </row>
    <row r="233" customFormat="false" ht="15" hidden="false" customHeight="true" outlineLevel="0" collapsed="false">
      <c r="A233" s="44" t="s">
        <v>3713</v>
      </c>
      <c r="B233" s="30" t="s">
        <v>2255</v>
      </c>
      <c r="C233" s="218" t="n">
        <f aca="false">IF(ISNUMBER(C101),C101/IF_Util,C101)</f>
        <v>9.01816261524145</v>
      </c>
      <c r="D233" s="218" t="n">
        <f aca="false">IF(ISNUMBER(D101),D101/IF_Util,D101)</f>
        <v>9.01816261524145</v>
      </c>
      <c r="E233" s="218" t="n">
        <f aca="false">IF(ISNUMBER(E101),E101/IF_Util,E101)</f>
        <v>9.01816261524145</v>
      </c>
      <c r="F233" s="218" t="n">
        <f aca="false">IF(ISNUMBER(F101),F101/IF_Util,F101)</f>
        <v>39.9149458654348</v>
      </c>
      <c r="G233" s="218" t="n">
        <f aca="false">IF(ISNUMBER(G101),G101/IF_Util,G101)</f>
        <v>39.9149458654348</v>
      </c>
      <c r="H233" s="218" t="n">
        <f aca="false">IF(ISNUMBER(H101),H101/IF_Util,H101)</f>
        <v>39.9149458654348</v>
      </c>
      <c r="I233" s="218" t="n">
        <f aca="false">IF(ISNUMBER(I101),I101/IF_Util,I101)</f>
        <v>58.1112126202758</v>
      </c>
      <c r="J233" s="218" t="n">
        <f aca="false">IF(ISNUMBER(J101),J101/IF_Util,J101)</f>
        <v>58.1112126202758</v>
      </c>
      <c r="K233" s="218" t="n">
        <f aca="false">IF(ISNUMBER(K101),K101/IF_Util,K101)</f>
        <v>58.1112126202758</v>
      </c>
      <c r="L233" s="218" t="n">
        <f aca="false">IF(ISNUMBER(L101),L101/IF_Util,L101)</f>
        <v>83.8323560820467</v>
      </c>
      <c r="M233" s="218" t="n">
        <f aca="false">IF(ISNUMBER(M101),M101/IF_Util,M101)</f>
        <v>83.8323560820467</v>
      </c>
      <c r="N233" s="218" t="n">
        <f aca="false">IF(ISNUMBER(N101),N101/IF_Util,N101)</f>
        <v>83.8323560820467</v>
      </c>
      <c r="O233" s="218" t="n">
        <f aca="false">IF(ISNUMBER(O101),O101/IF_Util,O101)</f>
        <v>112.866447662578</v>
      </c>
      <c r="P233" s="218" t="n">
        <f aca="false">IF(ISNUMBER(P101),P101/IF_Util,P101)</f>
        <v>112.866447662578</v>
      </c>
      <c r="Q233" s="218" t="n">
        <f aca="false">IF(ISNUMBER(Q101),Q101/IF_Util,Q101)</f>
        <v>112.866447662578</v>
      </c>
      <c r="R23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3462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3552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3714</v>
      </c>
      <c r="B234" s="30" t="s">
        <v>2255</v>
      </c>
      <c r="C234" s="218" t="n">
        <f aca="false">C101</f>
        <v>5.41089756914487</v>
      </c>
      <c r="D234" s="218" t="n">
        <f aca="false">D101</f>
        <v>5.41089756914487</v>
      </c>
      <c r="E234" s="218" t="n">
        <f aca="false">E101</f>
        <v>5.41089756914487</v>
      </c>
      <c r="F234" s="218" t="n">
        <f aca="false">F101</f>
        <v>23.9489675192609</v>
      </c>
      <c r="G234" s="218" t="n">
        <f aca="false">G101</f>
        <v>23.9489675192609</v>
      </c>
      <c r="H234" s="218" t="n">
        <f aca="false">H101</f>
        <v>23.9489675192609</v>
      </c>
      <c r="I234" s="218" t="n">
        <f aca="false">I101</f>
        <v>34.8667275721655</v>
      </c>
      <c r="J234" s="218" t="n">
        <f aca="false">J101</f>
        <v>34.8667275721655</v>
      </c>
      <c r="K234" s="218" t="n">
        <f aca="false">K101</f>
        <v>34.8667275721655</v>
      </c>
      <c r="L234" s="218" t="n">
        <f aca="false">L101</f>
        <v>50.299413649228</v>
      </c>
      <c r="M234" s="218" t="n">
        <f aca="false">M101</f>
        <v>50.299413649228</v>
      </c>
      <c r="N234" s="218" t="n">
        <f aca="false">N101</f>
        <v>50.299413649228</v>
      </c>
      <c r="O234" s="218" t="n">
        <f aca="false">O101</f>
        <v>67.7198685975468</v>
      </c>
      <c r="P234" s="218" t="n">
        <f aca="false">P101</f>
        <v>67.7198685975468</v>
      </c>
      <c r="Q234" s="218" t="n">
        <f aca="false">Q101</f>
        <v>67.7198685975468</v>
      </c>
      <c r="R23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3487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3552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3715</v>
      </c>
      <c r="B235" s="30" t="s">
        <v>2255</v>
      </c>
      <c r="C235" s="218" t="n">
        <f aca="false">C207</f>
        <v>4.16601653965016</v>
      </c>
      <c r="D235" s="218" t="n">
        <f aca="false">D207</f>
        <v>4.16601653965016</v>
      </c>
      <c r="E235" s="218" t="n">
        <f aca="false">E207</f>
        <v>4.16601653965016</v>
      </c>
      <c r="F235" s="218" t="n">
        <f aca="false">F207</f>
        <v>19.2981660478862</v>
      </c>
      <c r="G235" s="218" t="n">
        <f aca="false">G207</f>
        <v>19.2981660478862</v>
      </c>
      <c r="H235" s="218" t="n">
        <f aca="false">H207</f>
        <v>19.2981660478862</v>
      </c>
      <c r="I235" s="218" t="n">
        <f aca="false">I207</f>
        <v>28.0957372251188</v>
      </c>
      <c r="J235" s="218" t="n">
        <f aca="false">J207</f>
        <v>28.0957372251188</v>
      </c>
      <c r="K235" s="218" t="n">
        <f aca="false">K207</f>
        <v>28.0957372251188</v>
      </c>
      <c r="L235" s="218" t="n">
        <f aca="false">L207</f>
        <v>40.6269205958863</v>
      </c>
      <c r="M235" s="218" t="n">
        <f aca="false">M207</f>
        <v>40.6269205958863</v>
      </c>
      <c r="N235" s="218" t="n">
        <f aca="false">N207</f>
        <v>40.6269205958863</v>
      </c>
      <c r="O235" s="218" t="n">
        <f aca="false">O207</f>
        <v>54.7307309163427</v>
      </c>
      <c r="P235" s="218" t="n">
        <f aca="false">P207</f>
        <v>54.7307309163427</v>
      </c>
      <c r="Q235" s="218" t="n">
        <f aca="false">Q207</f>
        <v>54.7307309163427</v>
      </c>
      <c r="R23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3672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3677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3716</v>
      </c>
      <c r="B236" s="30" t="s">
        <v>2255</v>
      </c>
      <c r="C236" s="218" t="n">
        <f aca="false">IF(ISNUMBER(C235),C235*CTL_PriceLife*CTL_Monetize,C235)</f>
        <v>4.16601653965016</v>
      </c>
      <c r="D236" s="218" t="n">
        <f aca="false">IF(ISNUMBER(D235),D235*CTL_PriceLife*CTL_Monetize,D235)</f>
        <v>4.16601653965016</v>
      </c>
      <c r="E236" s="218" t="n">
        <f aca="false">IF(ISNUMBER(E235),E235*CTL_PriceLife*CTL_Monetize,E235)</f>
        <v>4.16601653965016</v>
      </c>
      <c r="F236" s="218" t="n">
        <f aca="false">IF(ISNUMBER(F235),F235*CTL_PriceLife*CTL_Monetize,F235)</f>
        <v>19.2981660478862</v>
      </c>
      <c r="G236" s="218" t="n">
        <f aca="false">IF(ISNUMBER(G235),G235*CTL_PriceLife*CTL_Monetize,G235)</f>
        <v>19.2981660478862</v>
      </c>
      <c r="H236" s="218" t="n">
        <f aca="false">IF(ISNUMBER(H235),H235*CTL_PriceLife*CTL_Monetize,H235)</f>
        <v>19.2981660478862</v>
      </c>
      <c r="I236" s="218" t="n">
        <f aca="false">IF(ISNUMBER(I235),I235*CTL_PriceLife*CTL_Monetize,I235)</f>
        <v>28.0957372251188</v>
      </c>
      <c r="J236" s="218" t="n">
        <f aca="false">IF(ISNUMBER(J235),J235*CTL_PriceLife*CTL_Monetize,J235)</f>
        <v>28.0957372251188</v>
      </c>
      <c r="K236" s="218" t="n">
        <f aca="false">IF(ISNUMBER(K235),K235*CTL_PriceLife*CTL_Monetize,K235)</f>
        <v>28.0957372251188</v>
      </c>
      <c r="L236" s="218" t="n">
        <f aca="false">IF(ISNUMBER(L235),L235*CTL_PriceLife*CTL_Monetize,L235)</f>
        <v>40.6269205958863</v>
      </c>
      <c r="M236" s="218" t="n">
        <f aca="false">IF(ISNUMBER(M235),M235*CTL_PriceLife*CTL_Monetize,M235)</f>
        <v>40.6269205958863</v>
      </c>
      <c r="N236" s="218" t="n">
        <f aca="false">IF(ISNUMBER(N235),N235*CTL_PriceLife*CTL_Monetize,N235)</f>
        <v>40.6269205958863</v>
      </c>
      <c r="O236" s="218" t="n">
        <f aca="false">IF(ISNUMBER(O235),O235*CTL_PriceLife*CTL_Monetize,O235)</f>
        <v>54.7307309163427</v>
      </c>
      <c r="P236" s="218" t="n">
        <f aca="false">IF(ISNUMBER(P235),P235*CTL_PriceLife*CTL_Monetize,P235)</f>
        <v>54.7307309163427</v>
      </c>
      <c r="Q236" s="218" t="n">
        <f aca="false">IF(ISNUMBER(Q235),Q235*CTL_PriceLife*CTL_Monetize,Q235)</f>
        <v>54.7307309163427</v>
      </c>
      <c r="R23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3684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3685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3712</v>
      </c>
    </row>
    <row r="238" customFormat="false" ht="15" hidden="false" customHeight="true" outlineLevel="0" collapsed="false">
      <c r="A238" s="44" t="s">
        <v>3717</v>
      </c>
      <c r="B238" s="30" t="s">
        <v>2255</v>
      </c>
      <c r="C238" s="218" t="n">
        <f aca="false">IF(ISNUMBER(C119),C119/IF_Util,C119)</f>
        <v>54.0550477473896</v>
      </c>
      <c r="D238" s="218" t="n">
        <f aca="false">IF(ISNUMBER(D119),D119/IF_Util,D119)</f>
        <v>54.0550477473896</v>
      </c>
      <c r="E238" s="218" t="n">
        <f aca="false">IF(ISNUMBER(E119),E119/IF_Util,E119)</f>
        <v>54.0550477473896</v>
      </c>
      <c r="F238" s="218" t="n">
        <f aca="false">IF(ISNUMBER(F119),F119/IF_Util,F119)</f>
        <v>234.391419310805</v>
      </c>
      <c r="G238" s="218" t="n">
        <f aca="false">IF(ISNUMBER(G119),G119/IF_Util,G119)</f>
        <v>234.391419310805</v>
      </c>
      <c r="H238" s="218" t="n">
        <f aca="false">IF(ISNUMBER(H119),H119/IF_Util,H119)</f>
        <v>234.391419310805</v>
      </c>
      <c r="I238" s="218" t="n">
        <f aca="false">IF(ISNUMBER(I119),I119/IF_Util,I119)</f>
        <v>341.244847227354</v>
      </c>
      <c r="J238" s="218" t="n">
        <f aca="false">IF(ISNUMBER(J119),J119/IF_Util,J119)</f>
        <v>341.244847227354</v>
      </c>
      <c r="K238" s="218" t="n">
        <f aca="false">IF(ISNUMBER(K119),K119/IF_Util,K119)</f>
        <v>341.244847227354</v>
      </c>
      <c r="L238" s="218" t="n">
        <f aca="false">IF(ISNUMBER(L119),L119/IF_Util,L119)</f>
        <v>512.644173561644</v>
      </c>
      <c r="M238" s="218" t="n">
        <f aca="false">IF(ISNUMBER(M119),M119/IF_Util,M119)</f>
        <v>512.644173561644</v>
      </c>
      <c r="N238" s="218" t="n">
        <f aca="false">IF(ISNUMBER(N119),N119/IF_Util,N119)</f>
        <v>512.644173561644</v>
      </c>
      <c r="O238" s="218" t="n">
        <f aca="false">IF(ISNUMBER(O119),O119/IF_Util,O119)</f>
        <v>698.097656186125</v>
      </c>
      <c r="P238" s="218" t="n">
        <f aca="false">IF(ISNUMBER(P119),P119/IF_Util,P119)</f>
        <v>698.097656186125</v>
      </c>
      <c r="Q238" s="218" t="n">
        <f aca="false">IF(ISNUMBER(Q119),Q119/IF_Util,Q119)</f>
        <v>698.097656186125</v>
      </c>
      <c r="R23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3462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3552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3718</v>
      </c>
      <c r="B239" s="30" t="s">
        <v>2255</v>
      </c>
      <c r="C239" s="218" t="n">
        <f aca="false">C119</f>
        <v>32.4330286484338</v>
      </c>
      <c r="D239" s="218" t="n">
        <f aca="false">D119</f>
        <v>32.4330286484338</v>
      </c>
      <c r="E239" s="218" t="n">
        <f aca="false">E119</f>
        <v>32.4330286484338</v>
      </c>
      <c r="F239" s="218" t="n">
        <f aca="false">F119</f>
        <v>140.634851586483</v>
      </c>
      <c r="G239" s="218" t="n">
        <f aca="false">G119</f>
        <v>140.634851586483</v>
      </c>
      <c r="H239" s="218" t="n">
        <f aca="false">H119</f>
        <v>140.634851586483</v>
      </c>
      <c r="I239" s="218" t="n">
        <f aca="false">I119</f>
        <v>204.746908336412</v>
      </c>
      <c r="J239" s="218" t="n">
        <f aca="false">J119</f>
        <v>204.746908336412</v>
      </c>
      <c r="K239" s="218" t="n">
        <f aca="false">K119</f>
        <v>204.746908336412</v>
      </c>
      <c r="L239" s="218" t="n">
        <f aca="false">L119</f>
        <v>307.586504136986</v>
      </c>
      <c r="M239" s="218" t="n">
        <f aca="false">M119</f>
        <v>307.586504136986</v>
      </c>
      <c r="N239" s="218" t="n">
        <f aca="false">N119</f>
        <v>307.586504136986</v>
      </c>
      <c r="O239" s="218" t="n">
        <f aca="false">O119</f>
        <v>418.858593711675</v>
      </c>
      <c r="P239" s="218" t="n">
        <f aca="false">P119</f>
        <v>418.858593711675</v>
      </c>
      <c r="Q239" s="218" t="n">
        <f aca="false">Q119</f>
        <v>418.858593711675</v>
      </c>
      <c r="R23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3487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3552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3719</v>
      </c>
      <c r="B240" s="30" t="s">
        <v>2255</v>
      </c>
      <c r="C240" s="218" t="n">
        <f aca="false">C208</f>
        <v>25.8351210172715</v>
      </c>
      <c r="D240" s="218" t="n">
        <f aca="false">D208</f>
        <v>25.8351210172715</v>
      </c>
      <c r="E240" s="218" t="n">
        <f aca="false">E208</f>
        <v>25.8351210172715</v>
      </c>
      <c r="F240" s="218" t="n">
        <f aca="false">F208</f>
        <v>115.189801090007</v>
      </c>
      <c r="G240" s="218" t="n">
        <f aca="false">G208</f>
        <v>115.189801090007</v>
      </c>
      <c r="H240" s="218" t="n">
        <f aca="false">H208</f>
        <v>115.189801090007</v>
      </c>
      <c r="I240" s="218" t="n">
        <f aca="false">I208</f>
        <v>167.702069430222</v>
      </c>
      <c r="J240" s="218" t="n">
        <f aca="false">J208</f>
        <v>167.702069430222</v>
      </c>
      <c r="K240" s="218" t="n">
        <f aca="false">K208</f>
        <v>167.702069430222</v>
      </c>
      <c r="L240" s="218" t="n">
        <f aca="false">L208</f>
        <v>252.853670235275</v>
      </c>
      <c r="M240" s="218" t="n">
        <f aca="false">M208</f>
        <v>252.853670235275</v>
      </c>
      <c r="N240" s="218" t="n">
        <f aca="false">N208</f>
        <v>252.853670235275</v>
      </c>
      <c r="O240" s="218" t="n">
        <f aca="false">O208</f>
        <v>344.651879941955</v>
      </c>
      <c r="P240" s="218" t="n">
        <f aca="false">P208</f>
        <v>344.651879941955</v>
      </c>
      <c r="Q240" s="218" t="n">
        <f aca="false">Q208</f>
        <v>344.651879941955</v>
      </c>
      <c r="R24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3672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3677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3720</v>
      </c>
      <c r="B241" s="30" t="s">
        <v>2255</v>
      </c>
      <c r="C241" s="218" t="n">
        <f aca="false">IF(ISNUMBER(C240),C240*CTL_PriceLife*CTL_Monetize,C240)</f>
        <v>25.8351210172715</v>
      </c>
      <c r="D241" s="218" t="n">
        <f aca="false">IF(ISNUMBER(D240),D240*CTL_PriceLife*CTL_Monetize,D240)</f>
        <v>25.8351210172715</v>
      </c>
      <c r="E241" s="218" t="n">
        <f aca="false">IF(ISNUMBER(E240),E240*CTL_PriceLife*CTL_Monetize,E240)</f>
        <v>25.8351210172715</v>
      </c>
      <c r="F241" s="218" t="n">
        <f aca="false">IF(ISNUMBER(F240),F240*CTL_PriceLife*CTL_Monetize,F240)</f>
        <v>115.189801090007</v>
      </c>
      <c r="G241" s="218" t="n">
        <f aca="false">IF(ISNUMBER(G240),G240*CTL_PriceLife*CTL_Monetize,G240)</f>
        <v>115.189801090007</v>
      </c>
      <c r="H241" s="218" t="n">
        <f aca="false">IF(ISNUMBER(H240),H240*CTL_PriceLife*CTL_Monetize,H240)</f>
        <v>115.189801090007</v>
      </c>
      <c r="I241" s="218" t="n">
        <f aca="false">IF(ISNUMBER(I240),I240*CTL_PriceLife*CTL_Monetize,I240)</f>
        <v>167.702069430222</v>
      </c>
      <c r="J241" s="218" t="n">
        <f aca="false">IF(ISNUMBER(J240),J240*CTL_PriceLife*CTL_Monetize,J240)</f>
        <v>167.702069430222</v>
      </c>
      <c r="K241" s="218" t="n">
        <f aca="false">IF(ISNUMBER(K240),K240*CTL_PriceLife*CTL_Monetize,K240)</f>
        <v>167.702069430222</v>
      </c>
      <c r="L241" s="218" t="n">
        <f aca="false">IF(ISNUMBER(L240),L240*CTL_PriceLife*CTL_Monetize,L240)</f>
        <v>252.853670235275</v>
      </c>
      <c r="M241" s="218" t="n">
        <f aca="false">IF(ISNUMBER(M240),M240*CTL_PriceLife*CTL_Monetize,M240)</f>
        <v>252.853670235275</v>
      </c>
      <c r="N241" s="218" t="n">
        <f aca="false">IF(ISNUMBER(N240),N240*CTL_PriceLife*CTL_Monetize,N240)</f>
        <v>252.853670235275</v>
      </c>
      <c r="O241" s="218" t="n">
        <f aca="false">IF(ISNUMBER(O240),O240*CTL_PriceLife*CTL_Monetize,O240)</f>
        <v>344.651879941955</v>
      </c>
      <c r="P241" s="218" t="n">
        <f aca="false">IF(ISNUMBER(P240),P240*CTL_PriceLife*CTL_Monetize,P240)</f>
        <v>344.651879941955</v>
      </c>
      <c r="Q241" s="218" t="n">
        <f aca="false">IF(ISNUMBER(Q240),Q240*CTL_PriceLife*CTL_Monetize,Q240)</f>
        <v>344.651879941955</v>
      </c>
      <c r="R24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3684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3685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3712</v>
      </c>
    </row>
    <row r="243" customFormat="false" ht="15" hidden="false" customHeight="true" outlineLevel="0" collapsed="false">
      <c r="A243" s="44" t="s">
        <v>3721</v>
      </c>
      <c r="B243" s="30" t="s">
        <v>2255</v>
      </c>
      <c r="C243" s="218" t="n">
        <f aca="false">IF(ISNUMBER(C137),C137/IF_Util,C137)</f>
        <v>54.7143043397032</v>
      </c>
      <c r="D243" s="218" t="n">
        <f aca="false">IF(ISNUMBER(D137),D137/IF_Util,D137)</f>
        <v>54.7143043397032</v>
      </c>
      <c r="E243" s="218" t="n">
        <f aca="false">IF(ISNUMBER(E137),E137/IF_Util,E137)</f>
        <v>54.7143043397032</v>
      </c>
      <c r="F243" s="218" t="n">
        <f aca="false">IF(ISNUMBER(F137),F137/IF_Util,F137)</f>
        <v>239.200511965134</v>
      </c>
      <c r="G243" s="218" t="n">
        <f aca="false">IF(ISNUMBER(G137),G137/IF_Util,G137)</f>
        <v>239.200511965134</v>
      </c>
      <c r="H243" s="218" t="n">
        <f aca="false">IF(ISNUMBER(H137),H137/IF_Util,H137)</f>
        <v>239.200511965134</v>
      </c>
      <c r="I243" s="218" t="n">
        <f aca="false">IF(ISNUMBER(I137),I137/IF_Util,I137)</f>
        <v>315.458459045648</v>
      </c>
      <c r="J243" s="218" t="n">
        <f aca="false">IF(ISNUMBER(J137),J137/IF_Util,J137)</f>
        <v>315.458459045648</v>
      </c>
      <c r="K243" s="218" t="n">
        <f aca="false">IF(ISNUMBER(K137),K137/IF_Util,K137)</f>
        <v>315.458459045648</v>
      </c>
      <c r="L243" s="218" t="n">
        <f aca="false">IF(ISNUMBER(L137),L137/IF_Util,L137)</f>
        <v>559.477111268664</v>
      </c>
      <c r="M243" s="218" t="n">
        <f aca="false">IF(ISNUMBER(M137),M137/IF_Util,M137)</f>
        <v>559.477111268664</v>
      </c>
      <c r="N243" s="218" t="n">
        <f aca="false">IF(ISNUMBER(N137),N137/IF_Util,N137)</f>
        <v>559.477111268664</v>
      </c>
      <c r="O243" s="218" t="n">
        <f aca="false">IF(ISNUMBER(O137),O137/IF_Util,O137)</f>
        <v>791.675528243624</v>
      </c>
      <c r="P243" s="218" t="n">
        <f aca="false">IF(ISNUMBER(P137),P137/IF_Util,P137)</f>
        <v>791.675528243624</v>
      </c>
      <c r="Q243" s="218" t="n">
        <f aca="false">IF(ISNUMBER(Q137),Q137/IF_Util,Q137)</f>
        <v>791.675528243624</v>
      </c>
      <c r="R24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3462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3552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3722</v>
      </c>
      <c r="B244" s="30" t="s">
        <v>2255</v>
      </c>
      <c r="C244" s="218" t="n">
        <f aca="false">C137</f>
        <v>32.8285826038219</v>
      </c>
      <c r="D244" s="218" t="n">
        <f aca="false">D137</f>
        <v>32.8285826038219</v>
      </c>
      <c r="E244" s="218" t="n">
        <f aca="false">E137</f>
        <v>32.8285826038219</v>
      </c>
      <c r="F244" s="218" t="n">
        <f aca="false">F137</f>
        <v>143.52030717908</v>
      </c>
      <c r="G244" s="218" t="n">
        <f aca="false">G137</f>
        <v>143.52030717908</v>
      </c>
      <c r="H244" s="218" t="n">
        <f aca="false">H137</f>
        <v>143.52030717908</v>
      </c>
      <c r="I244" s="218" t="n">
        <f aca="false">I137</f>
        <v>189.275075427389</v>
      </c>
      <c r="J244" s="218" t="n">
        <f aca="false">J137</f>
        <v>189.275075427389</v>
      </c>
      <c r="K244" s="218" t="n">
        <f aca="false">K137</f>
        <v>189.275075427389</v>
      </c>
      <c r="L244" s="218" t="n">
        <f aca="false">L137</f>
        <v>335.686266761199</v>
      </c>
      <c r="M244" s="218" t="n">
        <f aca="false">M137</f>
        <v>335.686266761199</v>
      </c>
      <c r="N244" s="218" t="n">
        <f aca="false">N137</f>
        <v>335.686266761199</v>
      </c>
      <c r="O244" s="218" t="n">
        <f aca="false">O137</f>
        <v>475.005316946174</v>
      </c>
      <c r="P244" s="218" t="n">
        <f aca="false">P137</f>
        <v>475.005316946174</v>
      </c>
      <c r="Q244" s="218" t="n">
        <f aca="false">Q137</f>
        <v>475.005316946174</v>
      </c>
      <c r="R24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3487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3552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3723</v>
      </c>
      <c r="B245" s="30" t="s">
        <v>2255</v>
      </c>
      <c r="C245" s="218" t="n">
        <f aca="false">C209</f>
        <v>23.7314208542587</v>
      </c>
      <c r="D245" s="218" t="n">
        <f aca="false">D209</f>
        <v>23.7314208542587</v>
      </c>
      <c r="E245" s="218" t="n">
        <f aca="false">E209</f>
        <v>23.7314208542587</v>
      </c>
      <c r="F245" s="218" t="n">
        <f aca="false">F209</f>
        <v>112.606466107701</v>
      </c>
      <c r="G245" s="218" t="n">
        <f aca="false">G209</f>
        <v>112.606466107701</v>
      </c>
      <c r="H245" s="218" t="n">
        <f aca="false">H209</f>
        <v>112.606466107701</v>
      </c>
      <c r="I245" s="218" t="n">
        <f aca="false">I209</f>
        <v>146.896191352993</v>
      </c>
      <c r="J245" s="218" t="n">
        <f aca="false">J209</f>
        <v>146.896191352993</v>
      </c>
      <c r="K245" s="218" t="n">
        <f aca="false">K209</f>
        <v>146.896191352993</v>
      </c>
      <c r="L245" s="218" t="n">
        <f aca="false">L209</f>
        <v>266.938542515567</v>
      </c>
      <c r="M245" s="218" t="n">
        <f aca="false">M209</f>
        <v>266.938542515567</v>
      </c>
      <c r="N245" s="218" t="n">
        <f aca="false">N209</f>
        <v>266.938542515567</v>
      </c>
      <c r="O245" s="218" t="n">
        <f aca="false">O209</f>
        <v>379.622499261887</v>
      </c>
      <c r="P245" s="218" t="n">
        <f aca="false">P209</f>
        <v>379.622499261887</v>
      </c>
      <c r="Q245" s="218" t="n">
        <f aca="false">Q209</f>
        <v>379.622499261887</v>
      </c>
      <c r="R24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3672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3677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3724</v>
      </c>
      <c r="B246" s="30" t="s">
        <v>2255</v>
      </c>
      <c r="C246" s="218" t="n">
        <f aca="false">IF(ISNUMBER(C245),C245*CTL_PriceLife*CTL_Monetize,C245)</f>
        <v>23.7314208542587</v>
      </c>
      <c r="D246" s="218" t="n">
        <f aca="false">IF(ISNUMBER(D245),D245*CTL_PriceLife*CTL_Monetize,D245)</f>
        <v>23.7314208542587</v>
      </c>
      <c r="E246" s="218" t="n">
        <f aca="false">IF(ISNUMBER(E245),E245*CTL_PriceLife*CTL_Monetize,E245)</f>
        <v>23.7314208542587</v>
      </c>
      <c r="F246" s="218" t="n">
        <f aca="false">IF(ISNUMBER(F245),F245*CTL_PriceLife*CTL_Monetize,F245)</f>
        <v>112.606466107701</v>
      </c>
      <c r="G246" s="218" t="n">
        <f aca="false">IF(ISNUMBER(G245),G245*CTL_PriceLife*CTL_Monetize,G245)</f>
        <v>112.606466107701</v>
      </c>
      <c r="H246" s="218" t="n">
        <f aca="false">IF(ISNUMBER(H245),H245*CTL_PriceLife*CTL_Monetize,H245)</f>
        <v>112.606466107701</v>
      </c>
      <c r="I246" s="218" t="n">
        <f aca="false">IF(ISNUMBER(I245),I245*CTL_PriceLife*CTL_Monetize,I245)</f>
        <v>146.896191352993</v>
      </c>
      <c r="J246" s="218" t="n">
        <f aca="false">IF(ISNUMBER(J245),J245*CTL_PriceLife*CTL_Monetize,J245)</f>
        <v>146.896191352993</v>
      </c>
      <c r="K246" s="218" t="n">
        <f aca="false">IF(ISNUMBER(K245),K245*CTL_PriceLife*CTL_Monetize,K245)</f>
        <v>146.896191352993</v>
      </c>
      <c r="L246" s="218" t="n">
        <f aca="false">IF(ISNUMBER(L245),L245*CTL_PriceLife*CTL_Monetize,L245)</f>
        <v>266.938542515567</v>
      </c>
      <c r="M246" s="218" t="n">
        <f aca="false">IF(ISNUMBER(M245),M245*CTL_PriceLife*CTL_Monetize,M245)</f>
        <v>266.938542515567</v>
      </c>
      <c r="N246" s="218" t="n">
        <f aca="false">IF(ISNUMBER(N245),N245*CTL_PriceLife*CTL_Monetize,N245)</f>
        <v>266.938542515567</v>
      </c>
      <c r="O246" s="218" t="n">
        <f aca="false">IF(ISNUMBER(O245),O245*CTL_PriceLife*CTL_Monetize,O245)</f>
        <v>379.622499261887</v>
      </c>
      <c r="P246" s="218" t="n">
        <f aca="false">IF(ISNUMBER(P245),P245*CTL_PriceLife*CTL_Monetize,P245)</f>
        <v>379.622499261887</v>
      </c>
      <c r="Q246" s="218" t="n">
        <f aca="false">IF(ISNUMBER(Q245),Q245*CTL_PriceLife*CTL_Monetize,Q245)</f>
        <v>379.622499261887</v>
      </c>
      <c r="R24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3684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3685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3725</v>
      </c>
    </row>
    <row r="248" customFormat="false" ht="15" hidden="false" customHeight="true" outlineLevel="0" collapsed="false">
      <c r="A248" s="44" t="s">
        <v>3726</v>
      </c>
      <c r="B248" s="30" t="s">
        <v>2255</v>
      </c>
      <c r="C248" s="218" t="n">
        <f aca="false">IF(ISNUMBER(C143),C143/IF_Util,C143)</f>
        <v>11.1384003896262</v>
      </c>
      <c r="D248" s="218" t="n">
        <f aca="false">IF(ISNUMBER(D143),D143/IF_Util,D143)</f>
        <v>11.1384003896262</v>
      </c>
      <c r="E248" s="218" t="n">
        <f aca="false">IF(ISNUMBER(E143),E143/IF_Util,E143)</f>
        <v>11.1384003896262</v>
      </c>
      <c r="F248" s="218" t="n">
        <f aca="false">IF(ISNUMBER(F143),F143/IF_Util,F143)</f>
        <v>48.6122632267777</v>
      </c>
      <c r="G248" s="218" t="n">
        <f aca="false">IF(ISNUMBER(G143),G143/IF_Util,G143)</f>
        <v>48.6122632267777</v>
      </c>
      <c r="H248" s="218" t="n">
        <f aca="false">IF(ISNUMBER(H143),H143/IF_Util,H143)</f>
        <v>48.6122632267777</v>
      </c>
      <c r="I248" s="218" t="n">
        <f aca="false">IF(ISNUMBER(I143),I143/IF_Util,I143)</f>
        <v>66.8524420179894</v>
      </c>
      <c r="J248" s="218" t="n">
        <f aca="false">IF(ISNUMBER(J143),J143/IF_Util,J143)</f>
        <v>66.8524420179894</v>
      </c>
      <c r="K248" s="218" t="n">
        <f aca="false">IF(ISNUMBER(K143),K143/IF_Util,K143)</f>
        <v>66.8524420179894</v>
      </c>
      <c r="L248" s="218" t="n">
        <f aca="false">IF(ISNUMBER(L143),L143/IF_Util,L143)</f>
        <v>109.938064961812</v>
      </c>
      <c r="M248" s="218" t="n">
        <f aca="false">IF(ISNUMBER(M143),M143/IF_Util,M143)</f>
        <v>109.938064961812</v>
      </c>
      <c r="N248" s="218" t="n">
        <f aca="false">IF(ISNUMBER(N143),N143/IF_Util,N143)</f>
        <v>109.938064961812</v>
      </c>
      <c r="O248" s="218" t="n">
        <f aca="false">IF(ISNUMBER(O143),O143/IF_Util,O143)</f>
        <v>152.675211793649</v>
      </c>
      <c r="P248" s="218" t="n">
        <f aca="false">IF(ISNUMBER(P143),P143/IF_Util,P143)</f>
        <v>152.675211793649</v>
      </c>
      <c r="Q248" s="218" t="n">
        <f aca="false">IF(ISNUMBER(Q143),Q143/IF_Util,Q143)</f>
        <v>152.675211793649</v>
      </c>
      <c r="R24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3462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3592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3727</v>
      </c>
      <c r="B249" s="30" t="s">
        <v>2255</v>
      </c>
      <c r="C249" s="218" t="n">
        <f aca="false">C143</f>
        <v>6.68304023377571</v>
      </c>
      <c r="D249" s="218" t="n">
        <f aca="false">D143</f>
        <v>6.68304023377571</v>
      </c>
      <c r="E249" s="218" t="n">
        <f aca="false">E143</f>
        <v>6.68304023377571</v>
      </c>
      <c r="F249" s="218" t="n">
        <f aca="false">F143</f>
        <v>29.1673579360666</v>
      </c>
      <c r="G249" s="218" t="n">
        <f aca="false">G143</f>
        <v>29.1673579360666</v>
      </c>
      <c r="H249" s="218" t="n">
        <f aca="false">H143</f>
        <v>29.1673579360666</v>
      </c>
      <c r="I249" s="218" t="n">
        <f aca="false">I143</f>
        <v>40.1114652107936</v>
      </c>
      <c r="J249" s="218" t="n">
        <f aca="false">J143</f>
        <v>40.1114652107936</v>
      </c>
      <c r="K249" s="218" t="n">
        <f aca="false">K143</f>
        <v>40.1114652107936</v>
      </c>
      <c r="L249" s="218" t="n">
        <f aca="false">L143</f>
        <v>65.9628389770872</v>
      </c>
      <c r="M249" s="218" t="n">
        <f aca="false">M143</f>
        <v>65.9628389770872</v>
      </c>
      <c r="N249" s="218" t="n">
        <f aca="false">N143</f>
        <v>65.9628389770872</v>
      </c>
      <c r="O249" s="218" t="n">
        <f aca="false">O143</f>
        <v>91.6051270761894</v>
      </c>
      <c r="P249" s="218" t="n">
        <f aca="false">P143</f>
        <v>91.6051270761894</v>
      </c>
      <c r="Q249" s="218" t="n">
        <f aca="false">Q143</f>
        <v>91.6051270761894</v>
      </c>
      <c r="R24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3487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3592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3728</v>
      </c>
      <c r="B250" s="30" t="s">
        <v>2255</v>
      </c>
      <c r="C250" s="218" t="n">
        <f aca="false">C210</f>
        <v>5.01848956376868</v>
      </c>
      <c r="D250" s="218" t="n">
        <f aca="false">D210</f>
        <v>5.01848956376868</v>
      </c>
      <c r="E250" s="218" t="n">
        <f aca="false">E210</f>
        <v>5.01848956376868</v>
      </c>
      <c r="F250" s="218" t="n">
        <f aca="false">F210</f>
        <v>23.2784953027427</v>
      </c>
      <c r="G250" s="218" t="n">
        <f aca="false">G210</f>
        <v>23.2784953027427</v>
      </c>
      <c r="H250" s="218" t="n">
        <f aca="false">H210</f>
        <v>23.2784953027427</v>
      </c>
      <c r="I250" s="218" t="n">
        <f aca="false">I210</f>
        <v>31.7743161074204</v>
      </c>
      <c r="J250" s="218" t="n">
        <f aca="false">J210</f>
        <v>31.7743161074204</v>
      </c>
      <c r="K250" s="218" t="n">
        <f aca="false">K210</f>
        <v>31.7743161074204</v>
      </c>
      <c r="L250" s="218" t="n">
        <f aca="false">L210</f>
        <v>53.1540686485926</v>
      </c>
      <c r="M250" s="218" t="n">
        <f aca="false">M210</f>
        <v>53.1540686485926</v>
      </c>
      <c r="N250" s="218" t="n">
        <f aca="false">N210</f>
        <v>53.1540686485926</v>
      </c>
      <c r="O250" s="218" t="n">
        <f aca="false">O210</f>
        <v>74.0683951910804</v>
      </c>
      <c r="P250" s="218" t="n">
        <f aca="false">P210</f>
        <v>74.0683951910804</v>
      </c>
      <c r="Q250" s="218" t="n">
        <f aca="false">Q210</f>
        <v>74.0683951910804</v>
      </c>
      <c r="R25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3672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3681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3729</v>
      </c>
      <c r="B251" s="30" t="s">
        <v>2255</v>
      </c>
      <c r="C251" s="218" t="n">
        <f aca="false">IF(ISNUMBER(C250),C250*CTL_PriceLife*CTL_Monetize,C250)</f>
        <v>5.01848956376868</v>
      </c>
      <c r="D251" s="218" t="n">
        <f aca="false">IF(ISNUMBER(D250),D250*CTL_PriceLife*CTL_Monetize,D250)</f>
        <v>5.01848956376868</v>
      </c>
      <c r="E251" s="218" t="n">
        <f aca="false">IF(ISNUMBER(E250),E250*CTL_PriceLife*CTL_Monetize,E250)</f>
        <v>5.01848956376868</v>
      </c>
      <c r="F251" s="218" t="n">
        <f aca="false">IF(ISNUMBER(F250),F250*CTL_PriceLife*CTL_Monetize,F250)</f>
        <v>23.2784953027427</v>
      </c>
      <c r="G251" s="218" t="n">
        <f aca="false">IF(ISNUMBER(G250),G250*CTL_PriceLife*CTL_Monetize,G250)</f>
        <v>23.2784953027427</v>
      </c>
      <c r="H251" s="218" t="n">
        <f aca="false">IF(ISNUMBER(H250),H250*CTL_PriceLife*CTL_Monetize,H250)</f>
        <v>23.2784953027427</v>
      </c>
      <c r="I251" s="218" t="n">
        <f aca="false">IF(ISNUMBER(I250),I250*CTL_PriceLife*CTL_Monetize,I250)</f>
        <v>31.7743161074204</v>
      </c>
      <c r="J251" s="218" t="n">
        <f aca="false">IF(ISNUMBER(J250),J250*CTL_PriceLife*CTL_Monetize,J250)</f>
        <v>31.7743161074204</v>
      </c>
      <c r="K251" s="218" t="n">
        <f aca="false">IF(ISNUMBER(K250),K250*CTL_PriceLife*CTL_Monetize,K250)</f>
        <v>31.7743161074204</v>
      </c>
      <c r="L251" s="218" t="n">
        <f aca="false">IF(ISNUMBER(L250),L250*CTL_PriceLife*CTL_Monetize,L250)</f>
        <v>53.1540686485926</v>
      </c>
      <c r="M251" s="218" t="n">
        <f aca="false">IF(ISNUMBER(M250),M250*CTL_PriceLife*CTL_Monetize,M250)</f>
        <v>53.1540686485926</v>
      </c>
      <c r="N251" s="218" t="n">
        <f aca="false">IF(ISNUMBER(N250),N250*CTL_PriceLife*CTL_Monetize,N250)</f>
        <v>53.1540686485926</v>
      </c>
      <c r="O251" s="218" t="n">
        <f aca="false">IF(ISNUMBER(O250),O250*CTL_PriceLife*CTL_Monetize,O250)</f>
        <v>74.0683951910804</v>
      </c>
      <c r="P251" s="218" t="n">
        <f aca="false">IF(ISNUMBER(P250),P250*CTL_PriceLife*CTL_Monetize,P250)</f>
        <v>74.0683951910804</v>
      </c>
      <c r="Q251" s="218" t="n">
        <f aca="false">IF(ISNUMBER(Q250),Q250*CTL_PriceLife*CTL_Monetize,Q250)</f>
        <v>74.0683951910804</v>
      </c>
      <c r="R25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3684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3689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3730</v>
      </c>
    </row>
    <row r="253" customFormat="false" ht="15" hidden="false" customHeight="true" outlineLevel="0" collapsed="false">
      <c r="A253" s="44" t="s">
        <v>3731</v>
      </c>
      <c r="B253" s="30" t="s">
        <v>2255</v>
      </c>
      <c r="C253" s="218" t="n">
        <f aca="false">IF(ISNUMBER(C102),C102/IF_Util,C102)</f>
        <v>9.01816261524145</v>
      </c>
      <c r="D253" s="218" t="n">
        <f aca="false">IF(ISNUMBER(D102),D102/IF_Util,D102)</f>
        <v>9.01816261524145</v>
      </c>
      <c r="E253" s="218" t="n">
        <f aca="false">IF(ISNUMBER(E102),E102/IF_Util,E102)</f>
        <v>9.01816261524145</v>
      </c>
      <c r="F253" s="218" t="n">
        <f aca="false">IF(ISNUMBER(F102),F102/IF_Util,F102)</f>
        <v>39.9149458654348</v>
      </c>
      <c r="G253" s="218" t="n">
        <f aca="false">IF(ISNUMBER(G102),G102/IF_Util,G102)</f>
        <v>39.9149458654348</v>
      </c>
      <c r="H253" s="218" t="n">
        <f aca="false">IF(ISNUMBER(H102),H102/IF_Util,H102)</f>
        <v>39.9149458654348</v>
      </c>
      <c r="I253" s="218" t="n">
        <f aca="false">IF(ISNUMBER(I102),I102/IF_Util,I102)</f>
        <v>58.1112126202758</v>
      </c>
      <c r="J253" s="218" t="n">
        <f aca="false">IF(ISNUMBER(J102),J102/IF_Util,J102)</f>
        <v>58.1112126202758</v>
      </c>
      <c r="K253" s="218" t="n">
        <f aca="false">IF(ISNUMBER(K102),K102/IF_Util,K102)</f>
        <v>58.1112126202758</v>
      </c>
      <c r="L253" s="218" t="n">
        <f aca="false">IF(ISNUMBER(L102),L102/IF_Util,L102)</f>
        <v>83.8323560820466</v>
      </c>
      <c r="M253" s="218" t="n">
        <f aca="false">IF(ISNUMBER(M102),M102/IF_Util,M102)</f>
        <v>83.8323560820466</v>
      </c>
      <c r="N253" s="218" t="n">
        <f aca="false">IF(ISNUMBER(N102),N102/IF_Util,N102)</f>
        <v>83.8323560820466</v>
      </c>
      <c r="O253" s="218" t="n">
        <f aca="false">IF(ISNUMBER(O102),O102/IF_Util,O102)</f>
        <v>112.866447662578</v>
      </c>
      <c r="P253" s="218" t="n">
        <f aca="false">IF(ISNUMBER(P102),P102/IF_Util,P102)</f>
        <v>112.866447662578</v>
      </c>
      <c r="Q253" s="218" t="n">
        <f aca="false">IF(ISNUMBER(Q102),Q102/IF_Util,Q102)</f>
        <v>112.866447662578</v>
      </c>
      <c r="R25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3462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3554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3732</v>
      </c>
      <c r="B254" s="30" t="s">
        <v>2255</v>
      </c>
      <c r="C254" s="218" t="n">
        <f aca="false">C102</f>
        <v>5.41089756914487</v>
      </c>
      <c r="D254" s="218" t="n">
        <f aca="false">D102</f>
        <v>5.41089756914487</v>
      </c>
      <c r="E254" s="218" t="n">
        <f aca="false">E102</f>
        <v>5.41089756914487</v>
      </c>
      <c r="F254" s="218" t="n">
        <f aca="false">F102</f>
        <v>23.9489675192609</v>
      </c>
      <c r="G254" s="218" t="n">
        <f aca="false">G102</f>
        <v>23.9489675192609</v>
      </c>
      <c r="H254" s="218" t="n">
        <f aca="false">H102</f>
        <v>23.9489675192609</v>
      </c>
      <c r="I254" s="218" t="n">
        <f aca="false">I102</f>
        <v>34.8667275721655</v>
      </c>
      <c r="J254" s="218" t="n">
        <f aca="false">J102</f>
        <v>34.8667275721655</v>
      </c>
      <c r="K254" s="218" t="n">
        <f aca="false">K102</f>
        <v>34.8667275721655</v>
      </c>
      <c r="L254" s="218" t="n">
        <f aca="false">L102</f>
        <v>50.299413649228</v>
      </c>
      <c r="M254" s="218" t="n">
        <f aca="false">M102</f>
        <v>50.299413649228</v>
      </c>
      <c r="N254" s="218" t="n">
        <f aca="false">N102</f>
        <v>50.299413649228</v>
      </c>
      <c r="O254" s="218" t="n">
        <f aca="false">O102</f>
        <v>67.7198685975468</v>
      </c>
      <c r="P254" s="218" t="n">
        <f aca="false">P102</f>
        <v>67.7198685975468</v>
      </c>
      <c r="Q254" s="218" t="n">
        <f aca="false">Q102</f>
        <v>67.7198685975468</v>
      </c>
      <c r="R25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3487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3554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3733</v>
      </c>
      <c r="B255" s="30" t="s">
        <v>2255</v>
      </c>
      <c r="C255" s="197" t="n">
        <f aca="false">IF(ISNUMBER(Theory_Rev_Prod!C10),Theory_Rev_Prod!C10*INDEX(B4_FrontRef,1,1)/1000000000,Theory_Rev_Prod!C10)</f>
        <v>4.16601653965016</v>
      </c>
      <c r="D255" s="197" t="n">
        <f aca="false">IF(ISNUMBER(Theory_Rev_Prod!D10),Theory_Rev_Prod!D10*INDEX(B4_FrontRef,1,1)/1000000000,Theory_Rev_Prod!D10)</f>
        <v>4.16601653965016</v>
      </c>
      <c r="E255" s="197" t="n">
        <f aca="false">IF(ISNUMBER(Theory_Rev_Prod!E10),Theory_Rev_Prod!E10*INDEX(B4_FrontRef,1,1)/1000000000,Theory_Rev_Prod!E10)</f>
        <v>4.16601653965016</v>
      </c>
      <c r="F255" s="197" t="n">
        <f aca="false">IF(ISNUMBER(Theory_Rev_Prod!F10),Theory_Rev_Prod!F10*INDEX(B4_FrontRef,1,1)/1000000000,Theory_Rev_Prod!F10)</f>
        <v>19.2981660478861</v>
      </c>
      <c r="G255" s="197" t="n">
        <f aca="false">IF(ISNUMBER(Theory_Rev_Prod!G10),Theory_Rev_Prod!G10*INDEX(B4_FrontRef,1,1)/1000000000,Theory_Rev_Prod!G10)</f>
        <v>19.2981660478861</v>
      </c>
      <c r="H255" s="197" t="n">
        <f aca="false">IF(ISNUMBER(Theory_Rev_Prod!H10),Theory_Rev_Prod!H10*INDEX(B4_FrontRef,1,1)/1000000000,Theory_Rev_Prod!H10)</f>
        <v>19.2981660478861</v>
      </c>
      <c r="I255" s="197" t="n">
        <f aca="false">IF(ISNUMBER(Theory_Rev_Prod!I10),Theory_Rev_Prod!I10*INDEX(B4_FrontRef,1,1)/1000000000,Theory_Rev_Prod!I10)</f>
        <v>28.0957372251188</v>
      </c>
      <c r="J255" s="197" t="n">
        <f aca="false">IF(ISNUMBER(Theory_Rev_Prod!J10),Theory_Rev_Prod!J10*INDEX(B4_FrontRef,1,1)/1000000000,Theory_Rev_Prod!J10)</f>
        <v>28.0957372251188</v>
      </c>
      <c r="K255" s="197" t="n">
        <f aca="false">IF(ISNUMBER(Theory_Rev_Prod!K10),Theory_Rev_Prod!K10*INDEX(B4_FrontRef,1,1)/1000000000,Theory_Rev_Prod!K10)</f>
        <v>28.0957372251188</v>
      </c>
      <c r="L255" s="197" t="n">
        <f aca="false">IF(ISNUMBER(Theory_Rev_Prod!L10),Theory_Rev_Prod!L10*INDEX(B4_FrontRef,1,1)/1000000000,Theory_Rev_Prod!L10)</f>
        <v>40.6269205958863</v>
      </c>
      <c r="M255" s="197" t="n">
        <f aca="false">IF(ISNUMBER(Theory_Rev_Prod!M10),Theory_Rev_Prod!M10*INDEX(B4_FrontRef,1,1)/1000000000,Theory_Rev_Prod!M10)</f>
        <v>40.6269205958863</v>
      </c>
      <c r="N255" s="197" t="n">
        <f aca="false">IF(ISNUMBER(Theory_Rev_Prod!N10),Theory_Rev_Prod!N10*INDEX(B4_FrontRef,1,1)/1000000000,Theory_Rev_Prod!N10)</f>
        <v>40.6269205958863</v>
      </c>
      <c r="O255" s="197" t="n">
        <f aca="false">IF(ISNUMBER(Theory_Rev_Prod!O10),Theory_Rev_Prod!O10*INDEX(B4_FrontRef,1,1)/1000000000,Theory_Rev_Prod!O10)</f>
        <v>54.7307309163427</v>
      </c>
      <c r="P255" s="197" t="n">
        <f aca="false">IF(ISNUMBER(Theory_Rev_Prod!P10),Theory_Rev_Prod!P10*INDEX(B4_FrontRef,1,1)/1000000000,Theory_Rev_Prod!P10)</f>
        <v>54.7307309163427</v>
      </c>
      <c r="Q255" s="197" t="n">
        <f aca="false">IF(ISNUMBER(Theory_Rev_Prod!Q10),Theory_Rev_Prod!Q10*INDEX(B4_FrontRef,1,1)/1000000000,Theory_Rev_Prod!Q10)</f>
        <v>54.7307309163427</v>
      </c>
      <c r="R25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3672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3734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3735</v>
      </c>
      <c r="B256" s="30" t="s">
        <v>2255</v>
      </c>
      <c r="C256" s="218" t="n">
        <f aca="false">IF(ISNUMBER(C255),C255*CTL_PriceLife*CTL_Monetize,C255)</f>
        <v>4.16601653965016</v>
      </c>
      <c r="D256" s="218" t="n">
        <f aca="false">IF(ISNUMBER(D255),D255*CTL_PriceLife*CTL_Monetize,D255)</f>
        <v>4.16601653965016</v>
      </c>
      <c r="E256" s="218" t="n">
        <f aca="false">IF(ISNUMBER(E255),E255*CTL_PriceLife*CTL_Monetize,E255)</f>
        <v>4.16601653965016</v>
      </c>
      <c r="F256" s="218" t="n">
        <f aca="false">IF(ISNUMBER(F255),F255*CTL_PriceLife*CTL_Monetize,F255)</f>
        <v>19.2981660478861</v>
      </c>
      <c r="G256" s="218" t="n">
        <f aca="false">IF(ISNUMBER(G255),G255*CTL_PriceLife*CTL_Monetize,G255)</f>
        <v>19.2981660478861</v>
      </c>
      <c r="H256" s="218" t="n">
        <f aca="false">IF(ISNUMBER(H255),H255*CTL_PriceLife*CTL_Monetize,H255)</f>
        <v>19.2981660478861</v>
      </c>
      <c r="I256" s="218" t="n">
        <f aca="false">IF(ISNUMBER(I255),I255*CTL_PriceLife*CTL_Monetize,I255)</f>
        <v>28.0957372251188</v>
      </c>
      <c r="J256" s="218" t="n">
        <f aca="false">IF(ISNUMBER(J255),J255*CTL_PriceLife*CTL_Monetize,J255)</f>
        <v>28.0957372251188</v>
      </c>
      <c r="K256" s="218" t="n">
        <f aca="false">IF(ISNUMBER(K255),K255*CTL_PriceLife*CTL_Monetize,K255)</f>
        <v>28.0957372251188</v>
      </c>
      <c r="L256" s="218" t="n">
        <f aca="false">IF(ISNUMBER(L255),L255*CTL_PriceLife*CTL_Monetize,L255)</f>
        <v>40.6269205958863</v>
      </c>
      <c r="M256" s="218" t="n">
        <f aca="false">IF(ISNUMBER(M255),M255*CTL_PriceLife*CTL_Monetize,M255)</f>
        <v>40.6269205958863</v>
      </c>
      <c r="N256" s="218" t="n">
        <f aca="false">IF(ISNUMBER(N255),N255*CTL_PriceLife*CTL_Monetize,N255)</f>
        <v>40.6269205958863</v>
      </c>
      <c r="O256" s="218" t="n">
        <f aca="false">IF(ISNUMBER(O255),O255*CTL_PriceLife*CTL_Monetize,O255)</f>
        <v>54.7307309163427</v>
      </c>
      <c r="P256" s="218" t="n">
        <f aca="false">IF(ISNUMBER(P255),P255*CTL_PriceLife*CTL_Monetize,P255)</f>
        <v>54.7307309163427</v>
      </c>
      <c r="Q256" s="218" t="n">
        <f aca="false">IF(ISNUMBER(Q255),Q255*CTL_PriceLife*CTL_Monetize,Q255)</f>
        <v>54.7307309163427</v>
      </c>
      <c r="R25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3684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3736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3730</v>
      </c>
    </row>
    <row r="258" customFormat="false" ht="15" hidden="false" customHeight="true" outlineLevel="0" collapsed="false">
      <c r="A258" s="44" t="s">
        <v>3737</v>
      </c>
      <c r="B258" s="30" t="s">
        <v>2255</v>
      </c>
      <c r="C258" s="218" t="n">
        <f aca="false">IF(ISNUMBER(C120),C120/IF_Util,C120)</f>
        <v>54.0550477473896</v>
      </c>
      <c r="D258" s="218" t="n">
        <f aca="false">IF(ISNUMBER(D120),D120/IF_Util,D120)</f>
        <v>54.0550477473896</v>
      </c>
      <c r="E258" s="218" t="n">
        <f aca="false">IF(ISNUMBER(E120),E120/IF_Util,E120)</f>
        <v>54.0550477473896</v>
      </c>
      <c r="F258" s="218" t="n">
        <f aca="false">IF(ISNUMBER(F120),F120/IF_Util,F120)</f>
        <v>234.391419310805</v>
      </c>
      <c r="G258" s="218" t="n">
        <f aca="false">IF(ISNUMBER(G120),G120/IF_Util,G120)</f>
        <v>234.391419310805</v>
      </c>
      <c r="H258" s="218" t="n">
        <f aca="false">IF(ISNUMBER(H120),H120/IF_Util,H120)</f>
        <v>234.391419310805</v>
      </c>
      <c r="I258" s="218" t="n">
        <f aca="false">IF(ISNUMBER(I120),I120/IF_Util,I120)</f>
        <v>341.244847227353</v>
      </c>
      <c r="J258" s="218" t="n">
        <f aca="false">IF(ISNUMBER(J120),J120/IF_Util,J120)</f>
        <v>341.244847227353</v>
      </c>
      <c r="K258" s="218" t="n">
        <f aca="false">IF(ISNUMBER(K120),K120/IF_Util,K120)</f>
        <v>341.244847227353</v>
      </c>
      <c r="L258" s="218" t="n">
        <f aca="false">IF(ISNUMBER(L120),L120/IF_Util,L120)</f>
        <v>512.644173561644</v>
      </c>
      <c r="M258" s="218" t="n">
        <f aca="false">IF(ISNUMBER(M120),M120/IF_Util,M120)</f>
        <v>512.644173561644</v>
      </c>
      <c r="N258" s="218" t="n">
        <f aca="false">IF(ISNUMBER(N120),N120/IF_Util,N120)</f>
        <v>512.644173561644</v>
      </c>
      <c r="O258" s="218" t="n">
        <f aca="false">IF(ISNUMBER(O120),O120/IF_Util,O120)</f>
        <v>698.097656186124</v>
      </c>
      <c r="P258" s="218" t="n">
        <f aca="false">IF(ISNUMBER(P120),P120/IF_Util,P120)</f>
        <v>698.097656186124</v>
      </c>
      <c r="Q258" s="218" t="n">
        <f aca="false">IF(ISNUMBER(Q120),Q120/IF_Util,Q120)</f>
        <v>698.097656186124</v>
      </c>
      <c r="R25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3462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3554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3738</v>
      </c>
      <c r="B259" s="30" t="s">
        <v>2255</v>
      </c>
      <c r="C259" s="218" t="n">
        <f aca="false">C120</f>
        <v>32.4330286484338</v>
      </c>
      <c r="D259" s="218" t="n">
        <f aca="false">D120</f>
        <v>32.4330286484338</v>
      </c>
      <c r="E259" s="218" t="n">
        <f aca="false">E120</f>
        <v>32.4330286484338</v>
      </c>
      <c r="F259" s="218" t="n">
        <f aca="false">F120</f>
        <v>140.634851586483</v>
      </c>
      <c r="G259" s="218" t="n">
        <f aca="false">G120</f>
        <v>140.634851586483</v>
      </c>
      <c r="H259" s="218" t="n">
        <f aca="false">H120</f>
        <v>140.634851586483</v>
      </c>
      <c r="I259" s="218" t="n">
        <f aca="false">I120</f>
        <v>204.746908336412</v>
      </c>
      <c r="J259" s="218" t="n">
        <f aca="false">J120</f>
        <v>204.746908336412</v>
      </c>
      <c r="K259" s="218" t="n">
        <f aca="false">K120</f>
        <v>204.746908336412</v>
      </c>
      <c r="L259" s="218" t="n">
        <f aca="false">L120</f>
        <v>307.586504136986</v>
      </c>
      <c r="M259" s="218" t="n">
        <f aca="false">M120</f>
        <v>307.586504136986</v>
      </c>
      <c r="N259" s="218" t="n">
        <f aca="false">N120</f>
        <v>307.586504136986</v>
      </c>
      <c r="O259" s="218" t="n">
        <f aca="false">O120</f>
        <v>418.858593711675</v>
      </c>
      <c r="P259" s="218" t="n">
        <f aca="false">P120</f>
        <v>418.858593711675</v>
      </c>
      <c r="Q259" s="218" t="n">
        <f aca="false">Q120</f>
        <v>418.858593711675</v>
      </c>
      <c r="R25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3487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3554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3739</v>
      </c>
      <c r="B260" s="30" t="s">
        <v>2255</v>
      </c>
      <c r="C260" s="197" t="n">
        <f aca="false">IF(ISNUMBER(Theory_Rev_Prod!C28),Theory_Rev_Prod!C28*INDEX(B4_FrontRef,1,2)/1000000000,Theory_Rev_Prod!C28)</f>
        <v>25.8351210172714</v>
      </c>
      <c r="D260" s="197" t="n">
        <f aca="false">IF(ISNUMBER(Theory_Rev_Prod!D28),Theory_Rev_Prod!D28*INDEX(B4_FrontRef,1,2)/1000000000,Theory_Rev_Prod!D28)</f>
        <v>25.8351210172714</v>
      </c>
      <c r="E260" s="197" t="n">
        <f aca="false">IF(ISNUMBER(Theory_Rev_Prod!E28),Theory_Rev_Prod!E28*INDEX(B4_FrontRef,1,2)/1000000000,Theory_Rev_Prod!E28)</f>
        <v>25.8351210172714</v>
      </c>
      <c r="F260" s="197" t="n">
        <f aca="false">IF(ISNUMBER(Theory_Rev_Prod!F28),Theory_Rev_Prod!F28*INDEX(B4_FrontRef,1,2)/1000000000,Theory_Rev_Prod!F28)</f>
        <v>115.189801090007</v>
      </c>
      <c r="G260" s="197" t="n">
        <f aca="false">IF(ISNUMBER(Theory_Rev_Prod!G28),Theory_Rev_Prod!G28*INDEX(B4_FrontRef,1,2)/1000000000,Theory_Rev_Prod!G28)</f>
        <v>115.189801090007</v>
      </c>
      <c r="H260" s="197" t="n">
        <f aca="false">IF(ISNUMBER(Theory_Rev_Prod!H28),Theory_Rev_Prod!H28*INDEX(B4_FrontRef,1,2)/1000000000,Theory_Rev_Prod!H28)</f>
        <v>115.189801090007</v>
      </c>
      <c r="I260" s="197" t="n">
        <f aca="false">IF(ISNUMBER(Theory_Rev_Prod!I28),Theory_Rev_Prod!I28*INDEX(B4_FrontRef,1,2)/1000000000,Theory_Rev_Prod!I28)</f>
        <v>167.702069430222</v>
      </c>
      <c r="J260" s="197" t="n">
        <f aca="false">IF(ISNUMBER(Theory_Rev_Prod!J28),Theory_Rev_Prod!J28*INDEX(B4_FrontRef,1,2)/1000000000,Theory_Rev_Prod!J28)</f>
        <v>167.702069430222</v>
      </c>
      <c r="K260" s="197" t="n">
        <f aca="false">IF(ISNUMBER(Theory_Rev_Prod!K28),Theory_Rev_Prod!K28*INDEX(B4_FrontRef,1,2)/1000000000,Theory_Rev_Prod!K28)</f>
        <v>167.702069430222</v>
      </c>
      <c r="L260" s="197" t="n">
        <f aca="false">IF(ISNUMBER(Theory_Rev_Prod!L28),Theory_Rev_Prod!L28*INDEX(B4_FrontRef,1,2)/1000000000,Theory_Rev_Prod!L28)</f>
        <v>252.853670235275</v>
      </c>
      <c r="M260" s="197" t="n">
        <f aca="false">IF(ISNUMBER(Theory_Rev_Prod!M28),Theory_Rev_Prod!M28*INDEX(B4_FrontRef,1,2)/1000000000,Theory_Rev_Prod!M28)</f>
        <v>252.853670235275</v>
      </c>
      <c r="N260" s="197" t="n">
        <f aca="false">IF(ISNUMBER(Theory_Rev_Prod!N28),Theory_Rev_Prod!N28*INDEX(B4_FrontRef,1,2)/1000000000,Theory_Rev_Prod!N28)</f>
        <v>252.853670235275</v>
      </c>
      <c r="O260" s="197" t="n">
        <f aca="false">IF(ISNUMBER(Theory_Rev_Prod!O28),Theory_Rev_Prod!O28*INDEX(B4_FrontRef,1,2)/1000000000,Theory_Rev_Prod!O28)</f>
        <v>344.651879941955</v>
      </c>
      <c r="P260" s="197" t="n">
        <f aca="false">IF(ISNUMBER(Theory_Rev_Prod!P28),Theory_Rev_Prod!P28*INDEX(B4_FrontRef,1,2)/1000000000,Theory_Rev_Prod!P28)</f>
        <v>344.651879941955</v>
      </c>
      <c r="Q260" s="197" t="n">
        <f aca="false">IF(ISNUMBER(Theory_Rev_Prod!Q28),Theory_Rev_Prod!Q28*INDEX(B4_FrontRef,1,2)/1000000000,Theory_Rev_Prod!Q28)</f>
        <v>344.651879941955</v>
      </c>
      <c r="R26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3672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3734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3740</v>
      </c>
      <c r="B261" s="30" t="s">
        <v>2255</v>
      </c>
      <c r="C261" s="218" t="n">
        <f aca="false">IF(ISNUMBER(C260),C260*CTL_PriceLife*CTL_Monetize,C260)</f>
        <v>25.8351210172714</v>
      </c>
      <c r="D261" s="218" t="n">
        <f aca="false">IF(ISNUMBER(D260),D260*CTL_PriceLife*CTL_Monetize,D260)</f>
        <v>25.8351210172714</v>
      </c>
      <c r="E261" s="218" t="n">
        <f aca="false">IF(ISNUMBER(E260),E260*CTL_PriceLife*CTL_Monetize,E260)</f>
        <v>25.8351210172714</v>
      </c>
      <c r="F261" s="218" t="n">
        <f aca="false">IF(ISNUMBER(F260),F260*CTL_PriceLife*CTL_Monetize,F260)</f>
        <v>115.189801090007</v>
      </c>
      <c r="G261" s="218" t="n">
        <f aca="false">IF(ISNUMBER(G260),G260*CTL_PriceLife*CTL_Monetize,G260)</f>
        <v>115.189801090007</v>
      </c>
      <c r="H261" s="218" t="n">
        <f aca="false">IF(ISNUMBER(H260),H260*CTL_PriceLife*CTL_Monetize,H260)</f>
        <v>115.189801090007</v>
      </c>
      <c r="I261" s="218" t="n">
        <f aca="false">IF(ISNUMBER(I260),I260*CTL_PriceLife*CTL_Monetize,I260)</f>
        <v>167.702069430222</v>
      </c>
      <c r="J261" s="218" t="n">
        <f aca="false">IF(ISNUMBER(J260),J260*CTL_PriceLife*CTL_Monetize,J260)</f>
        <v>167.702069430222</v>
      </c>
      <c r="K261" s="218" t="n">
        <f aca="false">IF(ISNUMBER(K260),K260*CTL_PriceLife*CTL_Monetize,K260)</f>
        <v>167.702069430222</v>
      </c>
      <c r="L261" s="218" t="n">
        <f aca="false">IF(ISNUMBER(L260),L260*CTL_PriceLife*CTL_Monetize,L260)</f>
        <v>252.853670235275</v>
      </c>
      <c r="M261" s="218" t="n">
        <f aca="false">IF(ISNUMBER(M260),M260*CTL_PriceLife*CTL_Monetize,M260)</f>
        <v>252.853670235275</v>
      </c>
      <c r="N261" s="218" t="n">
        <f aca="false">IF(ISNUMBER(N260),N260*CTL_PriceLife*CTL_Monetize,N260)</f>
        <v>252.853670235275</v>
      </c>
      <c r="O261" s="218" t="n">
        <f aca="false">IF(ISNUMBER(O260),O260*CTL_PriceLife*CTL_Monetize,O260)</f>
        <v>344.651879941955</v>
      </c>
      <c r="P261" s="218" t="n">
        <f aca="false">IF(ISNUMBER(P260),P260*CTL_PriceLife*CTL_Monetize,P260)</f>
        <v>344.651879941955</v>
      </c>
      <c r="Q261" s="218" t="n">
        <f aca="false">IF(ISNUMBER(Q260),Q260*CTL_PriceLife*CTL_Monetize,Q260)</f>
        <v>344.651879941955</v>
      </c>
      <c r="R26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3684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3736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3730</v>
      </c>
    </row>
    <row r="263" customFormat="false" ht="15" hidden="false" customHeight="true" outlineLevel="0" collapsed="false">
      <c r="A263" s="44" t="s">
        <v>3741</v>
      </c>
      <c r="B263" s="30" t="s">
        <v>2255</v>
      </c>
      <c r="C263" s="218" t="n">
        <f aca="false">IF(ISNUMBER(C138),C138/IF_Util,C138)</f>
        <v>52.7169901326123</v>
      </c>
      <c r="D263" s="218" t="n">
        <f aca="false">IF(ISNUMBER(D138),D138/IF_Util,D138)</f>
        <v>52.7169901326123</v>
      </c>
      <c r="E263" s="218" t="n">
        <f aca="false">IF(ISNUMBER(E138),E138/IF_Util,E138)</f>
        <v>52.7169901326123</v>
      </c>
      <c r="F263" s="218" t="n">
        <f aca="false">IF(ISNUMBER(F138),F138/IF_Util,F138)</f>
        <v>230.468634869062</v>
      </c>
      <c r="G263" s="218" t="n">
        <f aca="false">IF(ISNUMBER(G138),G138/IF_Util,G138)</f>
        <v>230.468634869062</v>
      </c>
      <c r="H263" s="218" t="n">
        <f aca="false">IF(ISNUMBER(H138),H138/IF_Util,H138)</f>
        <v>230.468634869062</v>
      </c>
      <c r="I263" s="218" t="n">
        <f aca="false">IF(ISNUMBER(I138),I138/IF_Util,I138)</f>
        <v>303.942829456592</v>
      </c>
      <c r="J263" s="218" t="n">
        <f aca="false">IF(ISNUMBER(J138),J138/IF_Util,J138)</f>
        <v>303.942829456592</v>
      </c>
      <c r="K263" s="218" t="n">
        <f aca="false">IF(ISNUMBER(K138),K138/IF_Util,K138)</f>
        <v>303.942829456592</v>
      </c>
      <c r="L263" s="218" t="n">
        <f aca="false">IF(ISNUMBER(L138),L138/IF_Util,L138)</f>
        <v>539.053721144919</v>
      </c>
      <c r="M263" s="218" t="n">
        <f aca="false">IF(ISNUMBER(M138),M138/IF_Util,M138)</f>
        <v>539.053721144919</v>
      </c>
      <c r="N263" s="218" t="n">
        <f aca="false">IF(ISNUMBER(N138),N138/IF_Util,N138)</f>
        <v>539.053721144919</v>
      </c>
      <c r="O263" s="218" t="n">
        <f aca="false">IF(ISNUMBER(O138),O138/IF_Util,O138)</f>
        <v>762.775868473669</v>
      </c>
      <c r="P263" s="218" t="n">
        <f aca="false">IF(ISNUMBER(P138),P138/IF_Util,P138)</f>
        <v>762.775868473669</v>
      </c>
      <c r="Q263" s="218" t="n">
        <f aca="false">IF(ISNUMBER(Q138),Q138/IF_Util,Q138)</f>
        <v>762.775868473669</v>
      </c>
      <c r="R263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3462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3554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3742</v>
      </c>
      <c r="B264" s="30" t="s">
        <v>2255</v>
      </c>
      <c r="C264" s="218" t="n">
        <f aca="false">C138</f>
        <v>31.6301940795674</v>
      </c>
      <c r="D264" s="218" t="n">
        <f aca="false">D138</f>
        <v>31.6301940795674</v>
      </c>
      <c r="E264" s="218" t="n">
        <f aca="false">E138</f>
        <v>31.6301940795674</v>
      </c>
      <c r="F264" s="218" t="n">
        <f aca="false">F138</f>
        <v>138.281180921437</v>
      </c>
      <c r="G264" s="218" t="n">
        <f aca="false">G138</f>
        <v>138.281180921437</v>
      </c>
      <c r="H264" s="218" t="n">
        <f aca="false">H138</f>
        <v>138.281180921437</v>
      </c>
      <c r="I264" s="218" t="n">
        <f aca="false">I138</f>
        <v>182.365697673955</v>
      </c>
      <c r="J264" s="218" t="n">
        <f aca="false">J138</f>
        <v>182.365697673955</v>
      </c>
      <c r="K264" s="218" t="n">
        <f aca="false">K138</f>
        <v>182.365697673955</v>
      </c>
      <c r="L264" s="218" t="n">
        <f aca="false">L138</f>
        <v>323.432232686951</v>
      </c>
      <c r="M264" s="218" t="n">
        <f aca="false">M138</f>
        <v>323.432232686951</v>
      </c>
      <c r="N264" s="218" t="n">
        <f aca="false">N138</f>
        <v>323.432232686951</v>
      </c>
      <c r="O264" s="218" t="n">
        <f aca="false">O138</f>
        <v>457.665521084201</v>
      </c>
      <c r="P264" s="218" t="n">
        <f aca="false">P138</f>
        <v>457.665521084201</v>
      </c>
      <c r="Q264" s="218" t="n">
        <f aca="false">Q138</f>
        <v>457.665521084201</v>
      </c>
      <c r="R26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3487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3554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3743</v>
      </c>
      <c r="B265" s="30" t="s">
        <v>2255</v>
      </c>
      <c r="C265" s="197" t="n">
        <f aca="false">IF(ISNUMBER(Theory_Rev_Prod!C46),Theory_Rev_Prod!C46*INDEX(B4_FrontRef,1,3)/1000000000,Theory_Rev_Prod!C46)</f>
        <v>22.8651189867913</v>
      </c>
      <c r="D265" s="197" t="n">
        <f aca="false">IF(ISNUMBER(Theory_Rev_Prod!D46),Theory_Rev_Prod!D46*INDEX(B4_FrontRef,1,3)/1000000000,Theory_Rev_Prod!D46)</f>
        <v>22.8651189867913</v>
      </c>
      <c r="E265" s="197" t="n">
        <f aca="false">IF(ISNUMBER(Theory_Rev_Prod!E46),Theory_Rev_Prod!E46*INDEX(B4_FrontRef,1,3)/1000000000,Theory_Rev_Prod!E46)</f>
        <v>22.8651189867913</v>
      </c>
      <c r="F265" s="197" t="n">
        <f aca="false">IF(ISNUMBER(Theory_Rev_Prod!F46),Theory_Rev_Prod!F46*INDEX(B4_FrontRef,1,3)/1000000000,Theory_Rev_Prod!F46)</f>
        <v>108.49583183607</v>
      </c>
      <c r="G265" s="197" t="n">
        <f aca="false">IF(ISNUMBER(Theory_Rev_Prod!G46),Theory_Rev_Prod!G46*INDEX(B4_FrontRef,1,3)/1000000000,Theory_Rev_Prod!G46)</f>
        <v>108.49583183607</v>
      </c>
      <c r="H265" s="197" t="n">
        <f aca="false">IF(ISNUMBER(Theory_Rev_Prod!H46),Theory_Rev_Prod!H46*INDEX(B4_FrontRef,1,3)/1000000000,Theory_Rev_Prod!H46)</f>
        <v>108.49583183607</v>
      </c>
      <c r="I265" s="197" t="n">
        <f aca="false">IF(ISNUMBER(Theory_Rev_Prod!I46),Theory_Rev_Prod!I46*INDEX(B4_FrontRef,1,3)/1000000000,Theory_Rev_Prod!I46)</f>
        <v>141.533830385461</v>
      </c>
      <c r="J265" s="197" t="n">
        <f aca="false">IF(ISNUMBER(Theory_Rev_Prod!J46),Theory_Rev_Prod!J46*INDEX(B4_FrontRef,1,3)/1000000000,Theory_Rev_Prod!J46)</f>
        <v>141.533830385461</v>
      </c>
      <c r="K265" s="197" t="n">
        <f aca="false">IF(ISNUMBER(Theory_Rev_Prod!K46),Theory_Rev_Prod!K46*INDEX(B4_FrontRef,1,3)/1000000000,Theory_Rev_Prod!K46)</f>
        <v>141.533830385461</v>
      </c>
      <c r="L265" s="197" t="n">
        <f aca="false">IF(ISNUMBER(Theory_Rev_Prod!L46),Theory_Rev_Prod!L46*INDEX(B4_FrontRef,1,3)/1000000000,Theory_Rev_Prod!L46)</f>
        <v>257.194104569756</v>
      </c>
      <c r="M265" s="197" t="n">
        <f aca="false">IF(ISNUMBER(Theory_Rev_Prod!M46),Theory_Rev_Prod!M46*INDEX(B4_FrontRef,1,3)/1000000000,Theory_Rev_Prod!M46)</f>
        <v>257.194104569756</v>
      </c>
      <c r="N265" s="197" t="n">
        <f aca="false">IF(ISNUMBER(Theory_Rev_Prod!N46),Theory_Rev_Prod!N46*INDEX(B4_FrontRef,1,3)/1000000000,Theory_Rev_Prod!N46)</f>
        <v>257.194104569756</v>
      </c>
      <c r="O265" s="197" t="n">
        <f aca="false">IF(ISNUMBER(Theory_Rev_Prod!O46),Theory_Rev_Prod!O46*INDEX(B4_FrontRef,1,3)/1000000000,Theory_Rev_Prod!O46)</f>
        <v>365.764598293256</v>
      </c>
      <c r="P265" s="197" t="n">
        <f aca="false">IF(ISNUMBER(Theory_Rev_Prod!P46),Theory_Rev_Prod!P46*INDEX(B4_FrontRef,1,3)/1000000000,Theory_Rev_Prod!P46)</f>
        <v>365.764598293256</v>
      </c>
      <c r="Q265" s="197" t="n">
        <f aca="false">IF(ISNUMBER(Theory_Rev_Prod!Q46),Theory_Rev_Prod!Q46*INDEX(B4_FrontRef,1,3)/1000000000,Theory_Rev_Prod!Q46)</f>
        <v>365.764598293256</v>
      </c>
      <c r="R26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3672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3734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3744</v>
      </c>
      <c r="B266" s="30" t="s">
        <v>2255</v>
      </c>
      <c r="C266" s="218" t="n">
        <f aca="false">IF(ISNUMBER(C265),C265*CTL_PriceLife*CTL_Monetize,C265)</f>
        <v>22.8651189867913</v>
      </c>
      <c r="D266" s="218" t="n">
        <f aca="false">IF(ISNUMBER(D265),D265*CTL_PriceLife*CTL_Monetize,D265)</f>
        <v>22.8651189867913</v>
      </c>
      <c r="E266" s="218" t="n">
        <f aca="false">IF(ISNUMBER(E265),E265*CTL_PriceLife*CTL_Monetize,E265)</f>
        <v>22.8651189867913</v>
      </c>
      <c r="F266" s="218" t="n">
        <f aca="false">IF(ISNUMBER(F265),F265*CTL_PriceLife*CTL_Monetize,F265)</f>
        <v>108.49583183607</v>
      </c>
      <c r="G266" s="218" t="n">
        <f aca="false">IF(ISNUMBER(G265),G265*CTL_PriceLife*CTL_Monetize,G265)</f>
        <v>108.49583183607</v>
      </c>
      <c r="H266" s="218" t="n">
        <f aca="false">IF(ISNUMBER(H265),H265*CTL_PriceLife*CTL_Monetize,H265)</f>
        <v>108.49583183607</v>
      </c>
      <c r="I266" s="218" t="n">
        <f aca="false">IF(ISNUMBER(I265),I265*CTL_PriceLife*CTL_Monetize,I265)</f>
        <v>141.533830385461</v>
      </c>
      <c r="J266" s="218" t="n">
        <f aca="false">IF(ISNUMBER(J265),J265*CTL_PriceLife*CTL_Monetize,J265)</f>
        <v>141.533830385461</v>
      </c>
      <c r="K266" s="218" t="n">
        <f aca="false">IF(ISNUMBER(K265),K265*CTL_PriceLife*CTL_Monetize,K265)</f>
        <v>141.533830385461</v>
      </c>
      <c r="L266" s="218" t="n">
        <f aca="false">IF(ISNUMBER(L265),L265*CTL_PriceLife*CTL_Monetize,L265)</f>
        <v>257.194104569756</v>
      </c>
      <c r="M266" s="218" t="n">
        <f aca="false">IF(ISNUMBER(M265),M265*CTL_PriceLife*CTL_Monetize,M265)</f>
        <v>257.194104569756</v>
      </c>
      <c r="N266" s="218" t="n">
        <f aca="false">IF(ISNUMBER(N265),N265*CTL_PriceLife*CTL_Monetize,N265)</f>
        <v>257.194104569756</v>
      </c>
      <c r="O266" s="218" t="n">
        <f aca="false">IF(ISNUMBER(O265),O265*CTL_PriceLife*CTL_Monetize,O265)</f>
        <v>365.764598293256</v>
      </c>
      <c r="P266" s="218" t="n">
        <f aca="false">IF(ISNUMBER(P265),P265*CTL_PriceLife*CTL_Monetize,P265)</f>
        <v>365.764598293256</v>
      </c>
      <c r="Q266" s="218" t="n">
        <f aca="false">IF(ISNUMBER(Q265),Q265*CTL_PriceLife*CTL_Monetize,Q265)</f>
        <v>365.764598293256</v>
      </c>
      <c r="R26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3684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3736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3745</v>
      </c>
    </row>
    <row r="268" customFormat="false" ht="15" hidden="false" customHeight="true" outlineLevel="0" collapsed="false">
      <c r="A268" s="44" t="s">
        <v>3746</v>
      </c>
      <c r="B268" s="30" t="s">
        <v>2255</v>
      </c>
      <c r="C268" s="218" t="n">
        <f aca="false">IF(ISNUMBER(C147),C147/IF_Util,C147)</f>
        <v>10.8884408204589</v>
      </c>
      <c r="D268" s="218" t="n">
        <f aca="false">IF(ISNUMBER(D147),D147/IF_Util,D147)</f>
        <v>10.8884408204589</v>
      </c>
      <c r="E268" s="218" t="n">
        <f aca="false">IF(ISNUMBER(E147),E147/IF_Util,E147)</f>
        <v>10.8884408204589</v>
      </c>
      <c r="F268" s="218" t="n">
        <f aca="false">IF(ISNUMBER(F147),F147/IF_Util,F147)</f>
        <v>47.5213435302896</v>
      </c>
      <c r="G268" s="218" t="n">
        <f aca="false">IF(ISNUMBER(G147),G147/IF_Util,G147)</f>
        <v>47.5213435302896</v>
      </c>
      <c r="H268" s="218" t="n">
        <f aca="false">IF(ISNUMBER(H147),H147/IF_Util,H147)</f>
        <v>47.5213435302896</v>
      </c>
      <c r="I268" s="218" t="n">
        <f aca="false">IF(ISNUMBER(I147),I147/IF_Util,I147)</f>
        <v>65.3521900051274</v>
      </c>
      <c r="J268" s="218" t="n">
        <f aca="false">IF(ISNUMBER(J147),J147/IF_Util,J147)</f>
        <v>65.3521900051274</v>
      </c>
      <c r="K268" s="218" t="n">
        <f aca="false">IF(ISNUMBER(K147),K147/IF_Util,K147)</f>
        <v>65.3521900051274</v>
      </c>
      <c r="L268" s="218" t="n">
        <f aca="false">IF(ISNUMBER(L147),L147/IF_Util,L147)</f>
        <v>107.470917939647</v>
      </c>
      <c r="M268" s="218" t="n">
        <f aca="false">IF(ISNUMBER(M147),M147/IF_Util,M147)</f>
        <v>107.470917939647</v>
      </c>
      <c r="N268" s="218" t="n">
        <f aca="false">IF(ISNUMBER(N147),N147/IF_Util,N147)</f>
        <v>107.470917939647</v>
      </c>
      <c r="O268" s="218" t="n">
        <f aca="false">IF(ISNUMBER(O147),O147/IF_Util,O147)</f>
        <v>149.248989999897</v>
      </c>
      <c r="P268" s="218" t="n">
        <f aca="false">IF(ISNUMBER(P147),P147/IF_Util,P147)</f>
        <v>149.248989999897</v>
      </c>
      <c r="Q268" s="218" t="n">
        <f aca="false">IF(ISNUMBER(Q147),Q147/IF_Util,Q147)</f>
        <v>149.248989999897</v>
      </c>
      <c r="R26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3462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3597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3747</v>
      </c>
      <c r="B269" s="30" t="s">
        <v>2255</v>
      </c>
      <c r="C269" s="218" t="n">
        <f aca="false">C147</f>
        <v>6.53306449227533</v>
      </c>
      <c r="D269" s="218" t="n">
        <f aca="false">D147</f>
        <v>6.53306449227533</v>
      </c>
      <c r="E269" s="218" t="n">
        <f aca="false">E147</f>
        <v>6.53306449227533</v>
      </c>
      <c r="F269" s="218" t="n">
        <f aca="false">F147</f>
        <v>28.5128061181738</v>
      </c>
      <c r="G269" s="218" t="n">
        <f aca="false">G147</f>
        <v>28.5128061181738</v>
      </c>
      <c r="H269" s="218" t="n">
        <f aca="false">H147</f>
        <v>28.5128061181738</v>
      </c>
      <c r="I269" s="218" t="n">
        <f aca="false">I147</f>
        <v>39.2113140030764</v>
      </c>
      <c r="J269" s="218" t="n">
        <f aca="false">J147</f>
        <v>39.2113140030764</v>
      </c>
      <c r="K269" s="218" t="n">
        <f aca="false">K147</f>
        <v>39.2113140030764</v>
      </c>
      <c r="L269" s="218" t="n">
        <f aca="false">L147</f>
        <v>64.4825507637884</v>
      </c>
      <c r="M269" s="218" t="n">
        <f aca="false">M147</f>
        <v>64.4825507637884</v>
      </c>
      <c r="N269" s="218" t="n">
        <f aca="false">N147</f>
        <v>64.4825507637884</v>
      </c>
      <c r="O269" s="218" t="n">
        <f aca="false">O147</f>
        <v>89.5493939999384</v>
      </c>
      <c r="P269" s="218" t="n">
        <f aca="false">P147</f>
        <v>89.5493939999384</v>
      </c>
      <c r="Q269" s="218" t="n">
        <f aca="false">Q147</f>
        <v>89.5493939999384</v>
      </c>
      <c r="R26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3487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3597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3748</v>
      </c>
      <c r="B270" s="30" t="s">
        <v>2255</v>
      </c>
      <c r="C270" s="197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7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7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7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7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7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7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7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7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7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7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7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7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7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7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3672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3749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3750</v>
      </c>
      <c r="B271" s="30" t="s">
        <v>2255</v>
      </c>
      <c r="C271" s="218" t="n">
        <f aca="false">IF(ISNUMBER(C270),C270*CTL_PriceLife*CTL_Monetize,C270)</f>
        <v>4.90586841123778</v>
      </c>
      <c r="D271" s="218" t="n">
        <f aca="false">IF(ISNUMBER(D270),D270*CTL_PriceLife*CTL_Monetize,D270)</f>
        <v>4.90586841123778</v>
      </c>
      <c r="E271" s="218" t="n">
        <f aca="false">IF(ISNUMBER(E270),E270*CTL_PriceLife*CTL_Monetize,E270)</f>
        <v>4.90586841123778</v>
      </c>
      <c r="F271" s="218" t="n">
        <f aca="false">IF(ISNUMBER(F270),F270*CTL_PriceLife*CTL_Monetize,F270)</f>
        <v>22.7560968924507</v>
      </c>
      <c r="G271" s="218" t="n">
        <f aca="false">IF(ISNUMBER(G270),G270*CTL_PriceLife*CTL_Monetize,G270)</f>
        <v>22.7560968924507</v>
      </c>
      <c r="H271" s="218" t="n">
        <f aca="false">IF(ISNUMBER(H270),H270*CTL_PriceLife*CTL_Monetize,H270)</f>
        <v>22.7560968924507</v>
      </c>
      <c r="I271" s="218" t="n">
        <f aca="false">IF(ISNUMBER(I270),I270*CTL_PriceLife*CTL_Monetize,I270)</f>
        <v>31.0612609031746</v>
      </c>
      <c r="J271" s="218" t="n">
        <f aca="false">IF(ISNUMBER(J270),J270*CTL_PriceLife*CTL_Monetize,J270)</f>
        <v>31.0612609031746</v>
      </c>
      <c r="K271" s="218" t="n">
        <f aca="false">IF(ISNUMBER(K270),K270*CTL_PriceLife*CTL_Monetize,K270)</f>
        <v>31.0612609031746</v>
      </c>
      <c r="L271" s="218" t="n">
        <f aca="false">IF(ISNUMBER(L270),L270*CTL_PriceLife*CTL_Monetize,L270)</f>
        <v>51.9612251850674</v>
      </c>
      <c r="M271" s="218" t="n">
        <f aca="false">IF(ISNUMBER(M270),M270*CTL_PriceLife*CTL_Monetize,M270)</f>
        <v>51.9612251850674</v>
      </c>
      <c r="N271" s="218" t="n">
        <f aca="false">IF(ISNUMBER(N270),N270*CTL_PriceLife*CTL_Monetize,N270)</f>
        <v>51.9612251850674</v>
      </c>
      <c r="O271" s="218" t="n">
        <f aca="false">IF(ISNUMBER(O270),O270*CTL_PriceLife*CTL_Monetize,O270)</f>
        <v>72.4062082070211</v>
      </c>
      <c r="P271" s="218" t="n">
        <f aca="false">IF(ISNUMBER(P270),P270*CTL_PriceLife*CTL_Monetize,P270)</f>
        <v>72.4062082070211</v>
      </c>
      <c r="Q271" s="218" t="n">
        <f aca="false">IF(ISNUMBER(Q270),Q270*CTL_PriceLife*CTL_Monetize,Q270)</f>
        <v>72.4062082070211</v>
      </c>
      <c r="R27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3684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3751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3752</v>
      </c>
    </row>
    <row r="273" customFormat="false" ht="15" hidden="false" customHeight="true" outlineLevel="0" collapsed="false">
      <c r="A273" s="44" t="s">
        <v>3753</v>
      </c>
      <c r="B273" s="30" t="s">
        <v>993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3462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3465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3754</v>
      </c>
      <c r="B274" s="30" t="s">
        <v>993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3487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3755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3756</v>
      </c>
      <c r="B275" s="30" t="s">
        <v>993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3672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3757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3758</v>
      </c>
      <c r="B276" s="30" t="s">
        <v>993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3684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3757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3752</v>
      </c>
    </row>
    <row r="278" customFormat="false" ht="15" hidden="false" customHeight="true" outlineLevel="0" collapsed="false">
      <c r="A278" s="44" t="s">
        <v>3759</v>
      </c>
      <c r="B278" s="30" t="s">
        <v>993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3462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3465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3760</v>
      </c>
      <c r="B279" s="30" t="s">
        <v>993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3487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3755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3761</v>
      </c>
      <c r="B280" s="30" t="s">
        <v>993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3672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3757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3762</v>
      </c>
      <c r="B281" s="30" t="s">
        <v>993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3684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3757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3752</v>
      </c>
    </row>
    <row r="283" customFormat="false" ht="15" hidden="false" customHeight="true" outlineLevel="0" collapsed="false">
      <c r="A283" s="44" t="s">
        <v>3763</v>
      </c>
      <c r="B283" s="30" t="s">
        <v>993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6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3462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3465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3764</v>
      </c>
      <c r="B284" s="30" t="s">
        <v>993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3487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3755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3765</v>
      </c>
      <c r="B285" s="30" t="s">
        <v>993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3672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3757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3766</v>
      </c>
      <c r="B286" s="30" t="s">
        <v>993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6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3684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3757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3767</v>
      </c>
    </row>
    <row r="289" customFormat="false" ht="15" hidden="false" customHeight="true" outlineLevel="0" collapsed="false">
      <c r="A289" s="45" t="s">
        <v>3768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3769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3770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3771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3772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3773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3774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3775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3776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3777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3778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3779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3780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3781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3782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3783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3784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3785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3786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3787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3788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3789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3790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3791</v>
      </c>
      <c r="B313" s="30" t="s">
        <v>2255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6" t="str">
        <f aca="false">IF(SUM(Gov_Map!$AG$5:$AG$7,Gov_Map!$AG$17:$AG$22,Gov_Map!$AG$69:$AG$103,Gov_Map!$AG$606:$AG$608,Gov_Map!$AG$687:$AG$688)&gt;0,"C",IF(SUM(Gov_Map!$AH$5:$AH$7,Gov_Map!$AH$17:$AH$22,Gov_Map!$AH$69:$AH$103,Gov_Map!$AH$606:$AH$608,Gov_Map!$AH$687:$AH$688)&gt;0,"B","A"))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809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MAX(Gov_Map!$AJ$5:$AJ$7,Gov_Map!$AJ$17:$AJ$22,Gov_Map!$AJ$69:$AJ$103,Gov_Map!$AJ$606:$AJ$608,Gov_Map!$AJ$687:$AJ$688)</f>
        <v>20261008</v>
      </c>
      <c r="W313" s="21" t="s">
        <v>3792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3793</v>
      </c>
      <c r="B314" s="30" t="s">
        <v>2255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6" t="str">
        <f aca="false">IF(SUM(Gov_Map!$AG$5:$AG$7,Gov_Map!$AG$17:$AG$22,Gov_Map!$AG$69:$AG$103,Gov_Map!$AG$609:$AG$611,Gov_Map!$AG$687:$AG$688)&gt;0,"C",IF(SUM(Gov_Map!$AH$5:$AH$7,Gov_Map!$AH$17:$AH$22,Gov_Map!$AH$69:$AH$103,Gov_Map!$AH$609:$AH$611,Gov_Map!$AH$687:$AH$688)&gt;0,"B","A"))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809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MAX(Gov_Map!$AJ$5:$AJ$7,Gov_Map!$AJ$17:$AJ$22,Gov_Map!$AJ$69:$AJ$103,Gov_Map!$AJ$609:$AJ$611,Gov_Map!$AJ$687:$AJ$688)</f>
        <v>20261008</v>
      </c>
      <c r="W314" s="21" t="s">
        <v>3792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3794</v>
      </c>
      <c r="B315" s="44" t="s">
        <v>163</v>
      </c>
      <c r="C315" s="33" t="n">
        <f aca="false">Inputs!E36</f>
        <v>3</v>
      </c>
      <c r="R315" s="186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809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3524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3795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3796</v>
      </c>
      <c r="B318" s="30" t="s">
        <v>117</v>
      </c>
      <c r="C318" s="215" t="n">
        <f aca="false">AL_ServeGW</f>
        <v>0.122917826491237</v>
      </c>
      <c r="R318" s="186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809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3797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3798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3799</v>
      </c>
      <c r="B321" s="30" t="s">
        <v>2255</v>
      </c>
      <c r="C321" s="218" t="n">
        <f aca="false">IF(ISNUMBER(C235),IF(AND(ISNUMBER(L1_LTotal),ISNUMBER(L1_MFleet)),C235*L1_LTotal*L1_MFleet,"L、m 非數字（本情境）"),C235)</f>
        <v>1.09036738485812</v>
      </c>
      <c r="D321" s="218" t="n">
        <f aca="false">IF(ISNUMBER(D235),IF(AND(ISNUMBER(L1_LTotal),ISNUMBER(L1_MFleet)),D235*L1_LTotal*L1_MFleet,"L、m 非數字（本情境）"),D235)</f>
        <v>1.09036738485812</v>
      </c>
      <c r="E321" s="218" t="n">
        <f aca="false">IF(ISNUMBER(E235),IF(AND(ISNUMBER(L1_LTotal),ISNUMBER(L1_MFleet)),E235*L1_LTotal*L1_MFleet,"L、m 非數字（本情境）"),E235)</f>
        <v>1.09036738485812</v>
      </c>
      <c r="F321" s="218" t="n">
        <f aca="false">IF(ISNUMBER(F235),IF(AND(ISNUMBER(L1_LTotal),ISNUMBER(L1_MFleet)),F235*L1_LTotal*L1_MFleet,"L、m 非數字（本情境）"),F235)</f>
        <v>5.0508898958808</v>
      </c>
      <c r="G321" s="218" t="n">
        <f aca="false">IF(ISNUMBER(G235),IF(AND(ISNUMBER(L1_LTotal),ISNUMBER(L1_MFleet)),G235*L1_LTotal*L1_MFleet,"L、m 非數字（本情境）"),G235)</f>
        <v>5.0508898958808</v>
      </c>
      <c r="H321" s="218" t="n">
        <f aca="false">IF(ISNUMBER(H235),IF(AND(ISNUMBER(L1_LTotal),ISNUMBER(L1_MFleet)),H235*L1_LTotal*L1_MFleet,"L、m 非數字（本情境）"),H235)</f>
        <v>5.0508898958808</v>
      </c>
      <c r="I321" s="218" t="n">
        <f aca="false">IF(ISNUMBER(I235),IF(AND(ISNUMBER(L1_LTotal),ISNUMBER(L1_MFleet)),I235*L1_LTotal*L1_MFleet,"L、m 非數字（本情境）"),I235)</f>
        <v>7.35346949111875</v>
      </c>
      <c r="J321" s="218" t="n">
        <f aca="false">IF(ISNUMBER(J235),IF(AND(ISNUMBER(L1_LTotal),ISNUMBER(L1_MFleet)),J235*L1_LTotal*L1_MFleet,"L、m 非數字（本情境）"),J235)</f>
        <v>7.35346949111875</v>
      </c>
      <c r="K321" s="218" t="n">
        <f aca="false">IF(ISNUMBER(K235),IF(AND(ISNUMBER(L1_LTotal),ISNUMBER(L1_MFleet)),K235*L1_LTotal*L1_MFleet,"L、m 非數字（本情境）"),K235)</f>
        <v>7.35346949111875</v>
      </c>
      <c r="L321" s="218" t="n">
        <f aca="false">IF(ISNUMBER(L235),IF(AND(ISNUMBER(L1_LTotal),ISNUMBER(L1_MFleet)),L235*L1_LTotal*L1_MFleet,"L、m 非數字（本情境）"),L235)</f>
        <v>10.6332437097561</v>
      </c>
      <c r="M321" s="218" t="n">
        <f aca="false">IF(ISNUMBER(M235),IF(AND(ISNUMBER(L1_LTotal),ISNUMBER(L1_MFleet)),M235*L1_LTotal*L1_MFleet,"L、m 非數字（本情境）"),M235)</f>
        <v>10.6332437097561</v>
      </c>
      <c r="N321" s="218" t="n">
        <f aca="false">IF(ISNUMBER(N235),IF(AND(ISNUMBER(L1_LTotal),ISNUMBER(L1_MFleet)),N235*L1_LTotal*L1_MFleet,"L、m 非數字（本情境）"),N235)</f>
        <v>10.6332437097561</v>
      </c>
      <c r="O321" s="218" t="n">
        <f aca="false">IF(ISNUMBER(O235),IF(AND(ISNUMBER(L1_LTotal),ISNUMBER(L1_MFleet)),O235*L1_LTotal*L1_MFleet,"L、m 非數字（本情境）"),O235)</f>
        <v>14.324620023145</v>
      </c>
      <c r="P321" s="218" t="n">
        <f aca="false">IF(ISNUMBER(P235),IF(AND(ISNUMBER(L1_LTotal),ISNUMBER(L1_MFleet)),P235*L1_LTotal*L1_MFleet,"L、m 非數字（本情境）"),P235)</f>
        <v>14.324620023145</v>
      </c>
      <c r="Q321" s="218" t="n">
        <f aca="false">IF(ISNUMBER(Q235),IF(AND(ISNUMBER(L1_LTotal),ISNUMBER(L1_MFleet)),Q235*L1_LTotal*L1_MFleet,"L、m 非數字（本情境）"),Q235)</f>
        <v>14.324620023145</v>
      </c>
      <c r="R321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3800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1" s="21" t="s">
        <v>3801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3802</v>
      </c>
      <c r="B322" s="30" t="s">
        <v>2255</v>
      </c>
      <c r="C322" s="218" t="n">
        <f aca="false">IF(ISNUMBER(C240),IF(AND(ISNUMBER(L1_LTotal),ISNUMBER(L1_MFleet)),C240*L1_LTotal*L1_MFleet,"L、m 非數字（本情境）"),C240)</f>
        <v>6.76180064889054</v>
      </c>
      <c r="D322" s="218" t="n">
        <f aca="false">IF(ISNUMBER(D240),IF(AND(ISNUMBER(L1_LTotal),ISNUMBER(L1_MFleet)),D240*L1_LTotal*L1_MFleet,"L、m 非數字（本情境）"),D240)</f>
        <v>6.76180064889054</v>
      </c>
      <c r="E322" s="218" t="n">
        <f aca="false">IF(ISNUMBER(E240),IF(AND(ISNUMBER(L1_LTotal),ISNUMBER(L1_MFleet)),E240*L1_LTotal*L1_MFleet,"L、m 非數字（本情境）"),E240)</f>
        <v>6.76180064889054</v>
      </c>
      <c r="F322" s="218" t="n">
        <f aca="false">IF(ISNUMBER(F240),IF(AND(ISNUMBER(L1_LTotal),ISNUMBER(L1_MFleet)),F240*L1_LTotal*L1_MFleet,"L、m 非數字（本情境）"),F240)</f>
        <v>30.1485126094542</v>
      </c>
      <c r="G322" s="218" t="n">
        <f aca="false">IF(ISNUMBER(G240),IF(AND(ISNUMBER(L1_LTotal),ISNUMBER(L1_MFleet)),G240*L1_LTotal*L1_MFleet,"L、m 非數字（本情境）"),G240)</f>
        <v>30.1485126094542</v>
      </c>
      <c r="H322" s="218" t="n">
        <f aca="false">IF(ISNUMBER(H240),IF(AND(ISNUMBER(L1_LTotal),ISNUMBER(L1_MFleet)),H240*L1_LTotal*L1_MFleet,"L、m 非數字（本情境）"),H240)</f>
        <v>30.1485126094542</v>
      </c>
      <c r="I322" s="218" t="n">
        <f aca="false">IF(ISNUMBER(I240),IF(AND(ISNUMBER(L1_LTotal),ISNUMBER(L1_MFleet)),I240*L1_LTotal*L1_MFleet,"L、m 非數字（本情境）"),I240)</f>
        <v>43.8924966186716</v>
      </c>
      <c r="J322" s="218" t="n">
        <f aca="false">IF(ISNUMBER(J240),IF(AND(ISNUMBER(L1_LTotal),ISNUMBER(L1_MFleet)),J240*L1_LTotal*L1_MFleet,"L、m 非數字（本情境）"),J240)</f>
        <v>43.8924966186716</v>
      </c>
      <c r="K322" s="218" t="n">
        <f aca="false">IF(ISNUMBER(K240),IF(AND(ISNUMBER(L1_LTotal),ISNUMBER(L1_MFleet)),K240*L1_LTotal*L1_MFleet,"L、m 非數字（本情境）"),K240)</f>
        <v>43.8924966186716</v>
      </c>
      <c r="L322" s="218" t="n">
        <f aca="false">IF(ISNUMBER(L240),IF(AND(ISNUMBER(L1_LTotal),ISNUMBER(L1_MFleet)),L240*L1_LTotal*L1_MFleet,"L、m 非數字（本情境）"),L240)</f>
        <v>66.1791408032588</v>
      </c>
      <c r="M322" s="218" t="n">
        <f aca="false">IF(ISNUMBER(M240),IF(AND(ISNUMBER(L1_LTotal),ISNUMBER(L1_MFleet)),M240*L1_LTotal*L1_MFleet,"L、m 非數字（本情境）"),M240)</f>
        <v>66.1791408032588</v>
      </c>
      <c r="N322" s="218" t="n">
        <f aca="false">IF(ISNUMBER(N240),IF(AND(ISNUMBER(L1_LTotal),ISNUMBER(L1_MFleet)),N240*L1_LTotal*L1_MFleet,"L、m 非數字（本情境）"),N240)</f>
        <v>66.1791408032588</v>
      </c>
      <c r="O322" s="218" t="n">
        <f aca="false">IF(ISNUMBER(O240),IF(AND(ISNUMBER(L1_LTotal),ISNUMBER(L1_MFleet)),O240*L1_LTotal*L1_MFleet,"L、m 非數字（本情境）"),O240)</f>
        <v>90.2053953559915</v>
      </c>
      <c r="P322" s="218" t="n">
        <f aca="false">IF(ISNUMBER(P240),IF(AND(ISNUMBER(L1_LTotal),ISNUMBER(L1_MFleet)),P240*L1_LTotal*L1_MFleet,"L、m 非數字（本情境）"),P240)</f>
        <v>90.2053953559915</v>
      </c>
      <c r="Q322" s="218" t="n">
        <f aca="false">IF(ISNUMBER(Q240),IF(AND(ISNUMBER(L1_LTotal),ISNUMBER(L1_MFleet)),Q240*L1_LTotal*L1_MFleet,"L、m 非數字（本情境）"),Q240)</f>
        <v>90.2053953559915</v>
      </c>
      <c r="R322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3800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2" s="21" t="s">
        <v>3801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3803</v>
      </c>
      <c r="B323" s="30" t="s">
        <v>2255</v>
      </c>
      <c r="C323" s="218" t="n">
        <f aca="false">IF(ISNUMBER(C245),IF(AND(ISNUMBER(L1_LTotal),ISNUMBER(L1_MFleet)),C245*L1_LTotal*L1_MFleet,"L、m 非數字（本情境）"),C245)</f>
        <v>6.21120128774099</v>
      </c>
      <c r="D323" s="218" t="n">
        <f aca="false">IF(ISNUMBER(D245),IF(AND(ISNUMBER(L1_LTotal),ISNUMBER(L1_MFleet)),D245*L1_LTotal*L1_MFleet,"L、m 非數字（本情境）"),D245)</f>
        <v>6.21120128774099</v>
      </c>
      <c r="E323" s="218" t="n">
        <f aca="false">IF(ISNUMBER(E245),IF(AND(ISNUMBER(L1_LTotal),ISNUMBER(L1_MFleet)),E245*L1_LTotal*L1_MFleet,"L、m 非數字（本情境）"),E245)</f>
        <v>6.21120128774099</v>
      </c>
      <c r="F323" s="218" t="n">
        <f aca="false">IF(ISNUMBER(F245),IF(AND(ISNUMBER(L1_LTotal),ISNUMBER(L1_MFleet)),F245*L1_LTotal*L1_MFleet,"L、m 非數字（本情境）"),F245)</f>
        <v>29.4723789018557</v>
      </c>
      <c r="G323" s="218" t="n">
        <f aca="false">IF(ISNUMBER(G245),IF(AND(ISNUMBER(L1_LTotal),ISNUMBER(L1_MFleet)),G245*L1_LTotal*L1_MFleet,"L、m 非數字（本情境）"),G245)</f>
        <v>29.4723789018557</v>
      </c>
      <c r="H323" s="218" t="n">
        <f aca="false">IF(ISNUMBER(H245),IF(AND(ISNUMBER(L1_LTotal),ISNUMBER(L1_MFleet)),H245*L1_LTotal*L1_MFleet,"L、m 非數字（本情境）"),H245)</f>
        <v>29.4723789018557</v>
      </c>
      <c r="I323" s="218" t="n">
        <f aca="false">IF(ISNUMBER(I245),IF(AND(ISNUMBER(L1_LTotal),ISNUMBER(L1_MFleet)),I245*L1_LTotal*L1_MFleet,"L、m 非數字（本情境）"),I245)</f>
        <v>38.4469947458803</v>
      </c>
      <c r="J323" s="218" t="n">
        <f aca="false">IF(ISNUMBER(J245),IF(AND(ISNUMBER(L1_LTotal),ISNUMBER(L1_MFleet)),J245*L1_LTotal*L1_MFleet,"L、m 非數字（本情境）"),J245)</f>
        <v>38.4469947458803</v>
      </c>
      <c r="K323" s="218" t="n">
        <f aca="false">IF(ISNUMBER(K245),IF(AND(ISNUMBER(L1_LTotal),ISNUMBER(L1_MFleet)),K245*L1_LTotal*L1_MFleet,"L、m 非數字（本情境）"),K245)</f>
        <v>38.4469947458803</v>
      </c>
      <c r="L323" s="218" t="n">
        <f aca="false">IF(ISNUMBER(L245),IF(AND(ISNUMBER(L1_LTotal),ISNUMBER(L1_MFleet)),L245*L1_LTotal*L1_MFleet,"L、m 非數字（本情境）"),L245)</f>
        <v>69.8655604821428</v>
      </c>
      <c r="M323" s="218" t="n">
        <f aca="false">IF(ISNUMBER(M245),IF(AND(ISNUMBER(L1_LTotal),ISNUMBER(L1_MFleet)),M245*L1_LTotal*L1_MFleet,"L、m 非數字（本情境）"),M245)</f>
        <v>69.8655604821428</v>
      </c>
      <c r="N323" s="218" t="n">
        <f aca="false">IF(ISNUMBER(N245),IF(AND(ISNUMBER(L1_LTotal),ISNUMBER(L1_MFleet)),N245*L1_LTotal*L1_MFleet,"L、m 非數字（本情境）"),N245)</f>
        <v>69.8655604821428</v>
      </c>
      <c r="O323" s="218" t="n">
        <f aca="false">IF(ISNUMBER(O245),IF(AND(ISNUMBER(L1_LTotal),ISNUMBER(L1_MFleet)),O245*L1_LTotal*L1_MFleet,"L、m 非數字（本情境）"),O245)</f>
        <v>99.358220932134</v>
      </c>
      <c r="P323" s="218" t="n">
        <f aca="false">IF(ISNUMBER(P245),IF(AND(ISNUMBER(L1_LTotal),ISNUMBER(L1_MFleet)),P245*L1_LTotal*L1_MFleet,"L、m 非數字（本情境）"),P245)</f>
        <v>99.358220932134</v>
      </c>
      <c r="Q323" s="218" t="n">
        <f aca="false">IF(ISNUMBER(Q245),IF(AND(ISNUMBER(L1_LTotal),ISNUMBER(L1_MFleet)),Q245*L1_LTotal*L1_MFleet,"L、m 非數字（本情境）"),Q245)</f>
        <v>99.358220932134</v>
      </c>
      <c r="R323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3800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3" s="21" t="s">
        <v>3801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3804</v>
      </c>
      <c r="B324" s="30" t="s">
        <v>2255</v>
      </c>
      <c r="C324" s="218" t="n">
        <f aca="false">IF(ISNUMBER(C250),IF(AND(ISNUMBER(L1_LTotal),ISNUMBER(L1_MFleet)),C250*L1_LTotal*L1_MFleet,"L、m 非數字（本情境）"),C250)</f>
        <v>1.31348430557208</v>
      </c>
      <c r="D324" s="218" t="n">
        <f aca="false">IF(ISNUMBER(D250),IF(AND(ISNUMBER(L1_LTotal),ISNUMBER(L1_MFleet)),D250*L1_LTotal*L1_MFleet,"L、m 非數字（本情境）"),D250)</f>
        <v>1.31348430557208</v>
      </c>
      <c r="E324" s="218" t="n">
        <f aca="false">IF(ISNUMBER(E250),IF(AND(ISNUMBER(L1_LTotal),ISNUMBER(L1_MFleet)),E250*L1_LTotal*L1_MFleet,"L、m 非數字（本情境）"),E250)</f>
        <v>1.31348430557208</v>
      </c>
      <c r="F324" s="218" t="n">
        <f aca="false">IF(ISNUMBER(F250),IF(AND(ISNUMBER(L1_LTotal),ISNUMBER(L1_MFleet)),F250*L1_LTotal*L1_MFleet,"L、m 非數字（本情境）"),F250)</f>
        <v>6.09265753150729</v>
      </c>
      <c r="G324" s="218" t="n">
        <f aca="false">IF(ISNUMBER(G250),IF(AND(ISNUMBER(L1_LTotal),ISNUMBER(L1_MFleet)),G250*L1_LTotal*L1_MFleet,"L、m 非數字（本情境）"),G250)</f>
        <v>6.09265753150729</v>
      </c>
      <c r="H324" s="218" t="n">
        <f aca="false">IF(ISNUMBER(H250),IF(AND(ISNUMBER(L1_LTotal),ISNUMBER(L1_MFleet)),H250*L1_LTotal*L1_MFleet,"L、m 非數字（本情境）"),H250)</f>
        <v>6.09265753150729</v>
      </c>
      <c r="I324" s="218" t="n">
        <f aca="false">IF(ISNUMBER(I250),IF(AND(ISNUMBER(L1_LTotal),ISNUMBER(L1_MFleet)),I250*L1_LTotal*L1_MFleet,"L、m 非數字（本情境）"),I250)</f>
        <v>8.31626030044816</v>
      </c>
      <c r="J324" s="218" t="n">
        <f aca="false">IF(ISNUMBER(J250),IF(AND(ISNUMBER(L1_LTotal),ISNUMBER(L1_MFleet)),J250*L1_LTotal*L1_MFleet,"L、m 非數字（本情境）"),J250)</f>
        <v>8.31626030044816</v>
      </c>
      <c r="K324" s="218" t="n">
        <f aca="false">IF(ISNUMBER(K250),IF(AND(ISNUMBER(L1_LTotal),ISNUMBER(L1_MFleet)),K250*L1_LTotal*L1_MFleet,"L、m 非數字（本情境）"),K250)</f>
        <v>8.31626030044816</v>
      </c>
      <c r="L324" s="218" t="n">
        <f aca="false">IF(ISNUMBER(L250),IF(AND(ISNUMBER(L1_LTotal),ISNUMBER(L1_MFleet)),L250*L1_LTotal*L1_MFleet,"L、m 非數字（本情境）"),L250)</f>
        <v>13.9119617685919</v>
      </c>
      <c r="M324" s="218" t="n">
        <f aca="false">IF(ISNUMBER(M250),IF(AND(ISNUMBER(L1_LTotal),ISNUMBER(L1_MFleet)),M250*L1_LTotal*L1_MFleet,"L、m 非數字（本情境）"),M250)</f>
        <v>13.9119617685919</v>
      </c>
      <c r="N324" s="218" t="n">
        <f aca="false">IF(ISNUMBER(N250),IF(AND(ISNUMBER(L1_LTotal),ISNUMBER(L1_MFleet)),N250*L1_LTotal*L1_MFleet,"L、m 非數字（本情境）"),N250)</f>
        <v>13.9119617685919</v>
      </c>
      <c r="O324" s="218" t="n">
        <f aca="false">IF(ISNUMBER(O250),IF(AND(ISNUMBER(L1_LTotal),ISNUMBER(L1_MFleet)),O250*L1_LTotal*L1_MFleet,"L、m 非數字（本情境）"),O250)</f>
        <v>19.3858477508391</v>
      </c>
      <c r="P324" s="218" t="n">
        <f aca="false">IF(ISNUMBER(P250),IF(AND(ISNUMBER(L1_LTotal),ISNUMBER(L1_MFleet)),P250*L1_LTotal*L1_MFleet,"L、m 非數字（本情境）"),P250)</f>
        <v>19.3858477508391</v>
      </c>
      <c r="Q324" s="218" t="n">
        <f aca="false">IF(ISNUMBER(Q250),IF(AND(ISNUMBER(L1_LTotal),ISNUMBER(L1_MFleet)),Q250*L1_LTotal*L1_MFleet,"L、m 非數字（本情境）"),Q250)</f>
        <v>19.3858477508391</v>
      </c>
      <c r="R324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3800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4" s="21" t="s">
        <v>3801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3805</v>
      </c>
      <c r="B325" s="30" t="s">
        <v>2255</v>
      </c>
      <c r="C325" s="218" t="n">
        <f aca="false">IF(ISNUMBER(C255),IF(AND(ISNUMBER(L1_LTotal),ISNUMBER(L1_MFleet)),C255*L1_LTotal*L1_MFleet,"L、m 非數字（本情境）"),C255)</f>
        <v>1.09036738485811</v>
      </c>
      <c r="D325" s="218" t="n">
        <f aca="false">IF(ISNUMBER(D255),IF(AND(ISNUMBER(L1_LTotal),ISNUMBER(L1_MFleet)),D255*L1_LTotal*L1_MFleet,"L、m 非數字（本情境）"),D255)</f>
        <v>1.09036738485811</v>
      </c>
      <c r="E325" s="218" t="n">
        <f aca="false">IF(ISNUMBER(E255),IF(AND(ISNUMBER(L1_LTotal),ISNUMBER(L1_MFleet)),E255*L1_LTotal*L1_MFleet,"L、m 非數字（本情境）"),E255)</f>
        <v>1.09036738485811</v>
      </c>
      <c r="F325" s="218" t="n">
        <f aca="false">IF(ISNUMBER(F255),IF(AND(ISNUMBER(L1_LTotal),ISNUMBER(L1_MFleet)),F255*L1_LTotal*L1_MFleet,"L、m 非數字（本情境）"),F255)</f>
        <v>5.05088989588079</v>
      </c>
      <c r="G325" s="218" t="n">
        <f aca="false">IF(ISNUMBER(G255),IF(AND(ISNUMBER(L1_LTotal),ISNUMBER(L1_MFleet)),G255*L1_LTotal*L1_MFleet,"L、m 非數字（本情境）"),G255)</f>
        <v>5.05088989588079</v>
      </c>
      <c r="H325" s="218" t="n">
        <f aca="false">IF(ISNUMBER(H255),IF(AND(ISNUMBER(L1_LTotal),ISNUMBER(L1_MFleet)),H255*L1_LTotal*L1_MFleet,"L、m 非數字（本情境）"),H255)</f>
        <v>5.05088989588079</v>
      </c>
      <c r="I325" s="218" t="n">
        <f aca="false">IF(ISNUMBER(I255),IF(AND(ISNUMBER(L1_LTotal),ISNUMBER(L1_MFleet)),I255*L1_LTotal*L1_MFleet,"L、m 非數字（本情境）"),I255)</f>
        <v>7.35346949111874</v>
      </c>
      <c r="J325" s="218" t="n">
        <f aca="false">IF(ISNUMBER(J255),IF(AND(ISNUMBER(L1_LTotal),ISNUMBER(L1_MFleet)),J255*L1_LTotal*L1_MFleet,"L、m 非數字（本情境）"),J255)</f>
        <v>7.35346949111874</v>
      </c>
      <c r="K325" s="218" t="n">
        <f aca="false">IF(ISNUMBER(K255),IF(AND(ISNUMBER(L1_LTotal),ISNUMBER(L1_MFleet)),K255*L1_LTotal*L1_MFleet,"L、m 非數字（本情境）"),K255)</f>
        <v>7.35346949111874</v>
      </c>
      <c r="L325" s="218" t="n">
        <f aca="false">IF(ISNUMBER(L255),IF(AND(ISNUMBER(L1_LTotal),ISNUMBER(L1_MFleet)),L255*L1_LTotal*L1_MFleet,"L、m 非數字（本情境）"),L255)</f>
        <v>10.6332437097561</v>
      </c>
      <c r="M325" s="218" t="n">
        <f aca="false">IF(ISNUMBER(M255),IF(AND(ISNUMBER(L1_LTotal),ISNUMBER(L1_MFleet)),M255*L1_LTotal*L1_MFleet,"L、m 非數字（本情境）"),M255)</f>
        <v>10.6332437097561</v>
      </c>
      <c r="N325" s="218" t="n">
        <f aca="false">IF(ISNUMBER(N255),IF(AND(ISNUMBER(L1_LTotal),ISNUMBER(L1_MFleet)),N255*L1_LTotal*L1_MFleet,"L、m 非數字（本情境）"),N255)</f>
        <v>10.6332437097561</v>
      </c>
      <c r="O325" s="218" t="n">
        <f aca="false">IF(ISNUMBER(O255),IF(AND(ISNUMBER(L1_LTotal),ISNUMBER(L1_MFleet)),O255*L1_LTotal*L1_MFleet,"L、m 非數字（本情境）"),O255)</f>
        <v>14.3246200231449</v>
      </c>
      <c r="P325" s="218" t="n">
        <f aca="false">IF(ISNUMBER(P255),IF(AND(ISNUMBER(L1_LTotal),ISNUMBER(L1_MFleet)),P255*L1_LTotal*L1_MFleet,"L、m 非數字（本情境）"),P255)</f>
        <v>14.3246200231449</v>
      </c>
      <c r="Q325" s="218" t="n">
        <f aca="false">IF(ISNUMBER(Q255),IF(AND(ISNUMBER(L1_LTotal),ISNUMBER(L1_MFleet)),Q255*L1_LTotal*L1_MFleet,"L、m 非數字（本情境）"),Q255)</f>
        <v>14.3246200231449</v>
      </c>
      <c r="R325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3800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5" s="21" t="s">
        <v>3806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3807</v>
      </c>
      <c r="B326" s="30" t="s">
        <v>2255</v>
      </c>
      <c r="C326" s="218" t="n">
        <f aca="false">IF(ISNUMBER(C260),IF(AND(ISNUMBER(L1_LTotal),ISNUMBER(L1_MFleet)),C260*L1_LTotal*L1_MFleet,"L、m 非數字（本情境）"),C260)</f>
        <v>6.76180064889054</v>
      </c>
      <c r="D326" s="218" t="n">
        <f aca="false">IF(ISNUMBER(D260),IF(AND(ISNUMBER(L1_LTotal),ISNUMBER(L1_MFleet)),D260*L1_LTotal*L1_MFleet,"L、m 非數字（本情境）"),D260)</f>
        <v>6.76180064889054</v>
      </c>
      <c r="E326" s="218" t="n">
        <f aca="false">IF(ISNUMBER(E260),IF(AND(ISNUMBER(L1_LTotal),ISNUMBER(L1_MFleet)),E260*L1_LTotal*L1_MFleet,"L、m 非數字（本情境）"),E260)</f>
        <v>6.76180064889054</v>
      </c>
      <c r="F326" s="218" t="n">
        <f aca="false">IF(ISNUMBER(F260),IF(AND(ISNUMBER(L1_LTotal),ISNUMBER(L1_MFleet)),F260*L1_LTotal*L1_MFleet,"L、m 非數字（本情境）"),F260)</f>
        <v>30.1485126094542</v>
      </c>
      <c r="G326" s="218" t="n">
        <f aca="false">IF(ISNUMBER(G260),IF(AND(ISNUMBER(L1_LTotal),ISNUMBER(L1_MFleet)),G260*L1_LTotal*L1_MFleet,"L、m 非數字（本情境）"),G260)</f>
        <v>30.1485126094542</v>
      </c>
      <c r="H326" s="218" t="n">
        <f aca="false">IF(ISNUMBER(H260),IF(AND(ISNUMBER(L1_LTotal),ISNUMBER(L1_MFleet)),H260*L1_LTotal*L1_MFleet,"L、m 非數字（本情境）"),H260)</f>
        <v>30.1485126094542</v>
      </c>
      <c r="I326" s="218" t="n">
        <f aca="false">IF(ISNUMBER(I260),IF(AND(ISNUMBER(L1_LTotal),ISNUMBER(L1_MFleet)),I260*L1_LTotal*L1_MFleet,"L、m 非數字（本情境）"),I260)</f>
        <v>43.8924966186716</v>
      </c>
      <c r="J326" s="218" t="n">
        <f aca="false">IF(ISNUMBER(J260),IF(AND(ISNUMBER(L1_LTotal),ISNUMBER(L1_MFleet)),J260*L1_LTotal*L1_MFleet,"L、m 非數字（本情境）"),J260)</f>
        <v>43.8924966186716</v>
      </c>
      <c r="K326" s="218" t="n">
        <f aca="false">IF(ISNUMBER(K260),IF(AND(ISNUMBER(L1_LTotal),ISNUMBER(L1_MFleet)),K260*L1_LTotal*L1_MFleet,"L、m 非數字（本情境）"),K260)</f>
        <v>43.8924966186716</v>
      </c>
      <c r="L326" s="218" t="n">
        <f aca="false">IF(ISNUMBER(L260),IF(AND(ISNUMBER(L1_LTotal),ISNUMBER(L1_MFleet)),L260*L1_LTotal*L1_MFleet,"L、m 非數字（本情境）"),L260)</f>
        <v>66.1791408032588</v>
      </c>
      <c r="M326" s="218" t="n">
        <f aca="false">IF(ISNUMBER(M260),IF(AND(ISNUMBER(L1_LTotal),ISNUMBER(L1_MFleet)),M260*L1_LTotal*L1_MFleet,"L、m 非數字（本情境）"),M260)</f>
        <v>66.1791408032588</v>
      </c>
      <c r="N326" s="218" t="n">
        <f aca="false">IF(ISNUMBER(N260),IF(AND(ISNUMBER(L1_LTotal),ISNUMBER(L1_MFleet)),N260*L1_LTotal*L1_MFleet,"L、m 非數字（本情境）"),N260)</f>
        <v>66.1791408032588</v>
      </c>
      <c r="O326" s="218" t="n">
        <f aca="false">IF(ISNUMBER(O260),IF(AND(ISNUMBER(L1_LTotal),ISNUMBER(L1_MFleet)),O260*L1_LTotal*L1_MFleet,"L、m 非數字（本情境）"),O260)</f>
        <v>90.2053953559915</v>
      </c>
      <c r="P326" s="218" t="n">
        <f aca="false">IF(ISNUMBER(P260),IF(AND(ISNUMBER(L1_LTotal),ISNUMBER(L1_MFleet)),P260*L1_LTotal*L1_MFleet,"L、m 非數字（本情境）"),P260)</f>
        <v>90.2053953559915</v>
      </c>
      <c r="Q326" s="218" t="n">
        <f aca="false">IF(ISNUMBER(Q260),IF(AND(ISNUMBER(L1_LTotal),ISNUMBER(L1_MFleet)),Q260*L1_LTotal*L1_MFleet,"L、m 非數字（本情境）"),Q260)</f>
        <v>90.2053953559915</v>
      </c>
      <c r="R326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3800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6" s="21" t="s">
        <v>3806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3808</v>
      </c>
      <c r="B327" s="30" t="s">
        <v>2255</v>
      </c>
      <c r="C327" s="218" t="n">
        <f aca="false">IF(ISNUMBER(C265),IF(AND(ISNUMBER(L1_LTotal),ISNUMBER(L1_MFleet)),C265*L1_LTotal*L1_MFleet,"L、m 非數字（本情境）"),C265)</f>
        <v>5.98446495754691</v>
      </c>
      <c r="D327" s="218" t="n">
        <f aca="false">IF(ISNUMBER(D265),IF(AND(ISNUMBER(L1_LTotal),ISNUMBER(L1_MFleet)),D265*L1_LTotal*L1_MFleet,"L、m 非數字（本情境）"),D265)</f>
        <v>5.98446495754691</v>
      </c>
      <c r="E327" s="218" t="n">
        <f aca="false">IF(ISNUMBER(E265),IF(AND(ISNUMBER(L1_LTotal),ISNUMBER(L1_MFleet)),E265*L1_LTotal*L1_MFleet,"L、m 非數字（本情境）"),E265)</f>
        <v>5.98446495754691</v>
      </c>
      <c r="F327" s="218" t="n">
        <f aca="false">IF(ISNUMBER(F265),IF(AND(ISNUMBER(L1_LTotal),ISNUMBER(L1_MFleet)),F265*L1_LTotal*L1_MFleet,"L、m 非數字（本情境）"),F265)</f>
        <v>28.3965066631818</v>
      </c>
      <c r="G327" s="218" t="n">
        <f aca="false">IF(ISNUMBER(G265),IF(AND(ISNUMBER(L1_LTotal),ISNUMBER(L1_MFleet)),G265*L1_LTotal*L1_MFleet,"L、m 非數字（本情境）"),G265)</f>
        <v>28.3965066631818</v>
      </c>
      <c r="H327" s="218" t="n">
        <f aca="false">IF(ISNUMBER(H265),IF(AND(ISNUMBER(L1_LTotal),ISNUMBER(L1_MFleet)),H265*L1_LTotal*L1_MFleet,"L、m 非數字（本情境）"),H265)</f>
        <v>28.3965066631818</v>
      </c>
      <c r="I327" s="218" t="n">
        <f aca="false">IF(ISNUMBER(I265),IF(AND(ISNUMBER(L1_LTotal),ISNUMBER(L1_MFleet)),I265*L1_LTotal*L1_MFleet,"L、m 非數字（本情境）"),I265)</f>
        <v>37.0435093182099</v>
      </c>
      <c r="J327" s="218" t="n">
        <f aca="false">IF(ISNUMBER(J265),IF(AND(ISNUMBER(L1_LTotal),ISNUMBER(L1_MFleet)),J265*L1_LTotal*L1_MFleet,"L、m 非數字（本情境）"),J265)</f>
        <v>37.0435093182099</v>
      </c>
      <c r="K327" s="218" t="n">
        <f aca="false">IF(ISNUMBER(K265),IF(AND(ISNUMBER(L1_LTotal),ISNUMBER(L1_MFleet)),K265*L1_LTotal*L1_MFleet,"L、m 非數字（本情境）"),K265)</f>
        <v>37.0435093182099</v>
      </c>
      <c r="L327" s="218" t="n">
        <f aca="false">IF(ISNUMBER(L265),IF(AND(ISNUMBER(L1_LTotal),ISNUMBER(L1_MFleet)),L265*L1_LTotal*L1_MFleet,"L、m 非數字（本情境）"),L265)</f>
        <v>67.3151583848965</v>
      </c>
      <c r="M327" s="218" t="n">
        <f aca="false">IF(ISNUMBER(M265),IF(AND(ISNUMBER(L1_LTotal),ISNUMBER(L1_MFleet)),M265*L1_LTotal*L1_MFleet,"L、m 非數字（本情境）"),M265)</f>
        <v>67.3151583848965</v>
      </c>
      <c r="N327" s="218" t="n">
        <f aca="false">IF(ISNUMBER(N265),IF(AND(ISNUMBER(L1_LTotal),ISNUMBER(L1_MFleet)),N265*L1_LTotal*L1_MFleet,"L、m 非數字（本情境）"),N265)</f>
        <v>67.3151583848965</v>
      </c>
      <c r="O327" s="218" t="n">
        <f aca="false">IF(ISNUMBER(O265),IF(AND(ISNUMBER(L1_LTotal),ISNUMBER(L1_MFleet)),O265*L1_LTotal*L1_MFleet,"L、m 非數字（本情境）"),O265)</f>
        <v>95.7312062299653</v>
      </c>
      <c r="P327" s="218" t="n">
        <f aca="false">IF(ISNUMBER(P265),IF(AND(ISNUMBER(L1_LTotal),ISNUMBER(L1_MFleet)),P265*L1_LTotal*L1_MFleet,"L、m 非數字（本情境）"),P265)</f>
        <v>95.7312062299653</v>
      </c>
      <c r="Q327" s="218" t="n">
        <f aca="false">IF(ISNUMBER(Q265),IF(AND(ISNUMBER(L1_LTotal),ISNUMBER(L1_MFleet)),Q265*L1_LTotal*L1_MFleet,"L、m 非數字（本情境）"),Q265)</f>
        <v>95.7312062299653</v>
      </c>
      <c r="R327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3800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7" s="21" t="s">
        <v>3806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3809</v>
      </c>
      <c r="B328" s="30" t="s">
        <v>2255</v>
      </c>
      <c r="C328" s="218" t="n">
        <f aca="false">IF(ISNUMBER(C270),IF(AND(ISNUMBER(L1_LTotal),ISNUMBER(L1_MFleet)),C270*L1_LTotal*L1_MFleet,"L、m 非數字（本情境）"),C270)</f>
        <v>1.28400808280722</v>
      </c>
      <c r="D328" s="218" t="n">
        <f aca="false">IF(ISNUMBER(D270),IF(AND(ISNUMBER(L1_LTotal),ISNUMBER(L1_MFleet)),D270*L1_LTotal*L1_MFleet,"L、m 非數字（本情境）"),D270)</f>
        <v>1.28400808280722</v>
      </c>
      <c r="E328" s="218" t="n">
        <f aca="false">IF(ISNUMBER(E270),IF(AND(ISNUMBER(L1_LTotal),ISNUMBER(L1_MFleet)),E270*L1_LTotal*L1_MFleet,"L、m 非數字（本情境）"),E270)</f>
        <v>1.28400808280722</v>
      </c>
      <c r="F328" s="218" t="n">
        <f aca="false">IF(ISNUMBER(F270),IF(AND(ISNUMBER(L1_LTotal),ISNUMBER(L1_MFleet)),F270*L1_LTotal*L1_MFleet,"L、m 非數字（本情境）"),F270)</f>
        <v>5.95593071271939</v>
      </c>
      <c r="G328" s="218" t="n">
        <f aca="false">IF(ISNUMBER(G270),IF(AND(ISNUMBER(L1_LTotal),ISNUMBER(L1_MFleet)),G270*L1_LTotal*L1_MFleet,"L、m 非數字（本情境）"),G270)</f>
        <v>5.95593071271939</v>
      </c>
      <c r="H328" s="218" t="n">
        <f aca="false">IF(ISNUMBER(H270),IF(AND(ISNUMBER(L1_LTotal),ISNUMBER(L1_MFleet)),H270*L1_LTotal*L1_MFleet,"L、m 非數字（本情境）"),H270)</f>
        <v>5.95593071271939</v>
      </c>
      <c r="I328" s="218" t="n">
        <f aca="false">IF(ISNUMBER(I270),IF(AND(ISNUMBER(L1_LTotal),ISNUMBER(L1_MFleet)),I270*L1_LTotal*L1_MFleet,"L、m 非數字（本情境）"),I270)</f>
        <v>8.12963306771559</v>
      </c>
      <c r="J328" s="218" t="n">
        <f aca="false">IF(ISNUMBER(J270),IF(AND(ISNUMBER(L1_LTotal),ISNUMBER(L1_MFleet)),J270*L1_LTotal*L1_MFleet,"L、m 非數字（本情境）"),J270)</f>
        <v>8.12963306771559</v>
      </c>
      <c r="K328" s="218" t="n">
        <f aca="false">IF(ISNUMBER(K270),IF(AND(ISNUMBER(L1_LTotal),ISNUMBER(L1_MFleet)),K270*L1_LTotal*L1_MFleet,"L、m 非數字（本情境）"),K270)</f>
        <v>8.12963306771559</v>
      </c>
      <c r="L328" s="218" t="n">
        <f aca="false">IF(ISNUMBER(L270),IF(AND(ISNUMBER(L1_LTotal),ISNUMBER(L1_MFleet)),L270*L1_LTotal*L1_MFleet,"L、m 非數字（本情境）"),L270)</f>
        <v>13.5997600297149</v>
      </c>
      <c r="M328" s="218" t="n">
        <f aca="false">IF(ISNUMBER(M270),IF(AND(ISNUMBER(L1_LTotal),ISNUMBER(L1_MFleet)),M270*L1_LTotal*L1_MFleet,"L、m 非數字（本情境）"),M270)</f>
        <v>13.5997600297149</v>
      </c>
      <c r="N328" s="218" t="n">
        <f aca="false">IF(ISNUMBER(N270),IF(AND(ISNUMBER(L1_LTotal),ISNUMBER(L1_MFleet)),N270*L1_LTotal*L1_MFleet,"L、m 非數字（本情境）"),N270)</f>
        <v>13.5997600297149</v>
      </c>
      <c r="O328" s="218" t="n">
        <f aca="false">IF(ISNUMBER(O270),IF(AND(ISNUMBER(L1_LTotal),ISNUMBER(L1_MFleet)),O270*L1_LTotal*L1_MFleet,"L、m 非數字（本情境）"),O270)</f>
        <v>18.95080519695</v>
      </c>
      <c r="P328" s="218" t="n">
        <f aca="false">IF(ISNUMBER(P270),IF(AND(ISNUMBER(L1_LTotal),ISNUMBER(L1_MFleet)),P270*L1_LTotal*L1_MFleet,"L、m 非數字（本情境）"),P270)</f>
        <v>18.95080519695</v>
      </c>
      <c r="Q328" s="218" t="n">
        <f aca="false">IF(ISNUMBER(Q270),IF(AND(ISNUMBER(L1_LTotal),ISNUMBER(L1_MFleet)),Q270*L1_LTotal*L1_MFleet,"L、m 非數字（本情境）"),Q270)</f>
        <v>18.95080519695</v>
      </c>
      <c r="R328" s="186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,Gov_Map!$AG$687:$AG$688)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,Gov_Map!$AH$687:$AH$688)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3800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,Gov_Map!$AJ$687:$AJ$688)</f>
        <v>20261008</v>
      </c>
      <c r="W328" s="21" t="s">
        <v>3806</v>
      </c>
      <c r="X328" s="32" t="n">
        <f aca="false">IF(ISNUMBER(FIND("上限",S328)),1,0)</f>
        <v>1</v>
      </c>
      <c r="Y328" s="32" t="n">
        <v>1</v>
      </c>
    </row>
    <row r="330" customFormat="false" ht="15" hidden="false" customHeight="true" outlineLevel="0" collapsed="false">
      <c r="A330" s="43" t="s">
        <v>3810</v>
      </c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</row>
    <row r="331" customFormat="false" ht="15" hidden="false" customHeight="true" outlineLevel="0" collapsed="false">
      <c r="A331" s="44" t="s">
        <v>3811</v>
      </c>
      <c r="B331" s="30" t="s">
        <v>132</v>
      </c>
      <c r="C331" s="201" t="n">
        <f aca="false">Workload!C38</f>
        <v>1</v>
      </c>
      <c r="D331" s="201" t="n">
        <f aca="false">Workload!D38</f>
        <v>2.06666666666667</v>
      </c>
      <c r="E331" s="201" t="n">
        <f aca="false">Workload!E38</f>
        <v>9.2</v>
      </c>
      <c r="F331" s="201" t="n">
        <f aca="false">Workload!F38</f>
        <v>36.8</v>
      </c>
      <c r="G331" s="201" t="n">
        <f aca="false">Workload!G38</f>
        <v>498</v>
      </c>
      <c r="R331" s="186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331" s="44" t="str">
        <f aca="false">IF(R331="—","—",IF(R331="A","基準輸入",IF(R331="B","情境、相對比較、反轉門檻","探索")))</f>
        <v>情境、相對比較、反轉門檻</v>
      </c>
      <c r="T331" s="30" t="s">
        <v>809</v>
      </c>
      <c r="U331" s="44" t="str">
        <f aca="false">IF(V331=0,"—",LEFT(TEXT(V331,"0"),4)&amp;"-"&amp;MID(TEXT(V331,"0"),5,2)&amp;"-"&amp;RIGHT(TEXT(V331,"0"),2))</f>
        <v>—</v>
      </c>
      <c r="V331" s="33" t="n">
        <f aca="false">MAX(Gov_Map!$AJ$255:$AJ$304,Gov_Map!$AJ$483,Gov_Map!$AJ$485:$AJ$490,Gov_Map!$AJ$494:$AJ$498,Gov_Map!$AJ$502,Gov_Map!$AJ$521:$AJ$522,Gov_Map!$AJ$659)</f>
        <v>0</v>
      </c>
      <c r="W331" s="21" t="s">
        <v>3613</v>
      </c>
      <c r="X331" s="32" t="n">
        <f aca="false">IF(ISNUMBER(FIND("上限",S331)),1,0)</f>
        <v>0</v>
      </c>
      <c r="Y331" s="32" t="n">
        <v>0</v>
      </c>
    </row>
    <row r="332" customFormat="false" ht="15" hidden="false" customHeight="true" outlineLevel="0" collapsed="false">
      <c r="A332" s="8" t="s">
        <v>302</v>
      </c>
    </row>
    <row r="333" customFormat="false" ht="15" hidden="false" customHeight="true" outlineLevel="0" collapsed="false">
      <c r="A333" s="44" t="s">
        <v>3812</v>
      </c>
      <c r="B333" s="30" t="s">
        <v>355</v>
      </c>
      <c r="C333" s="219" t="n">
        <f aca="false">INDEX(Training!$C$109:$Q$109,3*(Unit_Cost!C$6-1)+1)</f>
        <v>4.80829842560294E+024</v>
      </c>
      <c r="D333" s="219" t="n">
        <f aca="false">INDEX(Training!$C$109:$Q$109,3*(Unit_Cost!D$6-1)+1)</f>
        <v>4.80829842560294E+024</v>
      </c>
      <c r="E333" s="219" t="n">
        <f aca="false">INDEX(Training!$C$109:$Q$109,3*(Unit_Cost!E$6-1)+1)</f>
        <v>4.80829842560294E+024</v>
      </c>
      <c r="F333" s="219" t="n">
        <f aca="false">INDEX(Training!$C$109:$Q$109,3*(Unit_Cost!F$6-1)+1)</f>
        <v>4.80829842560294E+024</v>
      </c>
      <c r="G333" s="219" t="n">
        <f aca="false">INDEX(Training!$C$109:$Q$109,3*(Unit_Cost!G$6-1)+1)</f>
        <v>4.80829842560294E+024</v>
      </c>
      <c r="H333" s="219" t="n">
        <f aca="false">INDEX(Training!$C$109:$Q$109,3*(Unit_Cost!H$6-1)+1)</f>
        <v>4.80829842560294E+024</v>
      </c>
      <c r="I333" s="219" t="n">
        <f aca="false">INDEX(Training!$C$109:$Q$109,3*(Unit_Cost!I$6-1)+1)</f>
        <v>4.80829842560294E+024</v>
      </c>
      <c r="J333" s="219" t="n">
        <f aca="false">INDEX(Training!$C$109:$Q$109,3*(Unit_Cost!J$6-1)+1)</f>
        <v>4.80829842560294E+024</v>
      </c>
      <c r="K333" s="219" t="n">
        <f aca="false">INDEX(Training!$C$109:$Q$109,3*(Unit_Cost!K$6-1)+1)</f>
        <v>4.80829842560294E+024</v>
      </c>
      <c r="L333" s="219" t="n">
        <f aca="false">INDEX(Training!$C$109:$Q$109,3*(Unit_Cost!L$6-1)+1)</f>
        <v>4.80829842560294E+024</v>
      </c>
      <c r="M333" s="219" t="n">
        <f aca="false">INDEX(Training!$C$109:$Q$109,3*(Unit_Cost!M$6-1)+1)</f>
        <v>4.80829842560294E+024</v>
      </c>
      <c r="N333" s="219" t="n">
        <f aca="false">INDEX(Training!$C$109:$Q$109,3*(Unit_Cost!N$6-1)+1)</f>
        <v>4.80829842560294E+024</v>
      </c>
      <c r="O333" s="219" t="n">
        <f aca="false">INDEX(Training!$C$109:$Q$109,3*(Unit_Cost!O$6-1)+1)</f>
        <v>4.80829842560294E+024</v>
      </c>
      <c r="P333" s="219" t="n">
        <f aca="false">INDEX(Training!$C$109:$Q$109,3*(Unit_Cost!P$6-1)+1)</f>
        <v>4.80829842560294E+024</v>
      </c>
      <c r="Q333" s="219" t="n">
        <f aca="false">INDEX(Training!$C$109:$Q$109,3*(Unit_Cost!Q$6-1)+1)</f>
        <v>4.80829842560294E+024</v>
      </c>
      <c r="R333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3" s="44" t="str">
        <f aca="false">IF(R333="—","—",IF(R333="A","基準輸入",IF(R333="B","情境、相對比較、反轉門檻","探索")))</f>
        <v>情境、相對比較、反轉門檻</v>
      </c>
      <c r="T333" s="30" t="s">
        <v>809</v>
      </c>
      <c r="U333" s="44" t="str">
        <f aca="false">IF(V333=0,"—",LEFT(TEXT(V333,"0"),4)&amp;"-"&amp;MID(TEXT(V333,"0"),5,2)&amp;"-"&amp;RIGHT(TEXT(V333,"0"),2))</f>
        <v>2026-10-05</v>
      </c>
      <c r="V333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3" s="21" t="s">
        <v>3813</v>
      </c>
      <c r="X333" s="32" t="n">
        <f aca="false">IF(ISNUMBER(FIND("上限",S333)),1,0)</f>
        <v>0</v>
      </c>
      <c r="Y333" s="32" t="n">
        <v>0</v>
      </c>
    </row>
    <row r="334" customFormat="false" ht="15" hidden="false" customHeight="true" outlineLevel="0" collapsed="false">
      <c r="A334" s="44" t="s">
        <v>3814</v>
      </c>
      <c r="B334" s="30" t="s">
        <v>127</v>
      </c>
      <c r="C334" s="198" t="n">
        <f aca="false">INDEX(Training!$C$114:$Q$114,3*(Unit_Cost!C$6-1)+1)</f>
        <v>0.617273449727603</v>
      </c>
      <c r="D334" s="198" t="n">
        <f aca="false">INDEX(Training!$C$114:$Q$114,3*(Unit_Cost!D$6-1)+1)</f>
        <v>0.617273449727603</v>
      </c>
      <c r="E334" s="198" t="n">
        <f aca="false">INDEX(Training!$C$114:$Q$114,3*(Unit_Cost!E$6-1)+1)</f>
        <v>0.617273449727603</v>
      </c>
      <c r="F334" s="198" t="n">
        <f aca="false">INDEX(Training!$C$114:$Q$114,3*(Unit_Cost!F$6-1)+1)</f>
        <v>0.272551520706235</v>
      </c>
      <c r="G334" s="198" t="n">
        <f aca="false">INDEX(Training!$C$114:$Q$114,3*(Unit_Cost!G$6-1)+1)</f>
        <v>0.272551520706235</v>
      </c>
      <c r="H334" s="198" t="n">
        <f aca="false">INDEX(Training!$C$114:$Q$114,3*(Unit_Cost!H$6-1)+1)</f>
        <v>0.272551520706235</v>
      </c>
      <c r="I334" s="198" t="n">
        <f aca="false">INDEX(Training!$C$114:$Q$114,3*(Unit_Cost!I$6-1)+1)</f>
        <v>0.377763233719673</v>
      </c>
      <c r="J334" s="198" t="n">
        <f aca="false">INDEX(Training!$C$114:$Q$114,3*(Unit_Cost!J$6-1)+1)</f>
        <v>0.377763233719673</v>
      </c>
      <c r="K334" s="198" t="n">
        <f aca="false">INDEX(Training!$C$114:$Q$114,3*(Unit_Cost!K$6-1)+1)</f>
        <v>0.377763233719673</v>
      </c>
      <c r="L334" s="198" t="n">
        <f aca="false">INDEX(Training!$C$114:$Q$114,3*(Unit_Cost!L$6-1)+1)</f>
        <v>0.502022119041945</v>
      </c>
      <c r="M334" s="198" t="n">
        <f aca="false">INDEX(Training!$C$114:$Q$114,3*(Unit_Cost!M$6-1)+1)</f>
        <v>0.502022119041945</v>
      </c>
      <c r="N334" s="198" t="n">
        <f aca="false">INDEX(Training!$C$114:$Q$114,3*(Unit_Cost!N$6-1)+1)</f>
        <v>0.502022119041945</v>
      </c>
      <c r="O334" s="198" t="n">
        <f aca="false">INDEX(Training!$C$114:$Q$114,3*(Unit_Cost!O$6-1)+1)</f>
        <v>0.425237389883087</v>
      </c>
      <c r="P334" s="198" t="n">
        <f aca="false">INDEX(Training!$C$114:$Q$114,3*(Unit_Cost!P$6-1)+1)</f>
        <v>0.425237389883087</v>
      </c>
      <c r="Q334" s="198" t="n">
        <f aca="false">INDEX(Training!$C$114:$Q$114,3*(Unit_Cost!Q$6-1)+1)</f>
        <v>0.425237389883087</v>
      </c>
      <c r="R334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4" s="44" t="str">
        <f aca="false">IF(R334="—","—",IF(R334="A","基準輸入",IF(R334="B","情境、相對比較、反轉門檻","探索")))</f>
        <v>情境、相對比較、反轉門檻</v>
      </c>
      <c r="T334" s="30" t="s">
        <v>809</v>
      </c>
      <c r="U334" s="44" t="str">
        <f aca="false">IF(V334=0,"—",LEFT(TEXT(V334,"0"),4)&amp;"-"&amp;MID(TEXT(V334,"0"),5,2)&amp;"-"&amp;RIGHT(TEXT(V334,"0"),2))</f>
        <v>2026-10-05</v>
      </c>
      <c r="V33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4" s="21" t="s">
        <v>3493</v>
      </c>
      <c r="X334" s="32" t="n">
        <f aca="false">IF(ISNUMBER(FIND("上限",S334)),1,0)</f>
        <v>0</v>
      </c>
      <c r="Y334" s="32" t="n">
        <v>0</v>
      </c>
    </row>
    <row r="335" customFormat="false" ht="15" hidden="false" customHeight="true" outlineLevel="0" collapsed="false">
      <c r="A335" s="44" t="s">
        <v>3815</v>
      </c>
      <c r="B335" s="30" t="s">
        <v>127</v>
      </c>
      <c r="C335" s="198" t="n">
        <f aca="false">Theory_Rev!C24</f>
        <v>-1.64466602928405</v>
      </c>
      <c r="D335" s="198" t="n">
        <f aca="false">Theory_Rev!D24</f>
        <v>-2.77858347311658</v>
      </c>
      <c r="E335" s="198" t="n">
        <f aca="false">Theory_Rev!E24</f>
        <v>-5.48902475323338</v>
      </c>
      <c r="F335" s="198" t="n">
        <f aca="false">Theory_Rev!F24</f>
        <v>0.469373558642023</v>
      </c>
      <c r="G335" s="198" t="n">
        <f aca="false">Theory_Rev!G24</f>
        <v>0.291584243232548</v>
      </c>
      <c r="H335" s="198" t="n">
        <f aca="false">Theory_Rev!H24</f>
        <v>-0.148840970684629</v>
      </c>
      <c r="I335" s="198" t="n">
        <f aca="false">Theory_Rev!I24</f>
        <v>0.508446305123939</v>
      </c>
      <c r="J335" s="198" t="n">
        <f aca="false">Theory_Rev!J24</f>
        <v>0.365204160742031</v>
      </c>
      <c r="K335" s="198" t="n">
        <f aca="false">Theory_Rev!K24</f>
        <v>-0.0805920606921446</v>
      </c>
      <c r="L335" s="198" t="n">
        <f aca="false">Theory_Rev!L24</f>
        <v>0.625501575418007</v>
      </c>
      <c r="M335" s="198" t="n">
        <f aca="false">Theory_Rev!M24</f>
        <v>0.51874641171822</v>
      </c>
      <c r="N335" s="198" t="n">
        <f aca="false">Theory_Rev!N24</f>
        <v>0.222678375314202</v>
      </c>
      <c r="O335" s="198" t="n">
        <f aca="false">Theory_Rev!O24</f>
        <v>0.714757235222132</v>
      </c>
      <c r="P335" s="198" t="n">
        <f aca="false">Theory_Rev!P24</f>
        <v>0.566600421584675</v>
      </c>
      <c r="Q335" s="198" t="n">
        <f aca="false">Theory_Rev!Q24</f>
        <v>0.209018030469972</v>
      </c>
      <c r="R335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5" s="44" t="str">
        <f aca="false">IF(R335="—","—",IF(R335="A","基準輸入",IF(R335="B","情境、相對比較、反轉門檻","探索")))</f>
        <v>情境、相對比較、反轉門檻</v>
      </c>
      <c r="T335" s="30" t="s">
        <v>809</v>
      </c>
      <c r="U335" s="44" t="str">
        <f aca="false">IF(V335=0,"—",LEFT(TEXT(V335,"0"),4)&amp;"-"&amp;MID(TEXT(V335,"0"),5,2)&amp;"-"&amp;RIGHT(TEXT(V335,"0"),2))</f>
        <v>2026-10-08</v>
      </c>
      <c r="V3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5" s="21" t="s">
        <v>3549</v>
      </c>
      <c r="X335" s="32" t="n">
        <f aca="false">IF(ISNUMBER(FIND("上限",S335)),1,0)</f>
        <v>0</v>
      </c>
      <c r="Y335" s="32" t="n">
        <v>0</v>
      </c>
    </row>
    <row r="336" customFormat="false" ht="15" hidden="false" customHeight="true" outlineLevel="0" collapsed="false">
      <c r="A336" s="8" t="s">
        <v>303</v>
      </c>
    </row>
    <row r="337" customFormat="false" ht="15" hidden="false" customHeight="true" outlineLevel="0" collapsed="false">
      <c r="A337" s="44" t="s">
        <v>3816</v>
      </c>
      <c r="B337" s="30" t="s">
        <v>355</v>
      </c>
      <c r="C337" s="219" t="n">
        <f aca="false">INDEX(Training!$C$109:$Q$109,3*(Unit_Cost!C$6-1)+2)</f>
        <v>1.6345355852516E+025</v>
      </c>
      <c r="D337" s="219" t="n">
        <f aca="false">INDEX(Training!$C$109:$Q$109,3*(Unit_Cost!D$6-1)+2)</f>
        <v>1.6345355852516E+025</v>
      </c>
      <c r="E337" s="219" t="n">
        <f aca="false">INDEX(Training!$C$109:$Q$109,3*(Unit_Cost!E$6-1)+2)</f>
        <v>1.6345355852516E+025</v>
      </c>
      <c r="F337" s="219" t="n">
        <f aca="false">INDEX(Training!$C$109:$Q$109,3*(Unit_Cost!F$6-1)+2)</f>
        <v>1.6345355852516E+025</v>
      </c>
      <c r="G337" s="219" t="n">
        <f aca="false">INDEX(Training!$C$109:$Q$109,3*(Unit_Cost!G$6-1)+2)</f>
        <v>1.6345355852516E+025</v>
      </c>
      <c r="H337" s="219" t="n">
        <f aca="false">INDEX(Training!$C$109:$Q$109,3*(Unit_Cost!H$6-1)+2)</f>
        <v>1.6345355852516E+025</v>
      </c>
      <c r="I337" s="219" t="n">
        <f aca="false">INDEX(Training!$C$109:$Q$109,3*(Unit_Cost!I$6-1)+2)</f>
        <v>1.6345355852516E+025</v>
      </c>
      <c r="J337" s="219" t="n">
        <f aca="false">INDEX(Training!$C$109:$Q$109,3*(Unit_Cost!J$6-1)+2)</f>
        <v>1.6345355852516E+025</v>
      </c>
      <c r="K337" s="219" t="n">
        <f aca="false">INDEX(Training!$C$109:$Q$109,3*(Unit_Cost!K$6-1)+2)</f>
        <v>1.6345355852516E+025</v>
      </c>
      <c r="L337" s="219" t="n">
        <f aca="false">INDEX(Training!$C$109:$Q$109,3*(Unit_Cost!L$6-1)+2)</f>
        <v>1.6345355852516E+025</v>
      </c>
      <c r="M337" s="219" t="n">
        <f aca="false">INDEX(Training!$C$109:$Q$109,3*(Unit_Cost!M$6-1)+2)</f>
        <v>1.6345355852516E+025</v>
      </c>
      <c r="N337" s="219" t="n">
        <f aca="false">INDEX(Training!$C$109:$Q$109,3*(Unit_Cost!N$6-1)+2)</f>
        <v>1.6345355852516E+025</v>
      </c>
      <c r="O337" s="219" t="n">
        <f aca="false">INDEX(Training!$C$109:$Q$109,3*(Unit_Cost!O$6-1)+2)</f>
        <v>1.6345355852516E+025</v>
      </c>
      <c r="P337" s="219" t="n">
        <f aca="false">INDEX(Training!$C$109:$Q$109,3*(Unit_Cost!P$6-1)+2)</f>
        <v>1.6345355852516E+025</v>
      </c>
      <c r="Q337" s="219" t="n">
        <f aca="false">INDEX(Training!$C$109:$Q$109,3*(Unit_Cost!Q$6-1)+2)</f>
        <v>1.6345355852516E+025</v>
      </c>
      <c r="R337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37" s="44" t="str">
        <f aca="false">IF(R337="—","—",IF(R337="A","基準輸入",IF(R337="B","情境、相對比較、反轉門檻","探索")))</f>
        <v>情境、相對比較、反轉門檻</v>
      </c>
      <c r="T337" s="30" t="s">
        <v>809</v>
      </c>
      <c r="U337" s="44" t="str">
        <f aca="false">IF(V337=0,"—",LEFT(TEXT(V337,"0"),4)&amp;"-"&amp;MID(TEXT(V337,"0"),5,2)&amp;"-"&amp;RIGHT(TEXT(V337,"0"),2))</f>
        <v>2026-10-05</v>
      </c>
      <c r="V337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37" s="21" t="s">
        <v>3813</v>
      </c>
      <c r="X337" s="32" t="n">
        <f aca="false">IF(ISNUMBER(FIND("上限",S337)),1,0)</f>
        <v>0</v>
      </c>
      <c r="Y337" s="32" t="n">
        <v>0</v>
      </c>
    </row>
    <row r="338" customFormat="false" ht="15" hidden="false" customHeight="true" outlineLevel="0" collapsed="false">
      <c r="A338" s="44" t="s">
        <v>3817</v>
      </c>
      <c r="B338" s="30" t="s">
        <v>127</v>
      </c>
      <c r="C338" s="198" t="n">
        <f aca="false">INDEX(Training!$C$114:$Q$114,3*(Unit_Cost!C$6-1)+2)</f>
        <v>0.509209053044906</v>
      </c>
      <c r="D338" s="198" t="n">
        <f aca="false">INDEX(Training!$C$114:$Q$114,3*(Unit_Cost!D$6-1)+2)</f>
        <v>0.509209053044906</v>
      </c>
      <c r="E338" s="198" t="n">
        <f aca="false">INDEX(Training!$C$114:$Q$114,3*(Unit_Cost!E$6-1)+2)</f>
        <v>0.509209053044906</v>
      </c>
      <c r="F338" s="198" t="n">
        <f aca="false">INDEX(Training!$C$114:$Q$114,3*(Unit_Cost!F$6-1)+2)</f>
        <v>0.193298000633985</v>
      </c>
      <c r="G338" s="198" t="n">
        <f aca="false">INDEX(Training!$C$114:$Q$114,3*(Unit_Cost!G$6-1)+2)</f>
        <v>0.193298000633985</v>
      </c>
      <c r="H338" s="198" t="n">
        <f aca="false">INDEX(Training!$C$114:$Q$114,3*(Unit_Cost!H$6-1)+2)</f>
        <v>0.193298000633985</v>
      </c>
      <c r="I338" s="198" t="n">
        <f aca="false">INDEX(Training!$C$114:$Q$114,3*(Unit_Cost!I$6-1)+2)</f>
        <v>0.278677028573849</v>
      </c>
      <c r="J338" s="198" t="n">
        <f aca="false">INDEX(Training!$C$114:$Q$114,3*(Unit_Cost!J$6-1)+2)</f>
        <v>0.278677028573849</v>
      </c>
      <c r="K338" s="198" t="n">
        <f aca="false">INDEX(Training!$C$114:$Q$114,3*(Unit_Cost!K$6-1)+2)</f>
        <v>0.278677028573849</v>
      </c>
      <c r="L338" s="198" t="n">
        <f aca="false">INDEX(Training!$C$114:$Q$114,3*(Unit_Cost!L$6-1)+2)</f>
        <v>0.391159262955</v>
      </c>
      <c r="M338" s="198" t="n">
        <f aca="false">INDEX(Training!$C$114:$Q$114,3*(Unit_Cost!M$6-1)+2)</f>
        <v>0.391159262955</v>
      </c>
      <c r="N338" s="198" t="n">
        <f aca="false">INDEX(Training!$C$114:$Q$114,3*(Unit_Cost!N$6-1)+2)</f>
        <v>0.391159262955</v>
      </c>
      <c r="O338" s="198" t="n">
        <f aca="false">INDEX(Training!$C$114:$Q$114,3*(Unit_Cost!O$6-1)+2)</f>
        <v>0.320544061824616</v>
      </c>
      <c r="P338" s="198" t="n">
        <f aca="false">INDEX(Training!$C$114:$Q$114,3*(Unit_Cost!P$6-1)+2)</f>
        <v>0.320544061824616</v>
      </c>
      <c r="Q338" s="198" t="n">
        <f aca="false">INDEX(Training!$C$114:$Q$114,3*(Unit_Cost!Q$6-1)+2)</f>
        <v>0.320544061824616</v>
      </c>
      <c r="R338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38" s="44" t="str">
        <f aca="false">IF(R338="—","—",IF(R338="A","基準輸入",IF(R338="B","情境、相對比較、反轉門檻","探索")))</f>
        <v>情境、相對比較、反轉門檻</v>
      </c>
      <c r="T338" s="30" t="s">
        <v>809</v>
      </c>
      <c r="U338" s="44" t="str">
        <f aca="false">IF(V338=0,"—",LEFT(TEXT(V338,"0"),4)&amp;"-"&amp;MID(TEXT(V338,"0"),5,2)&amp;"-"&amp;RIGHT(TEXT(V338,"0"),2))</f>
        <v>2026-10-05</v>
      </c>
      <c r="V33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38" s="21" t="s">
        <v>3493</v>
      </c>
      <c r="X338" s="32" t="n">
        <f aca="false">IF(ISNUMBER(FIND("上限",S338)),1,0)</f>
        <v>0</v>
      </c>
      <c r="Y338" s="32" t="n">
        <v>0</v>
      </c>
    </row>
    <row r="339" customFormat="false" ht="15" hidden="false" customHeight="true" outlineLevel="0" collapsed="false">
      <c r="A339" s="44" t="s">
        <v>3818</v>
      </c>
      <c r="B339" s="30" t="s">
        <v>127</v>
      </c>
      <c r="C339" s="198" t="n">
        <f aca="false">Theory_Rev!C42</f>
        <v>0.619100687244222</v>
      </c>
      <c r="D339" s="198" t="n">
        <f aca="false">Theory_Rev!D42</f>
        <v>0.455782266458514</v>
      </c>
      <c r="E339" s="198" t="n">
        <f aca="false">Theory_Rev!E42</f>
        <v>0.0653967124583024</v>
      </c>
      <c r="F339" s="198" t="n">
        <f aca="false">Theory_Rev!F42</f>
        <v>0.916671167593643</v>
      </c>
      <c r="G339" s="198" t="n">
        <f aca="false">Theory_Rev!G42</f>
        <v>0.88874696282043</v>
      </c>
      <c r="H339" s="198" t="n">
        <f aca="false">Theory_Rev!H42</f>
        <v>0.819572255485605</v>
      </c>
      <c r="I339" s="198" t="n">
        <f aca="false">Theory_Rev!I42</f>
        <v>0.924742185963559</v>
      </c>
      <c r="J339" s="198" t="n">
        <f aca="false">Theory_Rev!J42</f>
        <v>0.902807731186605</v>
      </c>
      <c r="K339" s="198" t="n">
        <f aca="false">Theory_Rev!K42</f>
        <v>0.834543624271854</v>
      </c>
      <c r="L339" s="198" t="n">
        <f aca="false">Theory_Rev!L42</f>
        <v>0.945098870959711</v>
      </c>
      <c r="M339" s="198" t="n">
        <f aca="false">Theory_Rev!M42</f>
        <v>0.929445151757729</v>
      </c>
      <c r="N339" s="198" t="n">
        <f aca="false">Theory_Rev!N42</f>
        <v>0.886032114430712</v>
      </c>
      <c r="O339" s="198" t="n">
        <f aca="false">Theory_Rev!O42</f>
        <v>0.957700415081478</v>
      </c>
      <c r="P339" s="198" t="n">
        <f aca="false">Theory_Rev!P42</f>
        <v>0.935723466596503</v>
      </c>
      <c r="Q339" s="198" t="n">
        <f aca="false">Theory_Rev!Q42</f>
        <v>0.882681223072744</v>
      </c>
      <c r="R339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39" s="44" t="str">
        <f aca="false">IF(R339="—","—",IF(R339="A","基準輸入",IF(R339="B","情境、相對比較、反轉門檻","探索")))</f>
        <v>情境、相對比較、反轉門檻</v>
      </c>
      <c r="T339" s="30" t="s">
        <v>809</v>
      </c>
      <c r="U339" s="44" t="str">
        <f aca="false">IF(V339=0,"—",LEFT(TEXT(V339,"0"),4)&amp;"-"&amp;MID(TEXT(V339,"0"),5,2)&amp;"-"&amp;RIGHT(TEXT(V339,"0"),2))</f>
        <v>2026-10-08</v>
      </c>
      <c r="V33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39" s="21" t="s">
        <v>3549</v>
      </c>
      <c r="X339" s="32" t="n">
        <f aca="false">IF(ISNUMBER(FIND("上限",S339)),1,0)</f>
        <v>0</v>
      </c>
      <c r="Y339" s="32" t="n">
        <v>0</v>
      </c>
    </row>
    <row r="340" customFormat="false" ht="15" hidden="false" customHeight="true" outlineLevel="0" collapsed="false">
      <c r="A340" s="8" t="s">
        <v>304</v>
      </c>
    </row>
    <row r="341" customFormat="false" ht="15" hidden="false" customHeight="true" outlineLevel="0" collapsed="false">
      <c r="A341" s="44" t="s">
        <v>3819</v>
      </c>
      <c r="B341" s="30" t="s">
        <v>355</v>
      </c>
      <c r="C341" s="219" t="n">
        <f aca="false">INDEX(Training!$C$109:$Q$109,3*(Unit_Cost!C$6-1)+3)</f>
        <v>1.0080164477952E+026</v>
      </c>
      <c r="D341" s="219" t="n">
        <f aca="false">INDEX(Training!$C$109:$Q$109,3*(Unit_Cost!D$6-1)+3)</f>
        <v>1.0080164477952E+026</v>
      </c>
      <c r="E341" s="219" t="n">
        <f aca="false">INDEX(Training!$C$109:$Q$109,3*(Unit_Cost!E$6-1)+3)</f>
        <v>1.0080164477952E+026</v>
      </c>
      <c r="F341" s="219" t="n">
        <f aca="false">INDEX(Training!$C$109:$Q$109,3*(Unit_Cost!F$6-1)+3)</f>
        <v>1.0080164477952E+026</v>
      </c>
      <c r="G341" s="219" t="n">
        <f aca="false">INDEX(Training!$C$109:$Q$109,3*(Unit_Cost!G$6-1)+3)</f>
        <v>1.0080164477952E+026</v>
      </c>
      <c r="H341" s="219" t="n">
        <f aca="false">INDEX(Training!$C$109:$Q$109,3*(Unit_Cost!H$6-1)+3)</f>
        <v>1.0080164477952E+026</v>
      </c>
      <c r="I341" s="219" t="n">
        <f aca="false">INDEX(Training!$C$109:$Q$109,3*(Unit_Cost!I$6-1)+3)</f>
        <v>1.0080164477952E+026</v>
      </c>
      <c r="J341" s="219" t="n">
        <f aca="false">INDEX(Training!$C$109:$Q$109,3*(Unit_Cost!J$6-1)+3)</f>
        <v>1.0080164477952E+026</v>
      </c>
      <c r="K341" s="219" t="n">
        <f aca="false">INDEX(Training!$C$109:$Q$109,3*(Unit_Cost!K$6-1)+3)</f>
        <v>1.0080164477952E+026</v>
      </c>
      <c r="L341" s="219" t="n">
        <f aca="false">INDEX(Training!$C$109:$Q$109,3*(Unit_Cost!L$6-1)+3)</f>
        <v>1.0080164477952E+026</v>
      </c>
      <c r="M341" s="219" t="n">
        <f aca="false">INDEX(Training!$C$109:$Q$109,3*(Unit_Cost!M$6-1)+3)</f>
        <v>1.0080164477952E+026</v>
      </c>
      <c r="N341" s="219" t="n">
        <f aca="false">INDEX(Training!$C$109:$Q$109,3*(Unit_Cost!N$6-1)+3)</f>
        <v>1.0080164477952E+026</v>
      </c>
      <c r="O341" s="219" t="n">
        <f aca="false">INDEX(Training!$C$109:$Q$109,3*(Unit_Cost!O$6-1)+3)</f>
        <v>1.0080164477952E+026</v>
      </c>
      <c r="P341" s="219" t="n">
        <f aca="false">INDEX(Training!$C$109:$Q$109,3*(Unit_Cost!P$6-1)+3)</f>
        <v>1.0080164477952E+026</v>
      </c>
      <c r="Q341" s="219" t="n">
        <f aca="false">INDEX(Training!$C$109:$Q$109,3*(Unit_Cost!Q$6-1)+3)</f>
        <v>1.0080164477952E+026</v>
      </c>
      <c r="R341" s="186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$531,Gov_Map!$AG$535:$AG$540,Gov_Map!$AG$542:$AG$548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$531,Gov_Map!$AH$535:$AH$540,Gov_Map!$AH$542:$AH$548,Gov_Map!$AH$560:$AH$561,Gov_Map!$AH$563:$AH$564,Gov_Map!$AH$656:$AH$658,Gov_Map!$AH$660)&gt;0,"B","A"))</f>
        <v>B</v>
      </c>
      <c r="S341" s="44" t="str">
        <f aca="false">IF(R341="—","—",IF(R341="A","基準輸入",IF(R341="B","情境、相對比較、反轉門檻","探索")))</f>
        <v>情境、相對比較、反轉門檻</v>
      </c>
      <c r="T341" s="30" t="s">
        <v>809</v>
      </c>
      <c r="U341" s="44" t="str">
        <f aca="false">IF(V341=0,"—",LEFT(TEXT(V341,"0"),4)&amp;"-"&amp;MID(TEXT(V341,"0"),5,2)&amp;"-"&amp;RIGHT(TEXT(V341,"0"),2))</f>
        <v>2026-10-05</v>
      </c>
      <c r="V341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$531,Gov_Map!$AJ$535:$AJ$540,Gov_Map!$AJ$542:$AJ$548,Gov_Map!$AJ$560:$AJ$561,Gov_Map!$AJ$563:$AJ$564,Gov_Map!$AJ$656:$AJ$658,Gov_Map!$AJ$660)</f>
        <v>20261005</v>
      </c>
      <c r="W341" s="21" t="s">
        <v>3813</v>
      </c>
      <c r="X341" s="32" t="n">
        <f aca="false">IF(ISNUMBER(FIND("上限",S341)),1,0)</f>
        <v>0</v>
      </c>
      <c r="Y341" s="32" t="n">
        <v>0</v>
      </c>
    </row>
    <row r="342" customFormat="false" ht="15" hidden="false" customHeight="true" outlineLevel="0" collapsed="false">
      <c r="A342" s="44" t="s">
        <v>3820</v>
      </c>
      <c r="B342" s="30" t="s">
        <v>127</v>
      </c>
      <c r="C342" s="198" t="n">
        <f aca="false">INDEX(Training!$C$114:$Q$114,3*(Unit_Cost!C$6-1)+3)</f>
        <v>0.453655035516492</v>
      </c>
      <c r="D342" s="198" t="n">
        <f aca="false">INDEX(Training!$C$114:$Q$114,3*(Unit_Cost!D$6-1)+3)</f>
        <v>0.453655035516492</v>
      </c>
      <c r="E342" s="198" t="n">
        <f aca="false">INDEX(Training!$C$114:$Q$114,3*(Unit_Cost!E$6-1)+3)</f>
        <v>0.453655035516492</v>
      </c>
      <c r="F342" s="198" t="n">
        <f aca="false">INDEX(Training!$C$114:$Q$114,3*(Unit_Cost!F$6-1)+3)</f>
        <v>0.160627846136576</v>
      </c>
      <c r="G342" s="198" t="n">
        <f aca="false">INDEX(Training!$C$114:$Q$114,3*(Unit_Cost!G$6-1)+3)</f>
        <v>0.160627846136576</v>
      </c>
      <c r="H342" s="198" t="n">
        <f aca="false">INDEX(Training!$C$114:$Q$114,3*(Unit_Cost!H$6-1)+3)</f>
        <v>0.160627846136576</v>
      </c>
      <c r="I342" s="198" t="n">
        <f aca="false">INDEX(Training!$C$114:$Q$114,3*(Unit_Cost!I$6-1)+3)</f>
        <v>0.2375249280719</v>
      </c>
      <c r="J342" s="198" t="n">
        <f aca="false">INDEX(Training!$C$114:$Q$114,3*(Unit_Cost!J$6-1)+3)</f>
        <v>0.2375249280719</v>
      </c>
      <c r="K342" s="198" t="n">
        <f aca="false">INDEX(Training!$C$114:$Q$114,3*(Unit_Cost!K$6-1)+3)</f>
        <v>0.2375249280719</v>
      </c>
      <c r="L342" s="198" t="n">
        <f aca="false">INDEX(Training!$C$114:$Q$114,3*(Unit_Cost!L$6-1)+3)</f>
        <v>0.337769132370908</v>
      </c>
      <c r="M342" s="198" t="n">
        <f aca="false">INDEX(Training!$C$114:$Q$114,3*(Unit_Cost!M$6-1)+3)</f>
        <v>0.337769132370908</v>
      </c>
      <c r="N342" s="198" t="n">
        <f aca="false">INDEX(Training!$C$114:$Q$114,3*(Unit_Cost!N$6-1)+3)</f>
        <v>0.337769132370908</v>
      </c>
      <c r="O342" s="198" t="n">
        <f aca="false">INDEX(Training!$C$114:$Q$114,3*(Unit_Cost!O$6-1)+3)</f>
        <v>0.271613044522394</v>
      </c>
      <c r="P342" s="198" t="n">
        <f aca="false">INDEX(Training!$C$114:$Q$114,3*(Unit_Cost!P$6-1)+3)</f>
        <v>0.271613044522394</v>
      </c>
      <c r="Q342" s="198" t="n">
        <f aca="false">INDEX(Training!$C$114:$Q$114,3*(Unit_Cost!Q$6-1)+3)</f>
        <v>0.271613044522394</v>
      </c>
      <c r="R342" s="186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,Gov_Map!$AG$689,Gov_Map!$AG$691)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,Gov_Map!$AH$689,Gov_Map!$AH$691)&gt;0,"B","A"))</f>
        <v>B</v>
      </c>
      <c r="S342" s="44" t="str">
        <f aca="false">IF(R342="—","—",IF(R342="A","基準輸入",IF(R342="B","情境、相對比較、反轉門檻","探索")))</f>
        <v>情境、相對比較、反轉門檻</v>
      </c>
      <c r="T342" s="30" t="s">
        <v>809</v>
      </c>
      <c r="U342" s="44" t="str">
        <f aca="false">IF(V342=0,"—",LEFT(TEXT(V342,"0"),4)&amp;"-"&amp;MID(TEXT(V342,"0"),5,2)&amp;"-"&amp;RIGHT(TEXT(V342,"0"),2))</f>
        <v>2026-10-05</v>
      </c>
      <c r="V34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,Gov_Map!$AJ$689,Gov_Map!$AJ$691)</f>
        <v>20261005</v>
      </c>
      <c r="W342" s="21" t="s">
        <v>3493</v>
      </c>
      <c r="X342" s="32" t="n">
        <f aca="false">IF(ISNUMBER(FIND("上限",S342)),1,0)</f>
        <v>0</v>
      </c>
      <c r="Y342" s="32" t="n">
        <v>0</v>
      </c>
    </row>
    <row r="343" customFormat="false" ht="15" hidden="false" customHeight="true" outlineLevel="0" collapsed="false">
      <c r="A343" s="44" t="s">
        <v>3821</v>
      </c>
      <c r="B343" s="30" t="s">
        <v>127</v>
      </c>
      <c r="C343" s="198" t="n">
        <f aca="false">Theory_Rev!C60</f>
        <v>-0.0423636872108961</v>
      </c>
      <c r="D343" s="198" t="n">
        <f aca="false">Theory_Rev!D60</f>
        <v>-0.489282735523503</v>
      </c>
      <c r="E343" s="198" t="n">
        <f aca="false">Theory_Rev!E60</f>
        <v>-1.55756847714042</v>
      </c>
      <c r="F343" s="198" t="n">
        <f aca="false">Theory_Rev!F60</f>
        <v>0.764703194772414</v>
      </c>
      <c r="G343" s="198" t="n">
        <f aca="false">Theory_Rev!G60</f>
        <v>0.685866087796282</v>
      </c>
      <c r="H343" s="198" t="n">
        <f aca="false">Theory_Rev!H60</f>
        <v>0.490568357870247</v>
      </c>
      <c r="I343" s="198" t="n">
        <f aca="false">Theory_Rev!I60</f>
        <v>0.780619311588139</v>
      </c>
      <c r="J343" s="198" t="n">
        <f aca="false">Theory_Rev!J60</f>
        <v>0.716689693020955</v>
      </c>
      <c r="K343" s="198" t="n">
        <f aca="false">Theory_Rev!K60</f>
        <v>0.517728817938032</v>
      </c>
      <c r="L343" s="198" t="n">
        <f aca="false">Theory_Rev!L60</f>
        <v>0.8521867164089</v>
      </c>
      <c r="M343" s="198" t="n">
        <f aca="false">Theory_Rev!M60</f>
        <v>0.810052326546935</v>
      </c>
      <c r="N343" s="198" t="n">
        <f aca="false">Theory_Rev!N60</f>
        <v>0.69319946773259</v>
      </c>
      <c r="O343" s="198" t="n">
        <f aca="false">Theory_Rev!O60</f>
        <v>0.88685479090763</v>
      </c>
      <c r="P343" s="198" t="n">
        <f aca="false">Theory_Rev!P60</f>
        <v>0.828090036296585</v>
      </c>
      <c r="Q343" s="198" t="n">
        <f aca="false">Theory_Rev!Q60</f>
        <v>0.686258952385007</v>
      </c>
      <c r="R343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3" s="44" t="str">
        <f aca="false">IF(R343="—","—",IF(R343="A","基準輸入",IF(R343="B","情境、相對比較、反轉門檻","探索")))</f>
        <v>情境、相對比較、反轉門檻</v>
      </c>
      <c r="T343" s="30" t="s">
        <v>809</v>
      </c>
      <c r="U343" s="44" t="str">
        <f aca="false">IF(V343=0,"—",LEFT(TEXT(V343,"0"),4)&amp;"-"&amp;MID(TEXT(V343,"0"),5,2)&amp;"-"&amp;RIGHT(TEXT(V343,"0"),2))</f>
        <v>2026-10-08</v>
      </c>
      <c r="V34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3" s="21" t="s">
        <v>3549</v>
      </c>
      <c r="X343" s="32" t="n">
        <f aca="false">IF(ISNUMBER(FIND("上限",S343)),1,0)</f>
        <v>0</v>
      </c>
      <c r="Y343" s="32" t="n">
        <v>0</v>
      </c>
    </row>
    <row r="344" customFormat="false" ht="15" hidden="false" customHeight="true" outlineLevel="0" collapsed="false">
      <c r="A344" s="44" t="s">
        <v>3822</v>
      </c>
      <c r="B344" s="30" t="s">
        <v>127</v>
      </c>
      <c r="C344" s="198" t="n">
        <f aca="false">Amortize!C49</f>
        <v>0.599631943993408</v>
      </c>
      <c r="D344" s="198" t="n">
        <f aca="false">Amortize!D49</f>
        <v>0.856729300412253</v>
      </c>
      <c r="E344" s="198" t="n">
        <f aca="false">Amortize!E49</f>
        <v>1.47127782123865</v>
      </c>
      <c r="F344" s="198" t="n">
        <f aca="false">Amortize!F49</f>
        <v>0.133853492841684</v>
      </c>
      <c r="G344" s="198" t="n">
        <f aca="false">Amortize!G49</f>
        <v>0.178703107389502</v>
      </c>
      <c r="H344" s="198" t="n">
        <f aca="false">Amortize!H49</f>
        <v>0.289805965487762</v>
      </c>
      <c r="I344" s="198" t="n">
        <f aca="false">Amortize!I49</f>
        <v>0.124109013161328</v>
      </c>
      <c r="J344" s="198" t="n">
        <f aca="false">Amortize!J49</f>
        <v>0.160276613381475</v>
      </c>
      <c r="K344" s="198" t="n">
        <f aca="false">Amortize!K49</f>
        <v>0.272836918772434</v>
      </c>
      <c r="L344" s="198" t="n">
        <f aca="false">Amortize!L49</f>
        <v>0.0852594789161227</v>
      </c>
      <c r="M344" s="198" t="n">
        <f aca="false">Amortize!M49</f>
        <v>0.109564287127429</v>
      </c>
      <c r="N344" s="198" t="n">
        <f aca="false">Amortize!N49</f>
        <v>0.17696970896289</v>
      </c>
      <c r="O344" s="198" t="n">
        <f aca="false">Amortize!O49</f>
        <v>0.0653163913707655</v>
      </c>
      <c r="P344" s="198" t="n">
        <f aca="false">Amortize!P49</f>
        <v>0.0992429162376635</v>
      </c>
      <c r="Q344" s="198" t="n">
        <f aca="false">Amortize!Q49</f>
        <v>0.18112593994931</v>
      </c>
      <c r="R344" s="186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,Gov_Map!$AG$687:$AG$689,Gov_Map!$AG$691)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,Gov_Map!$AH$687:$AH$689,Gov_Map!$AH$691)&gt;0,"B","A"))</f>
        <v>B</v>
      </c>
      <c r="S344" s="44" t="str">
        <f aca="false">IF(R344="—","—",IF(R344="A","基準輸入",IF(R344="B","情境、相對比較、反轉門檻","探索")))</f>
        <v>情境、相對比較、反轉門檻</v>
      </c>
      <c r="T344" s="30" t="s">
        <v>809</v>
      </c>
      <c r="U344" s="44" t="str">
        <f aca="false">IF(V344=0,"—",LEFT(TEXT(V344,"0"),4)&amp;"-"&amp;MID(TEXT(V344,"0"),5,2)&amp;"-"&amp;RIGHT(TEXT(V344,"0"),2))</f>
        <v>2026-10-08</v>
      </c>
      <c r="V34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,Gov_Map!$AJ$687:$AJ$689,Gov_Map!$AJ$691)</f>
        <v>20261008</v>
      </c>
      <c r="W344" s="21" t="s">
        <v>3549</v>
      </c>
      <c r="X344" s="32" t="n">
        <f aca="false">IF(ISNUMBER(FIND("上限",S344)),1,0)</f>
        <v>0</v>
      </c>
      <c r="Y344" s="3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3823</v>
      </c>
    </row>
    <row r="2" customFormat="false" ht="15" hidden="false" customHeight="false" outlineLevel="0" collapsed="false">
      <c r="A2" s="65" t="s">
        <v>3824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5" t="s">
        <v>3825</v>
      </c>
      <c r="B4" s="84" t="s">
        <v>3826</v>
      </c>
      <c r="C4" s="84" t="s">
        <v>3827</v>
      </c>
      <c r="D4" s="84" t="s">
        <v>3828</v>
      </c>
      <c r="E4" s="84" t="s">
        <v>1433</v>
      </c>
      <c r="F4" s="84" t="s">
        <v>1434</v>
      </c>
      <c r="G4" s="84" t="s">
        <v>109</v>
      </c>
      <c r="H4" s="84" t="s">
        <v>3829</v>
      </c>
      <c r="I4" s="84" t="s">
        <v>3830</v>
      </c>
      <c r="J4" s="84" t="s">
        <v>3831</v>
      </c>
      <c r="K4" s="84" t="s">
        <v>3832</v>
      </c>
      <c r="L4" s="84" t="s">
        <v>3833</v>
      </c>
      <c r="M4" s="84" t="s">
        <v>3834</v>
      </c>
      <c r="N4" s="84" t="s">
        <v>3835</v>
      </c>
      <c r="O4" s="84" t="s">
        <v>3836</v>
      </c>
      <c r="P4" s="84" t="s">
        <v>643</v>
      </c>
      <c r="Q4" s="84" t="s">
        <v>38</v>
      </c>
      <c r="R4" s="84" t="s">
        <v>3837</v>
      </c>
      <c r="S4" s="84" t="s">
        <v>3838</v>
      </c>
      <c r="T4" s="84" t="s">
        <v>3839</v>
      </c>
      <c r="U4" s="84" t="s">
        <v>3840</v>
      </c>
    </row>
    <row r="5" customFormat="false" ht="29.85" hidden="false" customHeight="false" outlineLevel="0" collapsed="false">
      <c r="A5" s="62" t="s">
        <v>3841</v>
      </c>
      <c r="B5" s="5" t="s">
        <v>3842</v>
      </c>
      <c r="C5" s="5" t="s">
        <v>3843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3844</v>
      </c>
      <c r="H5" s="5" t="s">
        <v>3845</v>
      </c>
      <c r="I5" s="6" t="s">
        <v>3846</v>
      </c>
      <c r="J5" s="5" t="s">
        <v>3847</v>
      </c>
      <c r="K5" s="5" t="s">
        <v>3848</v>
      </c>
      <c r="L5" s="62" t="s">
        <v>809</v>
      </c>
      <c r="M5" s="116" t="s">
        <v>809</v>
      </c>
      <c r="N5" s="116" t="s">
        <v>809</v>
      </c>
      <c r="O5" s="78"/>
      <c r="P5" s="61" t="str">
        <f aca="false">IF(ISNUMBER(D5),IF(AND(ISNUMBER(M5),ISNUMBER(N5)),IF(M5=N5,IF(ABS(D5/M5-1)&lt;=L1_JudgeTol,"±"&amp;TEXT(L1_JudgeTol,"0%")&amp;" 內","差距 &gt;"&amp;TEXT(L1_JudgeTol,"0%")),IF(D5&lt;M5,"低於外部區間",IF(D5&gt;N5,"高於外部區間","落在外部區間"))),"無外部對照"),"推算值非數字（本情境）")</f>
        <v>無外部對照</v>
      </c>
      <c r="Q5" s="62" t="s">
        <v>3841</v>
      </c>
      <c r="R5" s="62" t="s">
        <v>3849</v>
      </c>
      <c r="S5" s="6" t="s">
        <v>809</v>
      </c>
      <c r="T5" s="60" t="s">
        <v>3850</v>
      </c>
      <c r="U5" s="93" t="s">
        <v>3851</v>
      </c>
    </row>
    <row r="6" customFormat="false" ht="29.85" hidden="false" customHeight="false" outlineLevel="0" collapsed="false">
      <c r="A6" s="62" t="s">
        <v>3852</v>
      </c>
      <c r="B6" s="5" t="s">
        <v>3853</v>
      </c>
      <c r="C6" s="5" t="s">
        <v>3843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3844</v>
      </c>
      <c r="H6" s="5" t="s">
        <v>3845</v>
      </c>
      <c r="I6" s="6" t="s">
        <v>3846</v>
      </c>
      <c r="J6" s="5" t="s">
        <v>3847</v>
      </c>
      <c r="K6" s="5" t="s">
        <v>3848</v>
      </c>
      <c r="L6" s="62" t="s">
        <v>809</v>
      </c>
      <c r="M6" s="116" t="s">
        <v>809</v>
      </c>
      <c r="N6" s="116" t="s">
        <v>809</v>
      </c>
      <c r="O6" s="78"/>
      <c r="P6" s="61" t="str">
        <f aca="false">IF(ISNUMBER(D6),IF(AND(ISNUMBER(M6),ISNUMBER(N6)),IF(M6=N6,IF(ABS(D6/M6-1)&lt;=L1_JudgeTol,"±"&amp;TEXT(L1_JudgeTol,"0%")&amp;" 內","差距 &gt;"&amp;TEXT(L1_JudgeTol,"0%")),IF(D6&lt;M6,"低於外部區間",IF(D6&gt;N6,"高於外部區間","落在外部區間"))),"無外部對照"),"推算值非數字（本情境）")</f>
        <v>無外部對照</v>
      </c>
      <c r="Q6" s="62" t="s">
        <v>3852</v>
      </c>
      <c r="R6" s="62" t="s">
        <v>3849</v>
      </c>
      <c r="S6" s="6" t="s">
        <v>809</v>
      </c>
      <c r="T6" s="60" t="s">
        <v>3850</v>
      </c>
      <c r="U6" s="93" t="s">
        <v>3851</v>
      </c>
    </row>
    <row r="7" customFormat="false" ht="29.85" hidden="false" customHeight="false" outlineLevel="0" collapsed="false">
      <c r="A7" s="62" t="s">
        <v>3854</v>
      </c>
      <c r="B7" s="5" t="s">
        <v>3855</v>
      </c>
      <c r="C7" s="5" t="s">
        <v>3843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3844</v>
      </c>
      <c r="H7" s="5" t="s">
        <v>3845</v>
      </c>
      <c r="I7" s="6" t="s">
        <v>3846</v>
      </c>
      <c r="J7" s="5" t="s">
        <v>3847</v>
      </c>
      <c r="K7" s="5" t="s">
        <v>3848</v>
      </c>
      <c r="L7" s="62" t="s">
        <v>809</v>
      </c>
      <c r="M7" s="116" t="s">
        <v>809</v>
      </c>
      <c r="N7" s="116" t="s">
        <v>809</v>
      </c>
      <c r="O7" s="78"/>
      <c r="P7" s="61" t="str">
        <f aca="false">IF(ISNUMBER(D7),IF(AND(ISNUMBER(M7),ISNUMBER(N7)),IF(M7=N7,IF(ABS(D7/M7-1)&lt;=L1_JudgeTol,"±"&amp;TEXT(L1_JudgeTol,"0%")&amp;" 內","差距 &gt;"&amp;TEXT(L1_JudgeTol,"0%")),IF(D7&lt;M7,"低於外部區間",IF(D7&gt;N7,"高於外部區間","落在外部區間"))),"無外部對照"),"推算值非數字（本情境）")</f>
        <v>無外部對照</v>
      </c>
      <c r="Q7" s="62" t="s">
        <v>3854</v>
      </c>
      <c r="R7" s="62" t="s">
        <v>3849</v>
      </c>
      <c r="S7" s="6" t="s">
        <v>809</v>
      </c>
      <c r="T7" s="60" t="s">
        <v>3850</v>
      </c>
      <c r="U7" s="93" t="s">
        <v>3851</v>
      </c>
    </row>
    <row r="8" customFormat="false" ht="29.85" hidden="false" customHeight="false" outlineLevel="0" collapsed="false">
      <c r="A8" s="62" t="s">
        <v>3856</v>
      </c>
      <c r="B8" s="5" t="s">
        <v>3857</v>
      </c>
      <c r="C8" s="5" t="s">
        <v>3843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3844</v>
      </c>
      <c r="H8" s="5" t="s">
        <v>3845</v>
      </c>
      <c r="I8" s="6" t="s">
        <v>3846</v>
      </c>
      <c r="J8" s="5" t="s">
        <v>3847</v>
      </c>
      <c r="K8" s="5" t="s">
        <v>3848</v>
      </c>
      <c r="L8" s="62" t="s">
        <v>3858</v>
      </c>
      <c r="M8" s="94" t="n">
        <f aca="false">SRC_DC_010_Lo</f>
        <v>50</v>
      </c>
      <c r="N8" s="94" t="n">
        <f aca="false">SRC_DC_010_Hi</f>
        <v>60</v>
      </c>
      <c r="O8" s="78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IF(ISNUMBER(D8),IF(AND(ISNUMBER(M8),ISNUMBER(N8)),IF(M8=N8,IF(ABS(D8/M8-1)&lt;=L1_JudgeTol,"±"&amp;TEXT(L1_JudgeTol,"0%")&amp;" 內","差距 &gt;"&amp;TEXT(L1_JudgeTol,"0%")),IF(D8&lt;M8,"低於外部區間",IF(D8&gt;N8,"高於外部區間","落在外部區間"))),"無外部對照"),"推算值非數字（本情境）")</f>
        <v>落在外部區間</v>
      </c>
      <c r="Q8" s="62" t="s">
        <v>3856</v>
      </c>
      <c r="R8" s="62" t="s">
        <v>3849</v>
      </c>
      <c r="S8" s="5" t="s">
        <v>3859</v>
      </c>
      <c r="T8" s="60" t="s">
        <v>3850</v>
      </c>
      <c r="U8" s="93" t="s">
        <v>3851</v>
      </c>
      <c r="V8" s="65" t="s">
        <v>3860</v>
      </c>
    </row>
    <row r="9" customFormat="false" ht="29.85" hidden="false" customHeight="false" outlineLevel="0" collapsed="false">
      <c r="A9" s="62" t="s">
        <v>3861</v>
      </c>
      <c r="B9" s="5" t="s">
        <v>3862</v>
      </c>
      <c r="C9" s="5" t="s">
        <v>3863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3844</v>
      </c>
      <c r="H9" s="5" t="s">
        <v>3845</v>
      </c>
      <c r="I9" s="5" t="s">
        <v>3864</v>
      </c>
      <c r="J9" s="5" t="s">
        <v>3865</v>
      </c>
      <c r="K9" s="5" t="s">
        <v>3848</v>
      </c>
      <c r="L9" s="62" t="s">
        <v>3866</v>
      </c>
      <c r="M9" s="94" t="n">
        <f aca="false">SRC_DC_011</f>
        <v>35</v>
      </c>
      <c r="N9" s="94" t="n">
        <f aca="false">SRC_DC_011</f>
        <v>35</v>
      </c>
      <c r="O9" s="78" t="n">
        <f aca="false">IF(AND(ISNUMBER(D9),ISNUMBER(M9),ISNUMBER(N9)),D9/((M9+N9)/2),"—")</f>
        <v>0.97248</v>
      </c>
      <c r="P9" s="61" t="str">
        <f aca="false">IF(ISNUMBER(D9),IF(AND(ISNUMBER(M9),ISNUMBER(N9)),IF(M9=N9,IF(ABS(D9/M9-1)&lt;=L1_JudgeTol,"±"&amp;TEXT(L1_JudgeTol,"0%")&amp;" 內","差距 &gt;"&amp;TEXT(L1_JudgeTol,"0%")),IF(D9&lt;M9,"低於外部區間",IF(D9&gt;N9,"高於外部區間","落在外部區間"))),"無外部對照"),"推算值非數字（本情境）")</f>
        <v>±20% 內</v>
      </c>
      <c r="Q9" s="62" t="s">
        <v>3861</v>
      </c>
      <c r="R9" s="62" t="s">
        <v>3867</v>
      </c>
      <c r="S9" s="5" t="s">
        <v>3868</v>
      </c>
      <c r="T9" s="60" t="s">
        <v>3850</v>
      </c>
      <c r="U9" s="93" t="s">
        <v>3851</v>
      </c>
      <c r="V9" s="65" t="s">
        <v>3869</v>
      </c>
    </row>
    <row r="10" customFormat="false" ht="44" hidden="false" customHeight="false" outlineLevel="0" collapsed="false">
      <c r="A10" s="62" t="s">
        <v>3870</v>
      </c>
      <c r="B10" s="5" t="s">
        <v>3871</v>
      </c>
      <c r="C10" s="5" t="s">
        <v>3872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149</v>
      </c>
      <c r="H10" s="5" t="s">
        <v>3845</v>
      </c>
      <c r="I10" s="5" t="s">
        <v>3873</v>
      </c>
      <c r="J10" s="5" t="s">
        <v>3874</v>
      </c>
      <c r="K10" s="5" t="s">
        <v>3875</v>
      </c>
      <c r="L10" s="62" t="s">
        <v>3876</v>
      </c>
      <c r="M10" s="94" t="n">
        <f aca="false">SRC_DC_003*(1+SRC_DC_004_Lo)</f>
        <v>12.091</v>
      </c>
      <c r="N10" s="94" t="n">
        <f aca="false">SRC_DC_003*(1+SRC_DC_004_Hi)</f>
        <v>12.43</v>
      </c>
      <c r="O10" s="78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IF(ISNUMBER(D10),IF(AND(ISNUMBER(M10),ISNUMBER(N10)),IF(M10=N10,IF(ABS(D10/M10-1)&lt;=L1_JudgeTol,"±"&amp;TEXT(L1_JudgeTol,"0%")&amp;" 內","差距 &gt;"&amp;TEXT(L1_JudgeTol,"0%")),IF(D10&lt;M10,"低於外部區間",IF(D10&gt;N10,"高於外部區間","落在外部區間"))),"無外部對照"),"推算值非數字（本情境）")</f>
        <v>高於外部區間</v>
      </c>
      <c r="Q10" s="62" t="s">
        <v>3870</v>
      </c>
      <c r="R10" s="62" t="s">
        <v>3877</v>
      </c>
      <c r="S10" s="5" t="s">
        <v>3878</v>
      </c>
      <c r="T10" s="60" t="s">
        <v>3850</v>
      </c>
      <c r="U10" s="93" t="s">
        <v>3851</v>
      </c>
      <c r="V10" s="65" t="s">
        <v>3879</v>
      </c>
    </row>
    <row r="11" customFormat="false" ht="29.85" hidden="false" customHeight="false" outlineLevel="0" collapsed="false">
      <c r="A11" s="62" t="s">
        <v>3880</v>
      </c>
      <c r="B11" s="5" t="s">
        <v>3881</v>
      </c>
      <c r="C11" s="5" t="s">
        <v>3882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1923</v>
      </c>
      <c r="H11" s="5" t="s">
        <v>3845</v>
      </c>
      <c r="I11" s="5" t="s">
        <v>3883</v>
      </c>
      <c r="J11" s="6" t="s">
        <v>3884</v>
      </c>
      <c r="K11" s="5" t="s">
        <v>3885</v>
      </c>
      <c r="L11" s="62" t="s">
        <v>809</v>
      </c>
      <c r="M11" s="116" t="s">
        <v>809</v>
      </c>
      <c r="N11" s="116" t="s">
        <v>809</v>
      </c>
      <c r="O11" s="78"/>
      <c r="P11" s="61" t="str">
        <f aca="false">IF(ISNUMBER(D11),IF(AND(ISNUMBER(M11),ISNUMBER(N11)),IF(M11=N11,IF(ABS(D11/M11-1)&lt;=L1_JudgeTol,"±"&amp;TEXT(L1_JudgeTol,"0%")&amp;" 內","差距 &gt;"&amp;TEXT(L1_JudgeTol,"0%")),IF(D11&lt;M11,"低於外部區間",IF(D11&gt;N11,"高於外部區間","落在外部區間"))),"無外部對照"),"推算值非數字（本情境）")</f>
        <v>無外部對照</v>
      </c>
      <c r="Q11" s="62" t="s">
        <v>3880</v>
      </c>
      <c r="R11" s="62" t="s">
        <v>3886</v>
      </c>
      <c r="S11" s="6" t="s">
        <v>809</v>
      </c>
      <c r="T11" s="60" t="s">
        <v>3850</v>
      </c>
      <c r="U11" s="93" t="s">
        <v>3851</v>
      </c>
    </row>
    <row r="12" customFormat="false" ht="29.85" hidden="false" customHeight="false" outlineLevel="0" collapsed="false">
      <c r="A12" s="62" t="s">
        <v>3887</v>
      </c>
      <c r="B12" s="5" t="s">
        <v>3888</v>
      </c>
      <c r="C12" s="5" t="s">
        <v>3882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1923</v>
      </c>
      <c r="H12" s="5" t="s">
        <v>3845</v>
      </c>
      <c r="I12" s="5" t="s">
        <v>3883</v>
      </c>
      <c r="J12" s="6" t="s">
        <v>3884</v>
      </c>
      <c r="K12" s="5" t="s">
        <v>3885</v>
      </c>
      <c r="L12" s="62" t="s">
        <v>809</v>
      </c>
      <c r="M12" s="116" t="s">
        <v>809</v>
      </c>
      <c r="N12" s="116" t="s">
        <v>809</v>
      </c>
      <c r="O12" s="78"/>
      <c r="P12" s="61" t="str">
        <f aca="false">IF(ISNUMBER(D12),IF(AND(ISNUMBER(M12),ISNUMBER(N12)),IF(M12=N12,IF(ABS(D12/M12-1)&lt;=L1_JudgeTol,"±"&amp;TEXT(L1_JudgeTol,"0%")&amp;" 內","差距 &gt;"&amp;TEXT(L1_JudgeTol,"0%")),IF(D12&lt;M12,"低於外部區間",IF(D12&gt;N12,"高於外部區間","落在外部區間"))),"無外部對照"),"推算值非數字（本情境）")</f>
        <v>無外部對照</v>
      </c>
      <c r="Q12" s="62" t="s">
        <v>3887</v>
      </c>
      <c r="R12" s="62" t="s">
        <v>3886</v>
      </c>
      <c r="S12" s="6" t="s">
        <v>809</v>
      </c>
      <c r="T12" s="60" t="s">
        <v>3850</v>
      </c>
      <c r="U12" s="93" t="s">
        <v>3851</v>
      </c>
    </row>
    <row r="13" customFormat="false" ht="29.85" hidden="false" customHeight="false" outlineLevel="0" collapsed="false">
      <c r="A13" s="62" t="s">
        <v>3889</v>
      </c>
      <c r="B13" s="5" t="s">
        <v>3890</v>
      </c>
      <c r="C13" s="5" t="s">
        <v>3882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1923</v>
      </c>
      <c r="H13" s="5" t="s">
        <v>3845</v>
      </c>
      <c r="I13" s="5" t="s">
        <v>3883</v>
      </c>
      <c r="J13" s="6" t="s">
        <v>3884</v>
      </c>
      <c r="K13" s="5" t="s">
        <v>3885</v>
      </c>
      <c r="L13" s="62" t="s">
        <v>809</v>
      </c>
      <c r="M13" s="116" t="s">
        <v>809</v>
      </c>
      <c r="N13" s="116" t="s">
        <v>809</v>
      </c>
      <c r="O13" s="78"/>
      <c r="P13" s="61" t="str">
        <f aca="false">IF(ISNUMBER(D13),IF(AND(ISNUMBER(M13),ISNUMBER(N13)),IF(M13=N13,IF(ABS(D13/M13-1)&lt;=L1_JudgeTol,"±"&amp;TEXT(L1_JudgeTol,"0%")&amp;" 內","差距 &gt;"&amp;TEXT(L1_JudgeTol,"0%")),IF(D13&lt;M13,"低於外部區間",IF(D13&gt;N13,"高於外部區間","落在外部區間"))),"無外部對照"),"推算值非數字（本情境）")</f>
        <v>無外部對照</v>
      </c>
      <c r="Q13" s="62" t="s">
        <v>3889</v>
      </c>
      <c r="R13" s="62" t="s">
        <v>3886</v>
      </c>
      <c r="S13" s="6" t="s">
        <v>809</v>
      </c>
      <c r="T13" s="60" t="s">
        <v>3850</v>
      </c>
      <c r="U13" s="93" t="s">
        <v>3851</v>
      </c>
    </row>
    <row r="14" customFormat="false" ht="29.85" hidden="false" customHeight="false" outlineLevel="0" collapsed="false">
      <c r="A14" s="62" t="s">
        <v>3891</v>
      </c>
      <c r="B14" s="5" t="s">
        <v>3892</v>
      </c>
      <c r="C14" s="5" t="s">
        <v>3882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1923</v>
      </c>
      <c r="H14" s="5" t="s">
        <v>3845</v>
      </c>
      <c r="I14" s="5" t="s">
        <v>3883</v>
      </c>
      <c r="J14" s="6" t="s">
        <v>3884</v>
      </c>
      <c r="K14" s="5" t="s">
        <v>3885</v>
      </c>
      <c r="L14" s="62" t="s">
        <v>809</v>
      </c>
      <c r="M14" s="116" t="s">
        <v>809</v>
      </c>
      <c r="N14" s="116" t="s">
        <v>809</v>
      </c>
      <c r="O14" s="78"/>
      <c r="P14" s="61" t="str">
        <f aca="false">IF(ISNUMBER(D14),IF(AND(ISNUMBER(M14),ISNUMBER(N14)),IF(M14=N14,IF(ABS(D14/M14-1)&lt;=L1_JudgeTol,"±"&amp;TEXT(L1_JudgeTol,"0%")&amp;" 內","差距 &gt;"&amp;TEXT(L1_JudgeTol,"0%")),IF(D14&lt;M14,"低於外部區間",IF(D14&gt;N14,"高於外部區間","落在外部區間"))),"無外部對照"),"推算值非數字（本情境）")</f>
        <v>無外部對照</v>
      </c>
      <c r="Q14" s="62" t="s">
        <v>3891</v>
      </c>
      <c r="R14" s="62" t="s">
        <v>3886</v>
      </c>
      <c r="S14" s="6" t="s">
        <v>809</v>
      </c>
      <c r="T14" s="60" t="s">
        <v>3850</v>
      </c>
      <c r="U14" s="93" t="s">
        <v>3851</v>
      </c>
    </row>
    <row r="15" customFormat="false" ht="29.85" hidden="false" customHeight="false" outlineLevel="0" collapsed="false">
      <c r="A15" s="62" t="s">
        <v>3893</v>
      </c>
      <c r="B15" s="5" t="s">
        <v>3894</v>
      </c>
      <c r="C15" s="6" t="s">
        <v>3895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1049</v>
      </c>
      <c r="H15" s="5" t="s">
        <v>3845</v>
      </c>
      <c r="I15" s="5" t="s">
        <v>3896</v>
      </c>
      <c r="J15" s="5" t="s">
        <v>3897</v>
      </c>
      <c r="K15" s="5" t="s">
        <v>3885</v>
      </c>
      <c r="L15" s="62" t="s">
        <v>809</v>
      </c>
      <c r="M15" s="116" t="s">
        <v>809</v>
      </c>
      <c r="N15" s="116" t="s">
        <v>809</v>
      </c>
      <c r="O15" s="78"/>
      <c r="P15" s="61" t="str">
        <f aca="false">IF(ISNUMBER(D15),IF(AND(ISNUMBER(M15),ISNUMBER(N15)),IF(M15=N15,IF(ABS(D15/M15-1)&lt;=L1_JudgeTol,"±"&amp;TEXT(L1_JudgeTol,"0%")&amp;" 內","差距 &gt;"&amp;TEXT(L1_JudgeTol,"0%")),IF(D15&lt;M15,"低於外部區間",IF(D15&gt;N15,"高於外部區間","落在外部區間"))),"無外部對照"),"推算值非數字（本情境）")</f>
        <v>無外部對照</v>
      </c>
      <c r="Q15" s="62" t="s">
        <v>3893</v>
      </c>
      <c r="R15" s="62" t="s">
        <v>3898</v>
      </c>
      <c r="S15" s="6" t="s">
        <v>809</v>
      </c>
      <c r="T15" s="60" t="s">
        <v>3850</v>
      </c>
      <c r="U15" s="93" t="s">
        <v>3851</v>
      </c>
    </row>
    <row r="16" customFormat="false" ht="44" hidden="false" customHeight="false" outlineLevel="0" collapsed="false">
      <c r="A16" s="62" t="s">
        <v>3899</v>
      </c>
      <c r="B16" s="5" t="s">
        <v>3900</v>
      </c>
      <c r="C16" s="6" t="s">
        <v>3895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1049</v>
      </c>
      <c r="H16" s="5" t="s">
        <v>3845</v>
      </c>
      <c r="I16" s="5" t="s">
        <v>3896</v>
      </c>
      <c r="J16" s="5" t="s">
        <v>3897</v>
      </c>
      <c r="K16" s="5" t="s">
        <v>3885</v>
      </c>
      <c r="L16" s="62" t="s">
        <v>3901</v>
      </c>
      <c r="M16" s="94" t="n">
        <f aca="false">SRC_DC_012</f>
        <v>2.21</v>
      </c>
      <c r="N16" s="94" t="n">
        <f aca="false">SRC_DC_012</f>
        <v>2.21</v>
      </c>
      <c r="O16" s="78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IF(ISNUMBER(D16),IF(AND(ISNUMBER(M16),ISNUMBER(N16)),IF(M16=N16,IF(ABS(D16/M16-1)&lt;=L1_JudgeTol,"±"&amp;TEXT(L1_JudgeTol,"0%")&amp;" 內","差距 &gt;"&amp;TEXT(L1_JudgeTol,"0%")),IF(D16&lt;M16,"低於外部區間",IF(D16&gt;N16,"高於外部區間","落在外部區間"))),"無外部對照"),"推算值非數字（本情境）")</f>
        <v>±20% 內</v>
      </c>
      <c r="Q16" s="62" t="s">
        <v>3899</v>
      </c>
      <c r="R16" s="62" t="s">
        <v>3898</v>
      </c>
      <c r="S16" s="5" t="s">
        <v>3902</v>
      </c>
      <c r="T16" s="60" t="s">
        <v>3850</v>
      </c>
      <c r="U16" s="93" t="s">
        <v>3851</v>
      </c>
      <c r="V16" s="65" t="s">
        <v>3903</v>
      </c>
    </row>
    <row r="17" customFormat="false" ht="44" hidden="false" customHeight="false" outlineLevel="0" collapsed="false">
      <c r="A17" s="62" t="s">
        <v>3904</v>
      </c>
      <c r="B17" s="5" t="s">
        <v>3905</v>
      </c>
      <c r="C17" s="6" t="s">
        <v>3895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1049</v>
      </c>
      <c r="H17" s="5" t="s">
        <v>3845</v>
      </c>
      <c r="I17" s="5" t="s">
        <v>3896</v>
      </c>
      <c r="J17" s="5" t="s">
        <v>3897</v>
      </c>
      <c r="K17" s="5" t="s">
        <v>3885</v>
      </c>
      <c r="L17" s="62" t="s">
        <v>3906</v>
      </c>
      <c r="M17" s="94" t="n">
        <f aca="false">SRC_DC_013</f>
        <v>2.65</v>
      </c>
      <c r="N17" s="94" t="n">
        <f aca="false">SRC_DC_013</f>
        <v>2.65</v>
      </c>
      <c r="O17" s="78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IF(ISNUMBER(D17),IF(AND(ISNUMBER(M17),ISNUMBER(N17)),IF(M17=N17,IF(ABS(D17/M17-1)&lt;=L1_JudgeTol,"±"&amp;TEXT(L1_JudgeTol,"0%")&amp;" 內","差距 &gt;"&amp;TEXT(L1_JudgeTol,"0%")),IF(D17&lt;M17,"低於外部區間",IF(D17&gt;N17,"高於外部區間","落在外部區間"))),"無外部對照"),"推算值非數字（本情境）")</f>
        <v>±20% 內</v>
      </c>
      <c r="Q17" s="62" t="s">
        <v>3904</v>
      </c>
      <c r="R17" s="62" t="s">
        <v>3898</v>
      </c>
      <c r="S17" s="5" t="s">
        <v>3902</v>
      </c>
      <c r="T17" s="60" t="s">
        <v>3850</v>
      </c>
      <c r="U17" s="93" t="s">
        <v>3851</v>
      </c>
      <c r="V17" s="65" t="s">
        <v>3907</v>
      </c>
    </row>
    <row r="18" customFormat="false" ht="29.85" hidden="false" customHeight="false" outlineLevel="0" collapsed="false">
      <c r="A18" s="62" t="s">
        <v>3908</v>
      </c>
      <c r="B18" s="5" t="s">
        <v>3909</v>
      </c>
      <c r="C18" s="6" t="s">
        <v>3895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1049</v>
      </c>
      <c r="H18" s="5" t="s">
        <v>3845</v>
      </c>
      <c r="I18" s="5" t="s">
        <v>3896</v>
      </c>
      <c r="J18" s="5" t="s">
        <v>3897</v>
      </c>
      <c r="K18" s="5" t="s">
        <v>3885</v>
      </c>
      <c r="L18" s="62" t="s">
        <v>809</v>
      </c>
      <c r="M18" s="116" t="s">
        <v>809</v>
      </c>
      <c r="N18" s="116" t="s">
        <v>809</v>
      </c>
      <c r="O18" s="78"/>
      <c r="P18" s="61" t="str">
        <f aca="false">IF(ISNUMBER(D18),IF(AND(ISNUMBER(M18),ISNUMBER(N18)),IF(M18=N18,IF(ABS(D18/M18-1)&lt;=L1_JudgeTol,"±"&amp;TEXT(L1_JudgeTol,"0%")&amp;" 內","差距 &gt;"&amp;TEXT(L1_JudgeTol,"0%")),IF(D18&lt;M18,"低於外部區間",IF(D18&gt;N18,"高於外部區間","落在外部區間"))),"無外部對照"),"推算值非數字（本情境）")</f>
        <v>無外部對照</v>
      </c>
      <c r="Q18" s="62" t="s">
        <v>3908</v>
      </c>
      <c r="R18" s="62" t="s">
        <v>3898</v>
      </c>
      <c r="S18" s="6" t="s">
        <v>809</v>
      </c>
      <c r="T18" s="60" t="s">
        <v>3850</v>
      </c>
      <c r="U18" s="93" t="s">
        <v>3851</v>
      </c>
    </row>
    <row r="19" customFormat="false" ht="44" hidden="false" customHeight="false" outlineLevel="0" collapsed="false">
      <c r="A19" s="62" t="s">
        <v>3910</v>
      </c>
      <c r="B19" s="6" t="s">
        <v>3911</v>
      </c>
      <c r="C19" s="5" t="s">
        <v>3912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1040</v>
      </c>
      <c r="H19" s="5" t="s">
        <v>3845</v>
      </c>
      <c r="I19" s="5" t="s">
        <v>3913</v>
      </c>
      <c r="J19" s="6" t="s">
        <v>3914</v>
      </c>
      <c r="K19" s="5" t="s">
        <v>3915</v>
      </c>
      <c r="L19" s="62" t="s">
        <v>809</v>
      </c>
      <c r="M19" s="116" t="s">
        <v>809</v>
      </c>
      <c r="N19" s="116" t="s">
        <v>809</v>
      </c>
      <c r="O19" s="78"/>
      <c r="P19" s="61" t="str">
        <f aca="false">IF(ISNUMBER(D19),IF(AND(ISNUMBER(M19),ISNUMBER(N19)),IF(M19=N19,IF(ABS(D19/M19-1)&lt;=L1_JudgeTol,"±"&amp;TEXT(L1_JudgeTol,"0%")&amp;" 內","差距 &gt;"&amp;TEXT(L1_JudgeTol,"0%")),IF(D19&lt;M19,"低於外部區間",IF(D19&gt;N19,"高於外部區間","落在外部區間"))),"無外部對照"),"推算值非數字（本情境）")</f>
        <v>無外部對照</v>
      </c>
      <c r="Q19" s="62" t="s">
        <v>3910</v>
      </c>
      <c r="R19" s="62" t="s">
        <v>3916</v>
      </c>
      <c r="S19" s="6" t="s">
        <v>3917</v>
      </c>
      <c r="T19" s="60" t="s">
        <v>3850</v>
      </c>
      <c r="U19" s="88" t="s">
        <v>3918</v>
      </c>
    </row>
    <row r="20" customFormat="false" ht="44" hidden="false" customHeight="false" outlineLevel="0" collapsed="false">
      <c r="A20" s="62" t="s">
        <v>3919</v>
      </c>
      <c r="B20" s="6" t="s">
        <v>3920</v>
      </c>
      <c r="C20" s="5" t="s">
        <v>3912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1040</v>
      </c>
      <c r="H20" s="5" t="s">
        <v>3845</v>
      </c>
      <c r="I20" s="5" t="s">
        <v>3913</v>
      </c>
      <c r="J20" s="6" t="s">
        <v>3914</v>
      </c>
      <c r="K20" s="5" t="s">
        <v>3915</v>
      </c>
      <c r="L20" s="62" t="s">
        <v>809</v>
      </c>
      <c r="M20" s="116" t="s">
        <v>809</v>
      </c>
      <c r="N20" s="116" t="s">
        <v>809</v>
      </c>
      <c r="O20" s="78"/>
      <c r="P20" s="61" t="str">
        <f aca="false">IF(ISNUMBER(D20),IF(AND(ISNUMBER(M20),ISNUMBER(N20)),IF(M20=N20,IF(ABS(D20/M20-1)&lt;=L1_JudgeTol,"±"&amp;TEXT(L1_JudgeTol,"0%")&amp;" 內","差距 &gt;"&amp;TEXT(L1_JudgeTol,"0%")),IF(D20&lt;M20,"低於外部區間",IF(D20&gt;N20,"高於外部區間","落在外部區間"))),"無外部對照"),"推算值非數字（本情境）")</f>
        <v>無外部對照</v>
      </c>
      <c r="Q20" s="62" t="s">
        <v>3919</v>
      </c>
      <c r="R20" s="62" t="s">
        <v>3916</v>
      </c>
      <c r="S20" s="6" t="s">
        <v>809</v>
      </c>
      <c r="T20" s="60" t="s">
        <v>3850</v>
      </c>
      <c r="U20" s="88" t="s">
        <v>3918</v>
      </c>
    </row>
    <row r="21" customFormat="false" ht="44" hidden="false" customHeight="false" outlineLevel="0" collapsed="false">
      <c r="A21" s="62" t="s">
        <v>3921</v>
      </c>
      <c r="B21" s="6" t="s">
        <v>3922</v>
      </c>
      <c r="C21" s="5" t="s">
        <v>3912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1040</v>
      </c>
      <c r="H21" s="5" t="s">
        <v>3845</v>
      </c>
      <c r="I21" s="5" t="s">
        <v>3913</v>
      </c>
      <c r="J21" s="6" t="s">
        <v>3914</v>
      </c>
      <c r="K21" s="5" t="s">
        <v>3915</v>
      </c>
      <c r="L21" s="62" t="s">
        <v>809</v>
      </c>
      <c r="M21" s="116" t="s">
        <v>809</v>
      </c>
      <c r="N21" s="116" t="s">
        <v>809</v>
      </c>
      <c r="O21" s="78"/>
      <c r="P21" s="61" t="str">
        <f aca="false">IF(ISNUMBER(D21),IF(AND(ISNUMBER(M21),ISNUMBER(N21)),IF(M21=N21,IF(ABS(D21/M21-1)&lt;=L1_JudgeTol,"±"&amp;TEXT(L1_JudgeTol,"0%")&amp;" 內","差距 &gt;"&amp;TEXT(L1_JudgeTol,"0%")),IF(D21&lt;M21,"低於外部區間",IF(D21&gt;N21,"高於外部區間","落在外部區間"))),"無外部對照"),"推算值非數字（本情境）")</f>
        <v>無外部對照</v>
      </c>
      <c r="Q21" s="62" t="s">
        <v>3921</v>
      </c>
      <c r="R21" s="62" t="s">
        <v>3916</v>
      </c>
      <c r="S21" s="6" t="s">
        <v>3917</v>
      </c>
      <c r="T21" s="60" t="s">
        <v>3850</v>
      </c>
      <c r="U21" s="88" t="s">
        <v>3918</v>
      </c>
    </row>
    <row r="22" customFormat="false" ht="44" hidden="false" customHeight="false" outlineLevel="0" collapsed="false">
      <c r="A22" s="62" t="s">
        <v>3923</v>
      </c>
      <c r="B22" s="6" t="s">
        <v>3924</v>
      </c>
      <c r="C22" s="5" t="s">
        <v>3912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1040</v>
      </c>
      <c r="H22" s="5" t="s">
        <v>3845</v>
      </c>
      <c r="I22" s="5" t="s">
        <v>3913</v>
      </c>
      <c r="J22" s="6" t="s">
        <v>3914</v>
      </c>
      <c r="K22" s="5" t="s">
        <v>3915</v>
      </c>
      <c r="L22" s="62" t="s">
        <v>809</v>
      </c>
      <c r="M22" s="116" t="s">
        <v>809</v>
      </c>
      <c r="N22" s="116" t="s">
        <v>809</v>
      </c>
      <c r="O22" s="78"/>
      <c r="P22" s="61" t="str">
        <f aca="false">IF(ISNUMBER(D22),IF(AND(ISNUMBER(M22),ISNUMBER(N22)),IF(M22=N22,IF(ABS(D22/M22-1)&lt;=L1_JudgeTol,"±"&amp;TEXT(L1_JudgeTol,"0%")&amp;" 內","差距 &gt;"&amp;TEXT(L1_JudgeTol,"0%")),IF(D22&lt;M22,"低於外部區間",IF(D22&gt;N22,"高於外部區間","落在外部區間"))),"無外部對照"),"推算值非數字（本情境）")</f>
        <v>無外部對照</v>
      </c>
      <c r="Q22" s="62" t="s">
        <v>3923</v>
      </c>
      <c r="R22" s="62" t="s">
        <v>3916</v>
      </c>
      <c r="S22" s="6" t="s">
        <v>809</v>
      </c>
      <c r="T22" s="60" t="s">
        <v>3850</v>
      </c>
      <c r="U22" s="88" t="s">
        <v>3918</v>
      </c>
    </row>
    <row r="23" customFormat="false" ht="44" hidden="false" customHeight="false" outlineLevel="0" collapsed="false">
      <c r="A23" s="62" t="s">
        <v>3925</v>
      </c>
      <c r="B23" s="6" t="s">
        <v>3926</v>
      </c>
      <c r="C23" s="5" t="s">
        <v>3912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1040</v>
      </c>
      <c r="H23" s="5" t="s">
        <v>3845</v>
      </c>
      <c r="I23" s="5" t="s">
        <v>3913</v>
      </c>
      <c r="J23" s="6" t="s">
        <v>3914</v>
      </c>
      <c r="K23" s="5" t="s">
        <v>3915</v>
      </c>
      <c r="L23" s="62" t="s">
        <v>809</v>
      </c>
      <c r="M23" s="116" t="s">
        <v>809</v>
      </c>
      <c r="N23" s="116" t="s">
        <v>809</v>
      </c>
      <c r="O23" s="78"/>
      <c r="P23" s="61" t="str">
        <f aca="false">IF(ISNUMBER(D23),IF(AND(ISNUMBER(M23),ISNUMBER(N23)),IF(M23=N23,IF(ABS(D23/M23-1)&lt;=L1_JudgeTol,"±"&amp;TEXT(L1_JudgeTol,"0%")&amp;" 內","差距 &gt;"&amp;TEXT(L1_JudgeTol,"0%")),IF(D23&lt;M23,"低於外部區間",IF(D23&gt;N23,"高於外部區間","落在外部區間"))),"無外部對照"),"推算值非數字（本情境）")</f>
        <v>無外部對照</v>
      </c>
      <c r="Q23" s="62" t="s">
        <v>3925</v>
      </c>
      <c r="R23" s="62" t="s">
        <v>3916</v>
      </c>
      <c r="S23" s="6" t="s">
        <v>3917</v>
      </c>
      <c r="T23" s="60" t="s">
        <v>3850</v>
      </c>
      <c r="U23" s="88" t="s">
        <v>3918</v>
      </c>
    </row>
    <row r="24" customFormat="false" ht="44" hidden="false" customHeight="false" outlineLevel="0" collapsed="false">
      <c r="A24" s="62" t="s">
        <v>3927</v>
      </c>
      <c r="B24" s="6" t="s">
        <v>3928</v>
      </c>
      <c r="C24" s="5" t="s">
        <v>3912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1040</v>
      </c>
      <c r="H24" s="5" t="s">
        <v>3845</v>
      </c>
      <c r="I24" s="5" t="s">
        <v>3913</v>
      </c>
      <c r="J24" s="6" t="s">
        <v>3914</v>
      </c>
      <c r="K24" s="5" t="s">
        <v>3915</v>
      </c>
      <c r="L24" s="62" t="s">
        <v>809</v>
      </c>
      <c r="M24" s="116" t="s">
        <v>809</v>
      </c>
      <c r="N24" s="116" t="s">
        <v>809</v>
      </c>
      <c r="O24" s="78"/>
      <c r="P24" s="61" t="str">
        <f aca="false">IF(ISNUMBER(D24),IF(AND(ISNUMBER(M24),ISNUMBER(N24)),IF(M24=N24,IF(ABS(D24/M24-1)&lt;=L1_JudgeTol,"±"&amp;TEXT(L1_JudgeTol,"0%")&amp;" 內","差距 &gt;"&amp;TEXT(L1_JudgeTol,"0%")),IF(D24&lt;M24,"低於外部區間",IF(D24&gt;N24,"高於外部區間","落在外部區間"))),"無外部對照"),"推算值非數字（本情境）")</f>
        <v>無外部對照</v>
      </c>
      <c r="Q24" s="62" t="s">
        <v>3927</v>
      </c>
      <c r="R24" s="62" t="s">
        <v>3916</v>
      </c>
      <c r="S24" s="6" t="s">
        <v>809</v>
      </c>
      <c r="T24" s="60" t="s">
        <v>3850</v>
      </c>
      <c r="U24" s="88" t="s">
        <v>3918</v>
      </c>
    </row>
    <row r="25" customFormat="false" ht="29.85" hidden="false" customHeight="false" outlineLevel="0" collapsed="false">
      <c r="A25" s="62" t="s">
        <v>3929</v>
      </c>
      <c r="B25" s="6" t="s">
        <v>3930</v>
      </c>
      <c r="C25" s="5" t="s">
        <v>3931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3932</v>
      </c>
      <c r="H25" s="5" t="s">
        <v>3845</v>
      </c>
      <c r="I25" s="5" t="s">
        <v>3933</v>
      </c>
      <c r="J25" s="5" t="s">
        <v>3934</v>
      </c>
      <c r="K25" s="6" t="s">
        <v>3935</v>
      </c>
      <c r="L25" s="62" t="s">
        <v>3936</v>
      </c>
      <c r="M25" s="94" t="n">
        <f aca="false">SRC_PERF_011</f>
        <v>0.078</v>
      </c>
      <c r="N25" s="94" t="n">
        <f aca="false">SRC_PERF_011</f>
        <v>0.078</v>
      </c>
      <c r="O25" s="78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IF(ISNUMBER(D25),IF(AND(ISNUMBER(M25),ISNUMBER(N25)),IF(M25=N25,IF(ABS(D25/M25-1)&lt;=L1_JudgeTol,"±"&amp;TEXT(L1_JudgeTol,"0%")&amp;" 內","差距 &gt;"&amp;TEXT(L1_JudgeTol,"0%")),IF(D25&lt;M25,"低於外部區間",IF(D25&gt;N25,"高於外部區間","落在外部區間"))),"無外部對照"),"推算值非數字（本情境）")</f>
        <v>±20% 內</v>
      </c>
      <c r="Q25" s="62" t="s">
        <v>3929</v>
      </c>
      <c r="R25" s="62" t="s">
        <v>3937</v>
      </c>
      <c r="S25" s="6" t="s">
        <v>3938</v>
      </c>
      <c r="T25" s="60" t="s">
        <v>3850</v>
      </c>
      <c r="U25" s="88" t="s">
        <v>3918</v>
      </c>
      <c r="V25" s="65" t="s">
        <v>3939</v>
      </c>
    </row>
    <row r="26" customFormat="false" ht="44" hidden="false" customHeight="false" outlineLevel="0" collapsed="false">
      <c r="A26" s="62" t="s">
        <v>3940</v>
      </c>
      <c r="B26" s="5" t="s">
        <v>3941</v>
      </c>
      <c r="C26" s="6" t="s">
        <v>3942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1923</v>
      </c>
      <c r="H26" s="5" t="s">
        <v>3943</v>
      </c>
      <c r="I26" s="5" t="s">
        <v>3944</v>
      </c>
      <c r="J26" s="5" t="s">
        <v>3945</v>
      </c>
      <c r="K26" s="5" t="s">
        <v>3946</v>
      </c>
      <c r="L26" s="62" t="s">
        <v>809</v>
      </c>
      <c r="M26" s="116" t="s">
        <v>809</v>
      </c>
      <c r="N26" s="116" t="s">
        <v>809</v>
      </c>
      <c r="O26" s="78"/>
      <c r="P26" s="61" t="str">
        <f aca="false">IF(ISNUMBER(D26),IF(AND(ISNUMBER(M26),ISNUMBER(N26)),IF(M26=N26,IF(ABS(D26/M26-1)&lt;=L1_JudgeTol,"±"&amp;TEXT(L1_JudgeTol,"0%")&amp;" 內","差距 &gt;"&amp;TEXT(L1_JudgeTol,"0%")),IF(D26&lt;M26,"低於外部區間",IF(D26&gt;N26,"高於外部區間","落在外部區間"))),"無外部對照"),"推算值非數字（本情境）")</f>
        <v>無外部對照</v>
      </c>
      <c r="Q26" s="62" t="s">
        <v>3940</v>
      </c>
      <c r="R26" s="62" t="s">
        <v>3947</v>
      </c>
      <c r="S26" s="5" t="s">
        <v>3948</v>
      </c>
      <c r="T26" s="60" t="s">
        <v>3850</v>
      </c>
      <c r="U26" s="93" t="s">
        <v>3949</v>
      </c>
    </row>
    <row r="27" customFormat="false" ht="44" hidden="false" customHeight="false" outlineLevel="0" collapsed="false">
      <c r="A27" s="62" t="s">
        <v>3950</v>
      </c>
      <c r="B27" s="5" t="s">
        <v>3951</v>
      </c>
      <c r="C27" s="6" t="s">
        <v>3942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1923</v>
      </c>
      <c r="H27" s="5" t="s">
        <v>3943</v>
      </c>
      <c r="I27" s="5" t="s">
        <v>3944</v>
      </c>
      <c r="J27" s="5" t="s">
        <v>3945</v>
      </c>
      <c r="K27" s="5" t="s">
        <v>3946</v>
      </c>
      <c r="L27" s="62" t="s">
        <v>809</v>
      </c>
      <c r="M27" s="116" t="s">
        <v>809</v>
      </c>
      <c r="N27" s="116" t="s">
        <v>809</v>
      </c>
      <c r="O27" s="78"/>
      <c r="P27" s="61" t="str">
        <f aca="false">IF(ISNUMBER(D27),IF(AND(ISNUMBER(M27),ISNUMBER(N27)),IF(M27=N27,IF(ABS(D27/M27-1)&lt;=L1_JudgeTol,"±"&amp;TEXT(L1_JudgeTol,"0%")&amp;" 內","差距 &gt;"&amp;TEXT(L1_JudgeTol,"0%")),IF(D27&lt;M27,"低於外部區間",IF(D27&gt;N27,"高於外部區間","落在外部區間"))),"無外部對照"),"推算值非數字（本情境）")</f>
        <v>無外部對照</v>
      </c>
      <c r="Q27" s="62" t="s">
        <v>3950</v>
      </c>
      <c r="R27" s="62" t="s">
        <v>3947</v>
      </c>
      <c r="S27" s="5" t="s">
        <v>3948</v>
      </c>
      <c r="T27" s="60" t="s">
        <v>3850</v>
      </c>
      <c r="U27" s="93" t="s">
        <v>3949</v>
      </c>
    </row>
    <row r="28" customFormat="false" ht="44" hidden="false" customHeight="false" outlineLevel="0" collapsed="false">
      <c r="A28" s="62" t="s">
        <v>3952</v>
      </c>
      <c r="B28" s="5" t="s">
        <v>3953</v>
      </c>
      <c r="C28" s="6" t="s">
        <v>3942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1923</v>
      </c>
      <c r="H28" s="5" t="s">
        <v>3943</v>
      </c>
      <c r="I28" s="5" t="s">
        <v>3944</v>
      </c>
      <c r="J28" s="5" t="s">
        <v>3945</v>
      </c>
      <c r="K28" s="5" t="s">
        <v>3946</v>
      </c>
      <c r="L28" s="62" t="s">
        <v>809</v>
      </c>
      <c r="M28" s="116" t="s">
        <v>809</v>
      </c>
      <c r="N28" s="116" t="s">
        <v>809</v>
      </c>
      <c r="O28" s="78"/>
      <c r="P28" s="61" t="str">
        <f aca="false">IF(ISNUMBER(D28),IF(AND(ISNUMBER(M28),ISNUMBER(N28)),IF(M28=N28,IF(ABS(D28/M28-1)&lt;=L1_JudgeTol,"±"&amp;TEXT(L1_JudgeTol,"0%")&amp;" 內","差距 &gt;"&amp;TEXT(L1_JudgeTol,"0%")),IF(D28&lt;M28,"低於外部區間",IF(D28&gt;N28,"高於外部區間","落在外部區間"))),"無外部對照"),"推算值非數字（本情境）")</f>
        <v>無外部對照</v>
      </c>
      <c r="Q28" s="62" t="s">
        <v>3952</v>
      </c>
      <c r="R28" s="62" t="s">
        <v>3947</v>
      </c>
      <c r="S28" s="5" t="s">
        <v>3948</v>
      </c>
      <c r="T28" s="60" t="s">
        <v>3850</v>
      </c>
      <c r="U28" s="93" t="s">
        <v>3949</v>
      </c>
    </row>
    <row r="29" customFormat="false" ht="44" hidden="false" customHeight="false" outlineLevel="0" collapsed="false">
      <c r="A29" s="62" t="s">
        <v>3954</v>
      </c>
      <c r="B29" s="6" t="s">
        <v>3955</v>
      </c>
      <c r="C29" s="6" t="s">
        <v>3942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1923</v>
      </c>
      <c r="H29" s="5" t="s">
        <v>3943</v>
      </c>
      <c r="I29" s="5" t="s">
        <v>3944</v>
      </c>
      <c r="J29" s="5" t="s">
        <v>3945</v>
      </c>
      <c r="K29" s="5" t="s">
        <v>3946</v>
      </c>
      <c r="L29" s="62" t="s">
        <v>809</v>
      </c>
      <c r="M29" s="116" t="s">
        <v>809</v>
      </c>
      <c r="N29" s="116" t="s">
        <v>809</v>
      </c>
      <c r="O29" s="78"/>
      <c r="P29" s="61" t="str">
        <f aca="false">IF(ISNUMBER(D29),IF(AND(ISNUMBER(M29),ISNUMBER(N29)),IF(M29=N29,IF(ABS(D29/M29-1)&lt;=L1_JudgeTol,"±"&amp;TEXT(L1_JudgeTol,"0%")&amp;" 內","差距 &gt;"&amp;TEXT(L1_JudgeTol,"0%")),IF(D29&lt;M29,"低於外部區間",IF(D29&gt;N29,"高於外部區間","落在外部區間"))),"無外部對照"),"推算值非數字（本情境）")</f>
        <v>無外部對照</v>
      </c>
      <c r="Q29" s="62" t="s">
        <v>3954</v>
      </c>
      <c r="R29" s="62" t="s">
        <v>3947</v>
      </c>
      <c r="S29" s="5" t="s">
        <v>3948</v>
      </c>
      <c r="T29" s="60" t="s">
        <v>3850</v>
      </c>
      <c r="U29" s="93" t="s">
        <v>3949</v>
      </c>
    </row>
    <row r="30" customFormat="false" ht="86.55" hidden="false" customHeight="false" outlineLevel="0" collapsed="false">
      <c r="A30" s="62" t="s">
        <v>3956</v>
      </c>
      <c r="B30" s="5" t="s">
        <v>3957</v>
      </c>
      <c r="C30" s="6" t="s">
        <v>3895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1049</v>
      </c>
      <c r="H30" s="5" t="s">
        <v>3845</v>
      </c>
      <c r="I30" s="5" t="s">
        <v>3958</v>
      </c>
      <c r="J30" s="5" t="s">
        <v>3897</v>
      </c>
      <c r="K30" s="5" t="s">
        <v>3959</v>
      </c>
      <c r="L30" s="62" t="s">
        <v>3960</v>
      </c>
      <c r="M30" s="94" t="n">
        <f aca="false">SRC_PRC_001/4</f>
        <v>10.5</v>
      </c>
      <c r="N30" s="94" t="n">
        <f aca="false">SRC_PRC_001/4</f>
        <v>10.5</v>
      </c>
      <c r="O30" s="78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IF(ISNUMBER(D30),IF(AND(ISNUMBER(M30),ISNUMBER(N30)),IF(M30=N30,IF(ABS(D30/M30-1)&lt;=L1_JudgeTol,"±"&amp;TEXT(L1_JudgeTol,"0%")&amp;" 內","差距 &gt;"&amp;TEXT(L1_JudgeTol,"0%")),IF(D30&lt;M30,"低於外部區間",IF(D30&gt;N30,"高於外部區間","落在外部區間"))),"無外部對照"),"推算值非數字（本情境）")</f>
        <v>差距 &gt;20%</v>
      </c>
      <c r="Q30" s="62" t="s">
        <v>3956</v>
      </c>
      <c r="R30" s="62" t="s">
        <v>3961</v>
      </c>
      <c r="S30" s="5" t="s">
        <v>3962</v>
      </c>
      <c r="T30" s="60" t="s">
        <v>3850</v>
      </c>
      <c r="U30" s="93" t="s">
        <v>3963</v>
      </c>
      <c r="V30" s="65" t="s">
        <v>3964</v>
      </c>
    </row>
    <row r="31" customFormat="false" ht="44" hidden="false" customHeight="false" outlineLevel="0" collapsed="false">
      <c r="A31" s="62" t="s">
        <v>3965</v>
      </c>
      <c r="B31" s="5" t="s">
        <v>3966</v>
      </c>
      <c r="C31" s="6" t="s">
        <v>3895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1049</v>
      </c>
      <c r="H31" s="5" t="s">
        <v>3845</v>
      </c>
      <c r="I31" s="5" t="s">
        <v>3967</v>
      </c>
      <c r="J31" s="5" t="s">
        <v>3897</v>
      </c>
      <c r="K31" s="5" t="s">
        <v>3968</v>
      </c>
      <c r="L31" s="62" t="s">
        <v>3969</v>
      </c>
      <c r="M31" s="94" t="n">
        <f aca="false">SRC_PRC_002</f>
        <v>3.57</v>
      </c>
      <c r="N31" s="94" t="n">
        <f aca="false">SRC_PRC_002</f>
        <v>3.57</v>
      </c>
      <c r="O31" s="78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IF(ISNUMBER(D31),IF(AND(ISNUMBER(M31),ISNUMBER(N31)),IF(M31=N31,IF(ABS(D31/M31-1)&lt;=L1_JudgeTol,"±"&amp;TEXT(L1_JudgeTol,"0%")&amp;" 內","差距 &gt;"&amp;TEXT(L1_JudgeTol,"0%")),IF(D31&lt;M31,"低於外部區間",IF(D31&gt;N31,"高於外部區間","落在外部區間"))),"無外部對照"),"推算值非數字（本情境）")</f>
        <v>差距 &gt;20%</v>
      </c>
      <c r="Q31" s="62" t="s">
        <v>3965</v>
      </c>
      <c r="R31" s="62" t="s">
        <v>3970</v>
      </c>
      <c r="S31" s="5" t="s">
        <v>3971</v>
      </c>
      <c r="T31" s="60" t="s">
        <v>3850</v>
      </c>
      <c r="U31" s="93" t="s">
        <v>3963</v>
      </c>
      <c r="V31" s="65" t="s">
        <v>3972</v>
      </c>
    </row>
    <row r="32" customFormat="false" ht="39.55" hidden="false" customHeight="false" outlineLevel="0" collapsed="false">
      <c r="A32" s="62" t="s">
        <v>3973</v>
      </c>
      <c r="B32" s="6" t="s">
        <v>3974</v>
      </c>
      <c r="C32" s="6" t="s">
        <v>3975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132</v>
      </c>
      <c r="H32" s="6" t="s">
        <v>3976</v>
      </c>
      <c r="I32" s="5" t="s">
        <v>3977</v>
      </c>
      <c r="J32" s="6" t="s">
        <v>3978</v>
      </c>
      <c r="K32" s="6" t="s">
        <v>3979</v>
      </c>
      <c r="L32" s="62" t="s">
        <v>3980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8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IF(ISNUMBER(D32),IF(AND(ISNUMBER(M32),ISNUMBER(N32)),IF(M32=N32,IF(ABS(D32/M32-1)&lt;=L1_JudgeTol,"±"&amp;TEXT(L1_JudgeTol,"0%")&amp;" 內","差距 &gt;"&amp;TEXT(L1_JudgeTol,"0%")),IF(D32&lt;M32,"低於外部區間",IF(D32&gt;N32,"高於外部區間","落在外部區間"))),"無外部對照"),"推算值非數字（本情境）")</f>
        <v>差距 &gt;20%</v>
      </c>
      <c r="Q32" s="62" t="s">
        <v>3973</v>
      </c>
      <c r="R32" s="62" t="s">
        <v>3981</v>
      </c>
      <c r="S32" s="5" t="s">
        <v>3982</v>
      </c>
      <c r="T32" s="60" t="s">
        <v>3983</v>
      </c>
      <c r="U32" s="88" t="s">
        <v>3984</v>
      </c>
      <c r="V32" s="65" t="s">
        <v>3985</v>
      </c>
    </row>
    <row r="33" customFormat="false" ht="44" hidden="false" customHeight="false" outlineLevel="0" collapsed="false">
      <c r="A33" s="62" t="s">
        <v>3986</v>
      </c>
      <c r="B33" s="6" t="s">
        <v>3987</v>
      </c>
      <c r="C33" s="6" t="s">
        <v>3975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132</v>
      </c>
      <c r="H33" s="6" t="s">
        <v>3976</v>
      </c>
      <c r="I33" s="5" t="s">
        <v>3988</v>
      </c>
      <c r="J33" s="6" t="s">
        <v>3978</v>
      </c>
      <c r="K33" s="6" t="s">
        <v>3979</v>
      </c>
      <c r="L33" s="62" t="s">
        <v>3989</v>
      </c>
      <c r="M33" s="94" t="n">
        <f aca="false">SRC_MOD_036</f>
        <v>1</v>
      </c>
      <c r="N33" s="94" t="n">
        <f aca="false">SRC_MOD_036</f>
        <v>1</v>
      </c>
      <c r="O33" s="78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IF(ISNUMBER(D33),IF(AND(ISNUMBER(M33),ISNUMBER(N33)),IF(M33=N33,IF(ABS(D33/M33-1)&lt;=L1_JudgeTol,"±"&amp;TEXT(L1_JudgeTol,"0%")&amp;" 內","差距 &gt;"&amp;TEXT(L1_JudgeTol,"0%")),IF(D33&lt;M33,"低於外部區間",IF(D33&gt;N33,"高於外部區間","落在外部區間"))),"無外部對照"),"推算值非數字（本情境）")</f>
        <v>±20% 內</v>
      </c>
      <c r="Q33" s="62" t="s">
        <v>3986</v>
      </c>
      <c r="R33" s="62" t="s">
        <v>3990</v>
      </c>
      <c r="S33" s="5" t="s">
        <v>3991</v>
      </c>
      <c r="T33" s="60" t="s">
        <v>3983</v>
      </c>
      <c r="U33" s="88" t="s">
        <v>3984</v>
      </c>
      <c r="V33" s="65" t="s">
        <v>3992</v>
      </c>
    </row>
    <row r="34" customFormat="false" ht="29.85" hidden="false" customHeight="false" outlineLevel="0" collapsed="false">
      <c r="A34" s="62" t="s">
        <v>3993</v>
      </c>
      <c r="B34" s="5" t="s">
        <v>3994</v>
      </c>
      <c r="C34" s="6" t="s">
        <v>3995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127</v>
      </c>
      <c r="H34" s="5" t="s">
        <v>3996</v>
      </c>
      <c r="I34" s="5" t="s">
        <v>3997</v>
      </c>
      <c r="J34" s="5" t="s">
        <v>3998</v>
      </c>
      <c r="K34" s="5" t="s">
        <v>3999</v>
      </c>
      <c r="L34" s="62" t="s">
        <v>4000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8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IF(ISNUMBER(D34),IF(AND(ISNUMBER(M34),ISNUMBER(N34)),IF(M34=N34,IF(ABS(D34/M34-1)&lt;=L1_JudgeTol,"±"&amp;TEXT(L1_JudgeTol,"0%")&amp;" 內","差距 &gt;"&amp;TEXT(L1_JudgeTol,"0%")),IF(D34&lt;M34,"低於外部區間",IF(D34&gt;N34,"高於外部區間","落在外部區間"))),"無外部對照"),"推算值非數字（本情境）")</f>
        <v>落在外部區間</v>
      </c>
      <c r="Q34" s="62" t="s">
        <v>3993</v>
      </c>
      <c r="R34" s="62" t="s">
        <v>4001</v>
      </c>
      <c r="S34" s="5" t="s">
        <v>4002</v>
      </c>
      <c r="T34" s="60" t="s">
        <v>4003</v>
      </c>
      <c r="U34" s="93" t="s">
        <v>4004</v>
      </c>
      <c r="V34" s="65" t="s">
        <v>4005</v>
      </c>
    </row>
    <row r="35" customFormat="false" ht="72.35" hidden="false" customHeight="false" outlineLevel="0" collapsed="false">
      <c r="A35" s="62" t="s">
        <v>4006</v>
      </c>
      <c r="B35" s="6" t="s">
        <v>4007</v>
      </c>
      <c r="C35" s="6" t="s">
        <v>4008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2" t="s">
        <v>1923</v>
      </c>
      <c r="H35" s="5" t="s">
        <v>4009</v>
      </c>
      <c r="I35" s="5" t="s">
        <v>4010</v>
      </c>
      <c r="J35" s="6" t="s">
        <v>4011</v>
      </c>
      <c r="K35" s="6" t="s">
        <v>4012</v>
      </c>
      <c r="L35" s="62" t="s">
        <v>4013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8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IF(ISNUMBER(D35),IF(AND(ISNUMBER(M35),ISNUMBER(N35)),IF(M35=N35,IF(ABS(D35/M35-1)&lt;=L1_JudgeTol,"±"&amp;TEXT(L1_JudgeTol,"0%")&amp;" 內","差距 &gt;"&amp;TEXT(L1_JudgeTol,"0%")),IF(D35&lt;M35,"低於外部區間",IF(D35&gt;N35,"高於外部區間","落在外部區間"))),"無外部對照"),"推算值非數字（本情境）")</f>
        <v>差距 &gt;20%</v>
      </c>
      <c r="Q35" s="62" t="s">
        <v>4006</v>
      </c>
      <c r="R35" s="62" t="s">
        <v>4014</v>
      </c>
      <c r="S35" s="5" t="s">
        <v>4015</v>
      </c>
      <c r="T35" s="60" t="s">
        <v>3850</v>
      </c>
      <c r="U35" s="93" t="s">
        <v>3949</v>
      </c>
      <c r="V35" s="65" t="s">
        <v>4016</v>
      </c>
    </row>
    <row r="36" customFormat="false" ht="58.2" hidden="false" customHeight="false" outlineLevel="0" collapsed="false">
      <c r="A36" s="62" t="s">
        <v>4017</v>
      </c>
      <c r="B36" s="6" t="s">
        <v>4018</v>
      </c>
      <c r="C36" s="6" t="s">
        <v>4019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355</v>
      </c>
      <c r="H36" s="5" t="s">
        <v>4020</v>
      </c>
      <c r="I36" s="5" t="s">
        <v>4021</v>
      </c>
      <c r="J36" s="6" t="s">
        <v>4022</v>
      </c>
      <c r="K36" s="6" t="s">
        <v>4023</v>
      </c>
      <c r="L36" s="62" t="s">
        <v>4024</v>
      </c>
      <c r="M36" s="94" t="n">
        <f aca="false">SRC_MOD_055_Lo</f>
        <v>5E+026</v>
      </c>
      <c r="N36" s="94" t="n">
        <f aca="false">SRC_MOD_055_Hi</f>
        <v>2E+027</v>
      </c>
      <c r="O36" s="78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IF(ISNUMBER(D36),IF(AND(ISNUMBER(M36),ISNUMBER(N36)),IF(M36=N36,IF(ABS(D36/M36-1)&lt;=L1_JudgeTol,"±"&amp;TEXT(L1_JudgeTol,"0%")&amp;" 內","差距 &gt;"&amp;TEXT(L1_JudgeTol,"0%")),IF(D36&lt;M36,"低於外部區間",IF(D36&gt;N36,"高於外部區間","落在外部區間"))),"無外部對照"),"推算值非數字（本情境）")</f>
        <v>低於外部區間</v>
      </c>
      <c r="Q36" s="62" t="s">
        <v>4017</v>
      </c>
      <c r="R36" s="62" t="s">
        <v>4025</v>
      </c>
      <c r="S36" s="5" t="s">
        <v>4026</v>
      </c>
      <c r="T36" s="60" t="s">
        <v>3850</v>
      </c>
      <c r="U36" s="93" t="s">
        <v>4027</v>
      </c>
      <c r="V36" s="65" t="s">
        <v>4028</v>
      </c>
    </row>
    <row r="37" customFormat="false" ht="69.4" hidden="false" customHeight="false" outlineLevel="0" collapsed="false">
      <c r="A37" s="62" t="s">
        <v>3081</v>
      </c>
      <c r="B37" s="5" t="s">
        <v>4029</v>
      </c>
      <c r="C37" s="6" t="s">
        <v>4030</v>
      </c>
      <c r="D37" s="125" t="n">
        <f aca="false">IF_AllocQ1</f>
        <v>0.184322317309608</v>
      </c>
      <c r="E37" s="116" t="n">
        <f aca="false">IF(ISNUMBER(IF_AllocQ1),MIN(AL_SensQ1),"—")</f>
        <v>0.101517091423676</v>
      </c>
      <c r="F37" s="116" t="n">
        <f aca="false">IF(ISNUMBER(IF_AllocQ1),MAX(AL_SensQ1),"—")</f>
        <v>0.61267650366603</v>
      </c>
      <c r="G37" s="62" t="s">
        <v>127</v>
      </c>
      <c r="H37" s="6" t="s">
        <v>4031</v>
      </c>
      <c r="I37" s="5" t="s">
        <v>4032</v>
      </c>
      <c r="J37" s="6" t="s">
        <v>4033</v>
      </c>
      <c r="K37" s="5" t="s">
        <v>4034</v>
      </c>
      <c r="L37" s="62" t="s">
        <v>809</v>
      </c>
      <c r="M37" s="116" t="s">
        <v>809</v>
      </c>
      <c r="N37" s="116" t="s">
        <v>809</v>
      </c>
      <c r="O37" s="78"/>
      <c r="P37" s="61" t="str">
        <f aca="false">IF(ISNUMBER(D37),IF(AND(ISNUMBER(M37),ISNUMBER(N37)),IF(M37=N37,IF(ABS(D37/M37-1)&lt;=L1_JudgeTol,"±"&amp;TEXT(L1_JudgeTol,"0%")&amp;" 內","差距 &gt;"&amp;TEXT(L1_JudgeTol,"0%")),IF(D37&lt;M37,"低於外部區間",IF(D37&gt;N37,"高於外部區間","落在外部區間"))),"無外部對照"),"推算值非數字（本情境）")</f>
        <v>無外部對照</v>
      </c>
      <c r="Q37" s="62" t="s">
        <v>3081</v>
      </c>
      <c r="R37" s="62" t="s">
        <v>4035</v>
      </c>
      <c r="S37" s="6" t="s">
        <v>4036</v>
      </c>
      <c r="T37" s="60" t="s">
        <v>3850</v>
      </c>
      <c r="U37" s="88" t="s">
        <v>4037</v>
      </c>
    </row>
    <row r="38" customFormat="false" ht="58.2" hidden="false" customHeight="false" outlineLevel="0" collapsed="false">
      <c r="A38" s="62" t="s">
        <v>3084</v>
      </c>
      <c r="B38" s="5" t="s">
        <v>4038</v>
      </c>
      <c r="C38" s="6" t="s">
        <v>4039</v>
      </c>
      <c r="D38" s="125" t="n">
        <f aca="false">IF_AllocQ2</f>
        <v>0.184983490208217</v>
      </c>
      <c r="E38" s="116" t="n">
        <f aca="false">IF(ISNUMBER(IF_AllocQ2),MIN(AL_SensQ2),"—")</f>
        <v>0.101918351271327</v>
      </c>
      <c r="F38" s="116" t="n">
        <f aca="false">IF(ISNUMBER(IF_AllocQ2),MAX(AL_SensQ2),"—")</f>
        <v>0.613718116401616</v>
      </c>
      <c r="G38" s="62" t="s">
        <v>127</v>
      </c>
      <c r="H38" s="6" t="s">
        <v>4040</v>
      </c>
      <c r="I38" s="5" t="s">
        <v>4041</v>
      </c>
      <c r="J38" s="6" t="s">
        <v>4042</v>
      </c>
      <c r="K38" s="5" t="s">
        <v>4034</v>
      </c>
      <c r="L38" s="62" t="s">
        <v>809</v>
      </c>
      <c r="M38" s="116" t="s">
        <v>809</v>
      </c>
      <c r="N38" s="116" t="s">
        <v>809</v>
      </c>
      <c r="O38" s="78"/>
      <c r="P38" s="61" t="str">
        <f aca="false">IF(ISNUMBER(D38),IF(AND(ISNUMBER(M38),ISNUMBER(N38)),IF(M38=N38,IF(ABS(D38/M38-1)&lt;=L1_JudgeTol,"±"&amp;TEXT(L1_JudgeTol,"0%")&amp;" 內","差距 &gt;"&amp;TEXT(L1_JudgeTol,"0%")),IF(D38&lt;M38,"低於外部區間",IF(D38&gt;N38,"高於外部區間","落在外部區間"))),"無外部對照"),"推算值非數字（本情境）")</f>
        <v>無外部對照</v>
      </c>
      <c r="Q38" s="62" t="s">
        <v>3084</v>
      </c>
      <c r="R38" s="62" t="s">
        <v>4035</v>
      </c>
      <c r="S38" s="5" t="s">
        <v>4043</v>
      </c>
      <c r="T38" s="60" t="s">
        <v>3850</v>
      </c>
      <c r="U38" s="88" t="s">
        <v>4037</v>
      </c>
    </row>
    <row r="39" customFormat="false" ht="129.1" hidden="false" customHeight="false" outlineLevel="0" collapsed="false">
      <c r="A39" s="62" t="s">
        <v>3087</v>
      </c>
      <c r="B39" s="5" t="s">
        <v>4044</v>
      </c>
      <c r="C39" s="6" t="s">
        <v>4045</v>
      </c>
      <c r="D39" s="125" t="n">
        <f aca="false">AL_RDCost</f>
        <v>1.90653968242434</v>
      </c>
      <c r="E39" s="116" t="n">
        <f aca="false">IF(ISNUMBER(AL_RDCost),MIN(AL_SensCost),"—")</f>
        <v>0.95326984121217</v>
      </c>
      <c r="F39" s="116" t="n">
        <f aca="false">IF(ISNUMBER(AL_RDCost),MAX(AL_SensCost),"—")</f>
        <v>13.3457777769704</v>
      </c>
      <c r="G39" s="62" t="s">
        <v>2255</v>
      </c>
      <c r="H39" s="6" t="s">
        <v>4046</v>
      </c>
      <c r="I39" s="6" t="s">
        <v>4047</v>
      </c>
      <c r="J39" s="6" t="s">
        <v>4048</v>
      </c>
      <c r="K39" s="5" t="s">
        <v>4049</v>
      </c>
      <c r="L39" s="62" t="s">
        <v>4050</v>
      </c>
      <c r="M39" s="94" t="n">
        <f aca="false">SRC_DEM_006</f>
        <v>12</v>
      </c>
      <c r="N39" s="94" t="n">
        <f aca="false">SRC_DEM_006</f>
        <v>12</v>
      </c>
      <c r="O39" s="78" t="n">
        <f aca="false">IF(AND(ISNUMBER(D39),ISNUMBER(M39),ISNUMBER(N39)),D39/((M39+N39)/2),"—")</f>
        <v>0.158878306868695</v>
      </c>
      <c r="P39" s="61" t="str">
        <f aca="false">IF(ISNUMBER(D39),IF(AND(ISNUMBER(M39),ISNUMBER(N39)),IF(M39=N39,IF(ABS(D39/M39-1)&lt;=L1_JudgeTol,"±"&amp;TEXT(L1_JudgeTol,"0%")&amp;" 內","差距 &gt;"&amp;TEXT(L1_JudgeTol,"0%")),IF(D39&lt;M39,"低於外部區間",IF(D39&gt;N39,"高於外部區間","落在外部區間"))),"無外部對照"),"推算值非數字（本情境）")</f>
        <v>差距 &gt;20%</v>
      </c>
      <c r="Q39" s="62" t="s">
        <v>3087</v>
      </c>
      <c r="R39" s="62" t="s">
        <v>4051</v>
      </c>
      <c r="S39" s="5" t="s">
        <v>4052</v>
      </c>
      <c r="T39" s="60" t="s">
        <v>3850</v>
      </c>
      <c r="U39" s="88" t="s">
        <v>4037</v>
      </c>
      <c r="V39" s="65" t="s">
        <v>4053</v>
      </c>
    </row>
    <row r="40" customFormat="false" ht="83.55" hidden="false" customHeight="false" outlineLevel="0" collapsed="false">
      <c r="A40" s="62" t="s">
        <v>4054</v>
      </c>
      <c r="B40" s="5" t="s">
        <v>4055</v>
      </c>
      <c r="C40" s="6" t="s">
        <v>4056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1040</v>
      </c>
      <c r="H40" s="5" t="s">
        <v>3845</v>
      </c>
      <c r="I40" s="5" t="s">
        <v>4057</v>
      </c>
      <c r="J40" s="6" t="s">
        <v>3914</v>
      </c>
      <c r="K40" s="5" t="s">
        <v>3915</v>
      </c>
      <c r="L40" s="62" t="s">
        <v>809</v>
      </c>
      <c r="M40" s="116" t="s">
        <v>809</v>
      </c>
      <c r="N40" s="116" t="s">
        <v>809</v>
      </c>
      <c r="O40" s="78"/>
      <c r="P40" s="61" t="str">
        <f aca="false">IF(ISNUMBER(D40),IF(AND(ISNUMBER(M40),ISNUMBER(N40)),IF(M40=N40,IF(ABS(D40/M40-1)&lt;=L1_JudgeTol,"±"&amp;TEXT(L1_JudgeTol,"0%")&amp;" 內","差距 &gt;"&amp;TEXT(L1_JudgeTol,"0%")),IF(D40&lt;M40,"低於外部區間",IF(D40&gt;N40,"高於外部區間","落在外部區間"))),"無外部對照"),"推算值非數字（本情境）")</f>
        <v>無外部對照</v>
      </c>
      <c r="Q40" s="62" t="s">
        <v>4054</v>
      </c>
      <c r="R40" s="62" t="s">
        <v>4058</v>
      </c>
      <c r="S40" s="6" t="s">
        <v>4059</v>
      </c>
      <c r="T40" s="60" t="s">
        <v>3850</v>
      </c>
      <c r="U40" s="93" t="s">
        <v>4060</v>
      </c>
    </row>
    <row r="41" customFormat="false" ht="72.35" hidden="false" customHeight="false" outlineLevel="0" collapsed="false">
      <c r="A41" s="62" t="s">
        <v>4061</v>
      </c>
      <c r="B41" s="5" t="s">
        <v>4062</v>
      </c>
      <c r="C41" s="6" t="s">
        <v>4063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1923</v>
      </c>
      <c r="H41" s="5" t="s">
        <v>3943</v>
      </c>
      <c r="I41" s="5" t="s">
        <v>4064</v>
      </c>
      <c r="J41" s="5" t="s">
        <v>4065</v>
      </c>
      <c r="K41" s="5" t="s">
        <v>4066</v>
      </c>
      <c r="L41" s="62" t="s">
        <v>809</v>
      </c>
      <c r="M41" s="116" t="s">
        <v>809</v>
      </c>
      <c r="N41" s="116" t="s">
        <v>809</v>
      </c>
      <c r="O41" s="78"/>
      <c r="P41" s="61" t="str">
        <f aca="false">IF(ISNUMBER(D41),IF(AND(ISNUMBER(M41),ISNUMBER(N41)),IF(M41=N41,IF(ABS(D41/M41-1)&lt;=L1_JudgeTol,"±"&amp;TEXT(L1_JudgeTol,"0%")&amp;" 內","差距 &gt;"&amp;TEXT(L1_JudgeTol,"0%")),IF(D41&lt;M41,"低於外部區間",IF(D41&gt;N41,"高於外部區間","落在外部區間"))),"無外部對照"),"推算值非數字（本情境）")</f>
        <v>無外部對照</v>
      </c>
      <c r="Q41" s="62" t="s">
        <v>4061</v>
      </c>
      <c r="R41" s="62" t="s">
        <v>4067</v>
      </c>
      <c r="S41" s="6" t="s">
        <v>809</v>
      </c>
      <c r="T41" s="60" t="s">
        <v>3850</v>
      </c>
      <c r="U41" s="93" t="s">
        <v>4060</v>
      </c>
    </row>
    <row r="42" customFormat="false" ht="58.2" hidden="false" customHeight="false" outlineLevel="0" collapsed="false">
      <c r="A42" s="62" t="s">
        <v>4068</v>
      </c>
      <c r="B42" s="5" t="s">
        <v>4069</v>
      </c>
      <c r="C42" s="5" t="s">
        <v>4070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127</v>
      </c>
      <c r="H42" s="5" t="s">
        <v>4071</v>
      </c>
      <c r="I42" s="6" t="s">
        <v>4072</v>
      </c>
      <c r="J42" s="6" t="s">
        <v>4073</v>
      </c>
      <c r="K42" s="6" t="s">
        <v>3979</v>
      </c>
      <c r="L42" s="62" t="s">
        <v>809</v>
      </c>
      <c r="M42" s="116" t="s">
        <v>809</v>
      </c>
      <c r="N42" s="116" t="s">
        <v>809</v>
      </c>
      <c r="O42" s="78"/>
      <c r="P42" s="61" t="str">
        <f aca="false">IF(ISNUMBER(D42),IF(AND(ISNUMBER(M42),ISNUMBER(N42)),IF(M42=N42,IF(ABS(D42/M42-1)&lt;=L1_JudgeTol,"±"&amp;TEXT(L1_JudgeTol,"0%")&amp;" 內","差距 &gt;"&amp;TEXT(L1_JudgeTol,"0%")),IF(D42&lt;M42,"低於外部區間",IF(D42&gt;N42,"高於外部區間","落在外部區間"))),"無外部對照"),"推算值非數字（本情境）")</f>
        <v>無外部對照</v>
      </c>
      <c r="Q42" s="62" t="s">
        <v>4068</v>
      </c>
      <c r="R42" s="62" t="s">
        <v>4074</v>
      </c>
      <c r="S42" s="5" t="s">
        <v>4075</v>
      </c>
      <c r="T42" s="60" t="s">
        <v>3850</v>
      </c>
      <c r="U42" s="93" t="s">
        <v>4060</v>
      </c>
    </row>
    <row r="43" customFormat="false" ht="114.9" hidden="false" customHeight="false" outlineLevel="0" collapsed="false">
      <c r="A43" s="62" t="s">
        <v>4076</v>
      </c>
      <c r="B43" s="5" t="s">
        <v>4077</v>
      </c>
      <c r="C43" s="6" t="s">
        <v>4078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132</v>
      </c>
      <c r="H43" s="5" t="s">
        <v>4071</v>
      </c>
      <c r="I43" s="5" t="s">
        <v>4079</v>
      </c>
      <c r="J43" s="5" t="s">
        <v>4080</v>
      </c>
      <c r="K43" s="6" t="s">
        <v>4081</v>
      </c>
      <c r="L43" s="62" t="s">
        <v>809</v>
      </c>
      <c r="M43" s="116" t="s">
        <v>809</v>
      </c>
      <c r="N43" s="116" t="s">
        <v>809</v>
      </c>
      <c r="O43" s="78"/>
      <c r="P43" s="61" t="str">
        <f aca="false">IF(ISNUMBER(D43),IF(AND(ISNUMBER(M43),ISNUMBER(N43)),IF(M43=N43,IF(ABS(D43/M43-1)&lt;=L1_JudgeTol,"±"&amp;TEXT(L1_JudgeTol,"0%")&amp;" 內","差距 &gt;"&amp;TEXT(L1_JudgeTol,"0%")),IF(D43&lt;M43,"低於外部區間",IF(D43&gt;N43,"高於外部區間","落在外部區間"))),"無外部對照"),"推算值非數字（本情境）")</f>
        <v>無外部對照</v>
      </c>
      <c r="Q43" s="62" t="s">
        <v>4076</v>
      </c>
      <c r="R43" s="62" t="s">
        <v>3947</v>
      </c>
      <c r="S43" s="5" t="s">
        <v>4075</v>
      </c>
      <c r="T43" s="60" t="s">
        <v>3850</v>
      </c>
      <c r="U43" s="93" t="s">
        <v>4060</v>
      </c>
    </row>
    <row r="44" customFormat="false" ht="44" hidden="false" customHeight="false" outlineLevel="0" collapsed="false">
      <c r="A44" s="62" t="s">
        <v>4082</v>
      </c>
      <c r="B44" s="5" t="s">
        <v>4083</v>
      </c>
      <c r="C44" s="6" t="s">
        <v>4084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132</v>
      </c>
      <c r="H44" s="5" t="s">
        <v>4071</v>
      </c>
      <c r="I44" s="6" t="s">
        <v>4085</v>
      </c>
      <c r="J44" s="5" t="s">
        <v>4086</v>
      </c>
      <c r="K44" s="6" t="s">
        <v>4087</v>
      </c>
      <c r="L44" s="62" t="s">
        <v>809</v>
      </c>
      <c r="M44" s="116" t="s">
        <v>809</v>
      </c>
      <c r="N44" s="116" t="s">
        <v>809</v>
      </c>
      <c r="O44" s="78"/>
      <c r="P44" s="61" t="str">
        <f aca="false">IF(ISNUMBER(D44),IF(AND(ISNUMBER(M44),ISNUMBER(N44)),IF(M44=N44,IF(ABS(D44/M44-1)&lt;=L1_JudgeTol,"±"&amp;TEXT(L1_JudgeTol,"0%")&amp;" 內","差距 &gt;"&amp;TEXT(L1_JudgeTol,"0%")),IF(D44&lt;M44,"低於外部區間",IF(D44&gt;N44,"高於外部區間","落在外部區間"))),"無外部對照"),"推算值非數字（本情境）")</f>
        <v>無外部對照</v>
      </c>
      <c r="Q44" s="62" t="s">
        <v>4082</v>
      </c>
      <c r="R44" s="62" t="s">
        <v>4088</v>
      </c>
      <c r="S44" s="6" t="s">
        <v>809</v>
      </c>
      <c r="T44" s="60" t="s">
        <v>3850</v>
      </c>
      <c r="U44" s="93" t="s">
        <v>4060</v>
      </c>
    </row>
    <row r="45" customFormat="false" ht="58.2" hidden="false" customHeight="false" outlineLevel="0" collapsed="false">
      <c r="A45" s="62" t="s">
        <v>4089</v>
      </c>
      <c r="B45" s="5" t="s">
        <v>4090</v>
      </c>
      <c r="C45" s="6" t="s">
        <v>4091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2513</v>
      </c>
      <c r="H45" s="5" t="s">
        <v>4092</v>
      </c>
      <c r="I45" s="5" t="s">
        <v>4093</v>
      </c>
      <c r="J45" s="6" t="s">
        <v>4094</v>
      </c>
      <c r="K45" s="6" t="s">
        <v>4095</v>
      </c>
      <c r="L45" s="62" t="s">
        <v>809</v>
      </c>
      <c r="M45" s="116" t="s">
        <v>809</v>
      </c>
      <c r="N45" s="116" t="s">
        <v>809</v>
      </c>
      <c r="O45" s="78"/>
      <c r="P45" s="61" t="str">
        <f aca="false">IF(ISNUMBER(D45),IF(AND(ISNUMBER(M45),ISNUMBER(N45)),IF(M45=N45,IF(ABS(D45/M45-1)&lt;=L1_JudgeTol,"±"&amp;TEXT(L1_JudgeTol,"0%")&amp;" 內","差距 &gt;"&amp;TEXT(L1_JudgeTol,"0%")),IF(D45&lt;M45,"低於外部區間",IF(D45&gt;N45,"高於外部區間","落在外部區間"))),"無外部對照"),"推算值非數字（本情境）")</f>
        <v>無外部對照</v>
      </c>
      <c r="Q45" s="62" t="s">
        <v>4089</v>
      </c>
      <c r="R45" s="62" t="s">
        <v>4088</v>
      </c>
      <c r="S45" s="5" t="s">
        <v>4096</v>
      </c>
      <c r="T45" s="60" t="s">
        <v>3850</v>
      </c>
      <c r="U45" s="93" t="s">
        <v>4060</v>
      </c>
    </row>
    <row r="46" customFormat="false" ht="126.1" hidden="false" customHeight="false" outlineLevel="0" collapsed="false">
      <c r="A46" s="62" t="s">
        <v>4097</v>
      </c>
      <c r="B46" s="5" t="s">
        <v>4098</v>
      </c>
      <c r="C46" s="6" t="s">
        <v>4099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117</v>
      </c>
      <c r="H46" s="5" t="s">
        <v>4100</v>
      </c>
      <c r="I46" s="5" t="s">
        <v>4101</v>
      </c>
      <c r="J46" s="5" t="s">
        <v>4102</v>
      </c>
      <c r="K46" s="5" t="s">
        <v>4034</v>
      </c>
      <c r="L46" s="62" t="s">
        <v>4103</v>
      </c>
      <c r="M46" s="94" t="n">
        <f aca="false">AL_ServeGWSpend</f>
        <v>0.89809617101894</v>
      </c>
      <c r="N46" s="94" t="n">
        <f aca="false">AL_ServeGWSpend</f>
        <v>0.89809617101894</v>
      </c>
      <c r="O46" s="78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IF(ISNUMBER(D46),IF(AND(ISNUMBER(M46),ISNUMBER(N46)),IF(M46=N46,IF(ABS(D46/M46-1)&lt;=L1_JudgeTol,"±"&amp;TEXT(L1_JudgeTol,"0%")&amp;" 內","差距 &gt;"&amp;TEXT(L1_JudgeTol,"0%")),IF(D46&lt;M46,"低於外部區間",IF(D46&gt;N46,"高於外部區間","落在外部區間"))),"無外部對照"),"推算值非數字（本情境）")</f>
        <v>±20% 內</v>
      </c>
      <c r="Q46" s="62" t="s">
        <v>4097</v>
      </c>
      <c r="R46" s="62" t="s">
        <v>4104</v>
      </c>
      <c r="S46" s="5" t="s">
        <v>4105</v>
      </c>
      <c r="T46" s="60" t="s">
        <v>3983</v>
      </c>
      <c r="U46" s="93" t="s">
        <v>4106</v>
      </c>
      <c r="V46" s="65" t="s">
        <v>4107</v>
      </c>
    </row>
    <row r="47" customFormat="false" ht="44" hidden="false" customHeight="false" outlineLevel="0" collapsed="false">
      <c r="A47" s="62" t="s">
        <v>4108</v>
      </c>
      <c r="B47" s="5" t="s">
        <v>4109</v>
      </c>
      <c r="C47" s="6" t="s">
        <v>4110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2" t="s">
        <v>127</v>
      </c>
      <c r="H47" s="5" t="s">
        <v>4100</v>
      </c>
      <c r="I47" s="6" t="s">
        <v>4111</v>
      </c>
      <c r="J47" s="5" t="s">
        <v>4112</v>
      </c>
      <c r="K47" s="5" t="s">
        <v>4113</v>
      </c>
      <c r="L47" s="62" t="s">
        <v>4114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8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IF(ISNUMBER(D47),IF(AND(ISNUMBER(M47),ISNUMBER(N47)),IF(M47=N47,IF(ABS(D47/M47-1)&lt;=L1_JudgeTol,"±"&amp;TEXT(L1_JudgeTol,"0%")&amp;" 內","差距 &gt;"&amp;TEXT(L1_JudgeTol,"0%")),IF(D47&lt;M47,"低於外部區間",IF(D47&gt;N47,"高於外部區間","落在外部區間"))),"無外部對照"),"推算值非數字（本情境）")</f>
        <v>差距 &gt;20%</v>
      </c>
      <c r="Q47" s="62" t="s">
        <v>4108</v>
      </c>
      <c r="R47" s="62" t="s">
        <v>4104</v>
      </c>
      <c r="S47" s="5" t="s">
        <v>4115</v>
      </c>
      <c r="T47" s="60" t="s">
        <v>3850</v>
      </c>
      <c r="U47" s="93" t="s">
        <v>4116</v>
      </c>
      <c r="V47" s="65" t="s">
        <v>4117</v>
      </c>
    </row>
    <row r="48" customFormat="false" ht="72.35" hidden="false" customHeight="false" outlineLevel="0" collapsed="false">
      <c r="A48" s="62" t="s">
        <v>4118</v>
      </c>
      <c r="B48" s="5" t="s">
        <v>4119</v>
      </c>
      <c r="C48" s="6" t="s">
        <v>4120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1606</v>
      </c>
      <c r="H48" s="5" t="s">
        <v>4100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4121</v>
      </c>
      <c r="K48" s="5" t="s">
        <v>4034</v>
      </c>
      <c r="L48" s="62" t="s">
        <v>4122</v>
      </c>
      <c r="M48" s="94" t="n">
        <f aca="false">SRC_DEM_013_Lo</f>
        <v>10</v>
      </c>
      <c r="N48" s="94" t="n">
        <f aca="false">SRC_DEM_013_Hi</f>
        <v>100</v>
      </c>
      <c r="O48" s="78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IF(ISNUMBER(D48),IF(AND(ISNUMBER(M48),ISNUMBER(N48)),IF(M48=N48,IF(ABS(D48/M48-1)&lt;=L1_JudgeTol,"±"&amp;TEXT(L1_JudgeTol,"0%")&amp;" 內","差距 &gt;"&amp;TEXT(L1_JudgeTol,"0%")),IF(D48&lt;M48,"低於外部區間",IF(D48&gt;N48,"高於外部區間","落在外部區間"))),"無外部對照"),"推算值非數字（本情境）")</f>
        <v>落在外部區間</v>
      </c>
      <c r="Q48" s="62" t="s">
        <v>4118</v>
      </c>
      <c r="R48" s="62" t="s">
        <v>4123</v>
      </c>
      <c r="S48" s="6" t="s">
        <v>4124</v>
      </c>
      <c r="T48" s="60" t="s">
        <v>3850</v>
      </c>
      <c r="U48" s="93" t="s">
        <v>4125</v>
      </c>
      <c r="V48" s="65" t="s">
        <v>4126</v>
      </c>
    </row>
    <row r="49" customFormat="false" ht="143.25" hidden="false" customHeight="false" outlineLevel="0" collapsed="false">
      <c r="A49" s="62" t="s">
        <v>4127</v>
      </c>
      <c r="B49" s="5" t="s">
        <v>4128</v>
      </c>
      <c r="C49" s="6" t="s">
        <v>4129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127</v>
      </c>
      <c r="H49" s="5" t="s">
        <v>4130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4131</v>
      </c>
      <c r="K49" s="5" t="s">
        <v>4066</v>
      </c>
      <c r="L49" s="62" t="s">
        <v>4132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8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IF(ISNUMBER(D49),IF(AND(ISNUMBER(M49),ISNUMBER(N49)),IF(M49=N49,IF(ABS(D49/M49-1)&lt;=L1_JudgeTol,"±"&amp;TEXT(L1_JudgeTol,"0%")&amp;" 內","差距 &gt;"&amp;TEXT(L1_JudgeTol,"0%")),IF(D49&lt;M49,"低於外部區間",IF(D49&gt;N49,"高於外部區間","落在外部區間"))),"無外部對照"),"推算值非數字（本情境）")</f>
        <v>差距 &gt;20%</v>
      </c>
      <c r="Q49" s="62" t="s">
        <v>4127</v>
      </c>
      <c r="R49" s="62" t="s">
        <v>4133</v>
      </c>
      <c r="S49" s="5" t="s">
        <v>4134</v>
      </c>
      <c r="T49" s="60" t="s">
        <v>3850</v>
      </c>
      <c r="U49" s="93" t="s">
        <v>4060</v>
      </c>
      <c r="V49" s="65" t="s">
        <v>4135</v>
      </c>
    </row>
    <row r="50" customFormat="false" ht="69.4" hidden="false" customHeight="false" outlineLevel="0" collapsed="false">
      <c r="A50" s="62" t="s">
        <v>4136</v>
      </c>
      <c r="B50" s="5" t="s">
        <v>4137</v>
      </c>
      <c r="C50" s="6" t="s">
        <v>4129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127</v>
      </c>
      <c r="H50" s="5" t="s">
        <v>4130</v>
      </c>
      <c r="I50" s="6" t="s">
        <v>4138</v>
      </c>
      <c r="J50" s="5" t="s">
        <v>4139</v>
      </c>
      <c r="K50" s="5" t="s">
        <v>4066</v>
      </c>
      <c r="L50" s="62" t="s">
        <v>809</v>
      </c>
      <c r="M50" s="116" t="s">
        <v>809</v>
      </c>
      <c r="N50" s="116" t="s">
        <v>809</v>
      </c>
      <c r="O50" s="78"/>
      <c r="P50" s="61" t="str">
        <f aca="false">IF(ISNUMBER(D50),IF(AND(ISNUMBER(M50),ISNUMBER(N50)),IF(M50=N50,IF(ABS(D50/M50-1)&lt;=L1_JudgeTol,"±"&amp;TEXT(L1_JudgeTol,"0%")&amp;" 內","差距 &gt;"&amp;TEXT(L1_JudgeTol,"0%")),IF(D50&lt;M50,"低於外部區間",IF(D50&gt;N50,"高於外部區間","落在外部區間"))),"無外部對照"),"推算值非數字（本情境）")</f>
        <v>無外部對照</v>
      </c>
      <c r="Q50" s="62" t="s">
        <v>4136</v>
      </c>
      <c r="R50" s="62" t="s">
        <v>4140</v>
      </c>
      <c r="S50" s="6" t="s">
        <v>809</v>
      </c>
      <c r="T50" s="60" t="s">
        <v>3850</v>
      </c>
      <c r="U50" s="93" t="s">
        <v>4060</v>
      </c>
    </row>
    <row r="51" customFormat="false" ht="44" hidden="false" customHeight="false" outlineLevel="0" collapsed="false">
      <c r="A51" s="62" t="s">
        <v>4141</v>
      </c>
      <c r="B51" s="5" t="s">
        <v>4142</v>
      </c>
      <c r="C51" s="5" t="s">
        <v>4070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127</v>
      </c>
      <c r="H51" s="5" t="s">
        <v>4071</v>
      </c>
      <c r="I51" s="6" t="s">
        <v>4143</v>
      </c>
      <c r="J51" s="6" t="s">
        <v>4073</v>
      </c>
      <c r="K51" s="6" t="s">
        <v>3979</v>
      </c>
      <c r="L51" s="62" t="s">
        <v>809</v>
      </c>
      <c r="M51" s="116" t="s">
        <v>809</v>
      </c>
      <c r="N51" s="116" t="s">
        <v>809</v>
      </c>
      <c r="O51" s="78"/>
      <c r="P51" s="61" t="str">
        <f aca="false">IF(ISNUMBER(D51),IF(AND(ISNUMBER(M51),ISNUMBER(N51)),IF(M51=N51,IF(ABS(D51/M51-1)&lt;=L1_JudgeTol,"±"&amp;TEXT(L1_JudgeTol,"0%")&amp;" 內","差距 &gt;"&amp;TEXT(L1_JudgeTol,"0%")),IF(D51&lt;M51,"低於外部區間",IF(D51&gt;N51,"高於外部區間","落在外部區間"))),"無外部對照"),"推算值非數字（本情境）")</f>
        <v>無外部對照</v>
      </c>
      <c r="Q51" s="62" t="s">
        <v>4141</v>
      </c>
      <c r="R51" s="62" t="s">
        <v>4074</v>
      </c>
      <c r="S51" s="6" t="s">
        <v>809</v>
      </c>
      <c r="T51" s="60" t="s">
        <v>3850</v>
      </c>
      <c r="U51" s="93" t="s">
        <v>4060</v>
      </c>
    </row>
    <row r="52" customFormat="false" ht="171.6" hidden="false" customHeight="false" outlineLevel="0" collapsed="false">
      <c r="A52" s="62" t="s">
        <v>4144</v>
      </c>
      <c r="B52" s="5" t="s">
        <v>4145</v>
      </c>
      <c r="C52" s="6" t="s">
        <v>4146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132</v>
      </c>
      <c r="H52" s="5" t="s">
        <v>3845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4147</v>
      </c>
      <c r="K52" s="5" t="s">
        <v>4148</v>
      </c>
      <c r="L52" s="62" t="s">
        <v>809</v>
      </c>
      <c r="M52" s="116" t="s">
        <v>809</v>
      </c>
      <c r="N52" s="116" t="s">
        <v>809</v>
      </c>
      <c r="O52" s="78"/>
      <c r="P52" s="61" t="str">
        <f aca="false">IF(ISNUMBER(D52),IF(AND(ISNUMBER(M52),ISNUMBER(N52)),IF(M52=N52,IF(ABS(D52/M52-1)&lt;=L1_JudgeTol,"±"&amp;TEXT(L1_JudgeTol,"0%")&amp;" 內","差距 &gt;"&amp;TEXT(L1_JudgeTol,"0%")),IF(D52&lt;M52,"低於外部區間",IF(D52&gt;N52,"高於外部區間","落在外部區間"))),"無外部對照"),"推算值非數字（本情境）")</f>
        <v>無外部對照</v>
      </c>
      <c r="Q52" s="62" t="s">
        <v>4144</v>
      </c>
      <c r="R52" s="62" t="s">
        <v>4149</v>
      </c>
      <c r="S52" s="6" t="s">
        <v>809</v>
      </c>
      <c r="T52" s="60" t="s">
        <v>3983</v>
      </c>
      <c r="U52" s="93" t="s">
        <v>4150</v>
      </c>
      <c r="V52" s="65" t="s">
        <v>4151</v>
      </c>
    </row>
    <row r="53" customFormat="false" ht="154.45" hidden="false" customHeight="false" outlineLevel="0" collapsed="false">
      <c r="A53" s="62" t="s">
        <v>4152</v>
      </c>
      <c r="B53" s="5" t="s">
        <v>4153</v>
      </c>
      <c r="C53" s="6" t="s">
        <v>4154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132</v>
      </c>
      <c r="H53" s="5" t="s">
        <v>4155</v>
      </c>
      <c r="I53" s="5" t="s">
        <v>4156</v>
      </c>
      <c r="J53" s="5" t="s">
        <v>4157</v>
      </c>
      <c r="K53" s="5" t="s">
        <v>4158</v>
      </c>
      <c r="L53" s="62" t="s">
        <v>809</v>
      </c>
      <c r="M53" s="116" t="s">
        <v>809</v>
      </c>
      <c r="N53" s="116" t="s">
        <v>809</v>
      </c>
      <c r="O53" s="78"/>
      <c r="P53" s="61" t="str">
        <f aca="false">IF(ISNUMBER(D53),IF(AND(ISNUMBER(M53),ISNUMBER(N53)),IF(M53=N53,IF(ABS(D53/M53-1)&lt;=L1_JudgeTol,"±"&amp;TEXT(L1_JudgeTol,"0%")&amp;" 內","差距 &gt;"&amp;TEXT(L1_JudgeTol,"0%")),IF(D53&lt;M53,"低於外部區間",IF(D53&gt;N53,"高於外部區間","落在外部區間"))),"無外部對照"),"推算值非數字（本情境）")</f>
        <v>無外部對照</v>
      </c>
      <c r="Q53" s="62" t="s">
        <v>4152</v>
      </c>
      <c r="R53" s="62" t="s">
        <v>4159</v>
      </c>
      <c r="S53" s="5" t="s">
        <v>4160</v>
      </c>
      <c r="T53" s="60" t="s">
        <v>3850</v>
      </c>
      <c r="U53" s="93" t="s">
        <v>4161</v>
      </c>
    </row>
    <row r="54" customFormat="false" ht="44" hidden="false" customHeight="false" outlineLevel="0" collapsed="false">
      <c r="A54" s="62" t="s">
        <v>4162</v>
      </c>
      <c r="B54" s="5" t="s">
        <v>4163</v>
      </c>
      <c r="C54" s="5" t="s">
        <v>4164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4165</v>
      </c>
      <c r="H54" s="5" t="s">
        <v>3845</v>
      </c>
      <c r="I54" s="5" t="s">
        <v>4166</v>
      </c>
      <c r="J54" s="6" t="s">
        <v>4167</v>
      </c>
      <c r="K54" s="5" t="s">
        <v>3885</v>
      </c>
      <c r="L54" s="62" t="s">
        <v>809</v>
      </c>
      <c r="M54" s="116" t="s">
        <v>809</v>
      </c>
      <c r="N54" s="116" t="s">
        <v>809</v>
      </c>
      <c r="O54" s="78"/>
      <c r="P54" s="61" t="str">
        <f aca="false">IF(ISNUMBER(D54),IF(AND(ISNUMBER(M54),ISNUMBER(N54)),IF(M54=N54,IF(ABS(D54/M54-1)&lt;=L1_JudgeTol,"±"&amp;TEXT(L1_JudgeTol,"0%")&amp;" 內","差距 &gt;"&amp;TEXT(L1_JudgeTol,"0%")),IF(D54&lt;M54,"低於外部區間",IF(D54&gt;N54,"高於外部區間","落在外部區間"))),"無外部對照"),"推算值非數字（本情境）")</f>
        <v>無外部對照</v>
      </c>
      <c r="Q54" s="62" t="s">
        <v>4162</v>
      </c>
      <c r="R54" s="62" t="s">
        <v>4168</v>
      </c>
      <c r="S54" s="6" t="s">
        <v>809</v>
      </c>
      <c r="T54" s="60" t="s">
        <v>4003</v>
      </c>
      <c r="U54" s="93" t="s">
        <v>4169</v>
      </c>
    </row>
    <row r="55" customFormat="false" ht="44" hidden="false" customHeight="false" outlineLevel="0" collapsed="false">
      <c r="A55" s="62" t="s">
        <v>4170</v>
      </c>
      <c r="B55" s="5" t="s">
        <v>4171</v>
      </c>
      <c r="C55" s="5" t="s">
        <v>4164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4165</v>
      </c>
      <c r="H55" s="5" t="s">
        <v>3845</v>
      </c>
      <c r="I55" s="5" t="s">
        <v>4166</v>
      </c>
      <c r="J55" s="6" t="s">
        <v>4167</v>
      </c>
      <c r="K55" s="5" t="s">
        <v>3885</v>
      </c>
      <c r="L55" s="62" t="s">
        <v>809</v>
      </c>
      <c r="M55" s="116" t="s">
        <v>809</v>
      </c>
      <c r="N55" s="116" t="s">
        <v>809</v>
      </c>
      <c r="O55" s="78"/>
      <c r="P55" s="61" t="str">
        <f aca="false">IF(ISNUMBER(D55),IF(AND(ISNUMBER(M55),ISNUMBER(N55)),IF(M55=N55,IF(ABS(D55/M55-1)&lt;=L1_JudgeTol,"±"&amp;TEXT(L1_JudgeTol,"0%")&amp;" 內","差距 &gt;"&amp;TEXT(L1_JudgeTol,"0%")),IF(D55&lt;M55,"低於外部區間",IF(D55&gt;N55,"高於外部區間","落在外部區間"))),"無外部對照"),"推算值非數字（本情境）")</f>
        <v>無外部對照</v>
      </c>
      <c r="Q55" s="62" t="s">
        <v>4170</v>
      </c>
      <c r="R55" s="62" t="s">
        <v>4168</v>
      </c>
      <c r="S55" s="6" t="s">
        <v>809</v>
      </c>
      <c r="T55" s="60" t="s">
        <v>4003</v>
      </c>
      <c r="U55" s="93" t="s">
        <v>4169</v>
      </c>
    </row>
    <row r="56" customFormat="false" ht="100.7" hidden="false" customHeight="false" outlineLevel="0" collapsed="false">
      <c r="A56" s="62" t="s">
        <v>4172</v>
      </c>
      <c r="B56" s="5" t="s">
        <v>4173</v>
      </c>
      <c r="C56" s="5" t="s">
        <v>4164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4165</v>
      </c>
      <c r="H56" s="5" t="s">
        <v>3845</v>
      </c>
      <c r="I56" s="5" t="s">
        <v>4174</v>
      </c>
      <c r="J56" s="6" t="s">
        <v>4167</v>
      </c>
      <c r="K56" s="5" t="s">
        <v>3885</v>
      </c>
      <c r="L56" s="62" t="s">
        <v>809</v>
      </c>
      <c r="M56" s="116" t="s">
        <v>809</v>
      </c>
      <c r="N56" s="116" t="s">
        <v>809</v>
      </c>
      <c r="O56" s="78"/>
      <c r="P56" s="61" t="str">
        <f aca="false">IF(ISNUMBER(D56),IF(AND(ISNUMBER(M56),ISNUMBER(N56)),IF(M56=N56,IF(ABS(D56/M56-1)&lt;=L1_JudgeTol,"±"&amp;TEXT(L1_JudgeTol,"0%")&amp;" 內","差距 &gt;"&amp;TEXT(L1_JudgeTol,"0%")),IF(D56&lt;M56,"低於外部區間",IF(D56&gt;N56,"高於外部區間","落在外部區間"))),"無外部對照"),"推算值非數字（本情境）")</f>
        <v>無外部對照</v>
      </c>
      <c r="Q56" s="62" t="s">
        <v>4172</v>
      </c>
      <c r="R56" s="62" t="s">
        <v>4168</v>
      </c>
      <c r="S56" s="5" t="s">
        <v>4175</v>
      </c>
      <c r="T56" s="60" t="s">
        <v>4003</v>
      </c>
      <c r="U56" s="93" t="s">
        <v>4169</v>
      </c>
    </row>
    <row r="57" customFormat="false" ht="44" hidden="false" customHeight="false" outlineLevel="0" collapsed="false">
      <c r="A57" s="62" t="s">
        <v>4176</v>
      </c>
      <c r="B57" s="5" t="s">
        <v>4177</v>
      </c>
      <c r="C57" s="5" t="s">
        <v>4164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4165</v>
      </c>
      <c r="H57" s="5" t="s">
        <v>3845</v>
      </c>
      <c r="I57" s="5" t="s">
        <v>4166</v>
      </c>
      <c r="J57" s="6" t="s">
        <v>4167</v>
      </c>
      <c r="K57" s="5" t="s">
        <v>3885</v>
      </c>
      <c r="L57" s="62" t="s">
        <v>809</v>
      </c>
      <c r="M57" s="116" t="s">
        <v>809</v>
      </c>
      <c r="N57" s="116" t="s">
        <v>809</v>
      </c>
      <c r="O57" s="78"/>
      <c r="P57" s="61" t="str">
        <f aca="false">IF(ISNUMBER(D57),IF(AND(ISNUMBER(M57),ISNUMBER(N57)),IF(M57=N57,IF(ABS(D57/M57-1)&lt;=L1_JudgeTol,"±"&amp;TEXT(L1_JudgeTol,"0%")&amp;" 內","差距 &gt;"&amp;TEXT(L1_JudgeTol,"0%")),IF(D57&lt;M57,"低於外部區間",IF(D57&gt;N57,"高於外部區間","落在外部區間"))),"無外部對照"),"推算值非數字（本情境）")</f>
        <v>無外部對照</v>
      </c>
      <c r="Q57" s="62" t="s">
        <v>4176</v>
      </c>
      <c r="R57" s="62" t="s">
        <v>4168</v>
      </c>
      <c r="S57" s="6" t="s">
        <v>809</v>
      </c>
      <c r="T57" s="60" t="s">
        <v>4003</v>
      </c>
      <c r="U57" s="93" t="s">
        <v>4169</v>
      </c>
    </row>
    <row r="58" customFormat="false" ht="69.4" hidden="false" customHeight="false" outlineLevel="0" collapsed="false">
      <c r="A58" s="62" t="s">
        <v>4178</v>
      </c>
      <c r="B58" s="5" t="s">
        <v>4179</v>
      </c>
      <c r="C58" s="5" t="s">
        <v>4180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2" t="s">
        <v>132</v>
      </c>
      <c r="H58" s="5" t="s">
        <v>4181</v>
      </c>
      <c r="I58" s="5" t="s">
        <v>4182</v>
      </c>
      <c r="J58" s="6" t="s">
        <v>4183</v>
      </c>
      <c r="K58" s="6" t="s">
        <v>4184</v>
      </c>
      <c r="L58" s="62" t="s">
        <v>809</v>
      </c>
      <c r="M58" s="116" t="s">
        <v>809</v>
      </c>
      <c r="N58" s="116" t="s">
        <v>809</v>
      </c>
      <c r="O58" s="78"/>
      <c r="P58" s="61" t="str">
        <f aca="false">IF(ISNUMBER(D58),IF(AND(ISNUMBER(M58),ISNUMBER(N58)),IF(M58=N58,IF(ABS(D58/M58-1)&lt;=L1_JudgeTol,"±"&amp;TEXT(L1_JudgeTol,"0%")&amp;" 內","差距 &gt;"&amp;TEXT(L1_JudgeTol,"0%")),IF(D58&lt;M58,"低於外部區間",IF(D58&gt;N58,"高於外部區間","落在外部區間"))),"無外部對照"),"推算值非數字（本情境）")</f>
        <v>無外部對照</v>
      </c>
      <c r="Q58" s="62" t="s">
        <v>4178</v>
      </c>
      <c r="R58" s="62" t="s">
        <v>4185</v>
      </c>
      <c r="S58" s="6" t="s">
        <v>4186</v>
      </c>
      <c r="T58" s="60" t="s">
        <v>3850</v>
      </c>
      <c r="U58" s="93" t="s">
        <v>4187</v>
      </c>
    </row>
    <row r="59" customFormat="false" ht="72.35" hidden="false" customHeight="false" outlineLevel="0" collapsed="false">
      <c r="A59" s="62" t="s">
        <v>4188</v>
      </c>
      <c r="B59" s="5" t="s">
        <v>4189</v>
      </c>
      <c r="C59" s="5" t="s">
        <v>4180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2" t="s">
        <v>132</v>
      </c>
      <c r="H59" s="5" t="s">
        <v>4181</v>
      </c>
      <c r="I59" s="5" t="s">
        <v>4182</v>
      </c>
      <c r="J59" s="6" t="s">
        <v>4183</v>
      </c>
      <c r="K59" s="6" t="s">
        <v>4184</v>
      </c>
      <c r="L59" s="62" t="s">
        <v>4190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8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IF(ISNUMBER(D59),IF(AND(ISNUMBER(M59),ISNUMBER(N59)),IF(M59=N59,IF(ABS(D59/M59-1)&lt;=L1_JudgeTol,"±"&amp;TEXT(L1_JudgeTol,"0%")&amp;" 內","差距 &gt;"&amp;TEXT(L1_JudgeTol,"0%")),IF(D59&lt;M59,"低於外部區間",IF(D59&gt;N59,"高於外部區間","落在外部區間"))),"無外部對照"),"推算值非數字（本情境）")</f>
        <v>差距 &gt;20%</v>
      </c>
      <c r="Q59" s="62" t="s">
        <v>4188</v>
      </c>
      <c r="R59" s="62" t="s">
        <v>4185</v>
      </c>
      <c r="S59" s="5" t="s">
        <v>4191</v>
      </c>
      <c r="T59" s="60" t="s">
        <v>3850</v>
      </c>
      <c r="U59" s="93" t="s">
        <v>4187</v>
      </c>
      <c r="V59" s="65" t="s">
        <v>4192</v>
      </c>
    </row>
    <row r="60" customFormat="false" ht="72.35" hidden="false" customHeight="false" outlineLevel="0" collapsed="false">
      <c r="A60" s="62" t="s">
        <v>4193</v>
      </c>
      <c r="B60" s="5" t="s">
        <v>4194</v>
      </c>
      <c r="C60" s="5" t="s">
        <v>4180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132</v>
      </c>
      <c r="H60" s="6" t="s">
        <v>4195</v>
      </c>
      <c r="I60" s="5" t="s">
        <v>4182</v>
      </c>
      <c r="J60" s="6" t="s">
        <v>4183</v>
      </c>
      <c r="K60" s="6" t="s">
        <v>4184</v>
      </c>
      <c r="L60" s="62" t="s">
        <v>4196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8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IF(ISNUMBER(D60),IF(AND(ISNUMBER(M60),ISNUMBER(N60)),IF(M60=N60,IF(ABS(D60/M60-1)&lt;=L1_JudgeTol,"±"&amp;TEXT(L1_JudgeTol,"0%")&amp;" 內","差距 &gt;"&amp;TEXT(L1_JudgeTol,"0%")),IF(D60&lt;M60,"低於外部區間",IF(D60&gt;N60,"高於外部區間","落在外部區間"))),"無外部對照"),"推算值非數字（本情境）")</f>
        <v>差距 &gt;20%</v>
      </c>
      <c r="Q60" s="62" t="s">
        <v>4193</v>
      </c>
      <c r="R60" s="62" t="s">
        <v>4185</v>
      </c>
      <c r="S60" s="5" t="s">
        <v>4191</v>
      </c>
      <c r="T60" s="60" t="s">
        <v>3850</v>
      </c>
      <c r="U60" s="93" t="s">
        <v>4187</v>
      </c>
      <c r="V60" s="65" t="s">
        <v>4197</v>
      </c>
    </row>
    <row r="61" customFormat="false" ht="44" hidden="false" customHeight="false" outlineLevel="0" collapsed="false">
      <c r="A61" s="62" t="s">
        <v>4198</v>
      </c>
      <c r="B61" s="6" t="s">
        <v>4199</v>
      </c>
      <c r="C61" s="6" t="s">
        <v>4200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132</v>
      </c>
      <c r="H61" s="5" t="s">
        <v>4201</v>
      </c>
      <c r="I61" s="6" t="s">
        <v>4202</v>
      </c>
      <c r="J61" s="6" t="s">
        <v>4203</v>
      </c>
      <c r="K61" s="6" t="s">
        <v>4087</v>
      </c>
      <c r="L61" s="62" t="s">
        <v>4204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8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IF(ISNUMBER(D61),IF(AND(ISNUMBER(M61),ISNUMBER(N61)),IF(M61=N61,IF(ABS(D61/M61-1)&lt;=L1_JudgeTol,"±"&amp;TEXT(L1_JudgeTol,"0%")&amp;" 內","差距 &gt;"&amp;TEXT(L1_JudgeTol,"0%")),IF(D61&lt;M61,"低於外部區間",IF(D61&gt;N61,"高於外部區間","落在外部區間"))),"無外部對照"),"推算值非數字（本情境）")</f>
        <v>差距 &gt;20%</v>
      </c>
      <c r="Q61" s="62" t="s">
        <v>4198</v>
      </c>
      <c r="R61" s="62" t="s">
        <v>4205</v>
      </c>
      <c r="S61" s="5" t="s">
        <v>4206</v>
      </c>
      <c r="T61" s="60" t="s">
        <v>3850</v>
      </c>
      <c r="U61" s="93" t="s">
        <v>4187</v>
      </c>
      <c r="V61" s="65" t="s">
        <v>4207</v>
      </c>
    </row>
    <row r="62" customFormat="false" ht="44" hidden="false" customHeight="false" outlineLevel="0" collapsed="false">
      <c r="A62" s="62" t="s">
        <v>4208</v>
      </c>
      <c r="B62" s="6" t="s">
        <v>4209</v>
      </c>
      <c r="C62" s="6" t="s">
        <v>4210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132</v>
      </c>
      <c r="H62" s="5" t="s">
        <v>4201</v>
      </c>
      <c r="I62" s="6" t="s">
        <v>4202</v>
      </c>
      <c r="J62" s="6" t="s">
        <v>4203</v>
      </c>
      <c r="K62" s="6" t="s">
        <v>4087</v>
      </c>
      <c r="L62" s="62" t="s">
        <v>4204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8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IF(ISNUMBER(D62),IF(AND(ISNUMBER(M62),ISNUMBER(N62)),IF(M62=N62,IF(ABS(D62/M62-1)&lt;=L1_JudgeTol,"±"&amp;TEXT(L1_JudgeTol,"0%")&amp;" 內","差距 &gt;"&amp;TEXT(L1_JudgeTol,"0%")),IF(D62&lt;M62,"低於外部區間",IF(D62&gt;N62,"高於外部區間","落在外部區間"))),"無外部對照"),"推算值非數字（本情境）")</f>
        <v>差距 &gt;20%</v>
      </c>
      <c r="Q62" s="62" t="s">
        <v>4208</v>
      </c>
      <c r="R62" s="62" t="s">
        <v>4205</v>
      </c>
      <c r="S62" s="5" t="s">
        <v>4206</v>
      </c>
      <c r="T62" s="60" t="s">
        <v>3850</v>
      </c>
      <c r="U62" s="93" t="s">
        <v>4187</v>
      </c>
      <c r="V62" s="65" t="s">
        <v>4211</v>
      </c>
    </row>
    <row r="63" customFormat="false" ht="44" hidden="false" customHeight="false" outlineLevel="0" collapsed="false">
      <c r="A63" s="62" t="s">
        <v>4212</v>
      </c>
      <c r="B63" s="6" t="s">
        <v>4213</v>
      </c>
      <c r="C63" s="6" t="s">
        <v>4214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132</v>
      </c>
      <c r="H63" s="5" t="s">
        <v>4201</v>
      </c>
      <c r="I63" s="6" t="s">
        <v>4202</v>
      </c>
      <c r="J63" s="6" t="s">
        <v>4203</v>
      </c>
      <c r="K63" s="6" t="s">
        <v>4087</v>
      </c>
      <c r="L63" s="62" t="s">
        <v>4204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8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IF(ISNUMBER(D63),IF(AND(ISNUMBER(M63),ISNUMBER(N63)),IF(M63=N63,IF(ABS(D63/M63-1)&lt;=L1_JudgeTol,"±"&amp;TEXT(L1_JudgeTol,"0%")&amp;" 內","差距 &gt;"&amp;TEXT(L1_JudgeTol,"0%")),IF(D63&lt;M63,"低於外部區間",IF(D63&gt;N63,"高於外部區間","落在外部區間"))),"無外部對照"),"推算值非數字（本情境）")</f>
        <v>差距 &gt;20%</v>
      </c>
      <c r="Q63" s="62" t="s">
        <v>4212</v>
      </c>
      <c r="R63" s="62" t="s">
        <v>4205</v>
      </c>
      <c r="S63" s="5" t="s">
        <v>4206</v>
      </c>
      <c r="T63" s="60" t="s">
        <v>3850</v>
      </c>
      <c r="U63" s="93" t="s">
        <v>4187</v>
      </c>
      <c r="V63" s="65" t="s">
        <v>4215</v>
      </c>
    </row>
    <row r="64" customFormat="false" ht="44" hidden="false" customHeight="false" outlineLevel="0" collapsed="false">
      <c r="A64" s="62" t="s">
        <v>4216</v>
      </c>
      <c r="B64" s="6" t="s">
        <v>4217</v>
      </c>
      <c r="C64" s="6" t="s">
        <v>4218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132</v>
      </c>
      <c r="H64" s="5" t="s">
        <v>4201</v>
      </c>
      <c r="I64" s="6" t="s">
        <v>4202</v>
      </c>
      <c r="J64" s="6" t="s">
        <v>4203</v>
      </c>
      <c r="K64" s="6" t="s">
        <v>4087</v>
      </c>
      <c r="L64" s="62" t="s">
        <v>4204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8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IF(ISNUMBER(D64),IF(AND(ISNUMBER(M64),ISNUMBER(N64)),IF(M64=N64,IF(ABS(D64/M64-1)&lt;=L1_JudgeTol,"±"&amp;TEXT(L1_JudgeTol,"0%")&amp;" 內","差距 &gt;"&amp;TEXT(L1_JudgeTol,"0%")),IF(D64&lt;M64,"低於外部區間",IF(D64&gt;N64,"高於外部區間","落在外部區間"))),"無外部對照"),"推算值非數字（本情境）")</f>
        <v>±20% 內</v>
      </c>
      <c r="Q64" s="62" t="s">
        <v>4216</v>
      </c>
      <c r="R64" s="62" t="s">
        <v>4205</v>
      </c>
      <c r="S64" s="5" t="s">
        <v>4206</v>
      </c>
      <c r="T64" s="60" t="s">
        <v>3850</v>
      </c>
      <c r="U64" s="93" t="s">
        <v>4187</v>
      </c>
      <c r="V64" s="65" t="s">
        <v>4219</v>
      </c>
    </row>
    <row r="65" customFormat="false" ht="44" hidden="false" customHeight="false" outlineLevel="0" collapsed="false">
      <c r="A65" s="62" t="s">
        <v>4220</v>
      </c>
      <c r="B65" s="6" t="s">
        <v>4221</v>
      </c>
      <c r="C65" s="6" t="s">
        <v>4222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132</v>
      </c>
      <c r="H65" s="6" t="s">
        <v>4223</v>
      </c>
      <c r="I65" s="6" t="s">
        <v>4202</v>
      </c>
      <c r="J65" s="6" t="s">
        <v>4203</v>
      </c>
      <c r="K65" s="6" t="s">
        <v>4087</v>
      </c>
      <c r="L65" s="62" t="s">
        <v>4204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8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IF(ISNUMBER(D65),IF(AND(ISNUMBER(M65),ISNUMBER(N65)),IF(M65=N65,IF(ABS(D65/M65-1)&lt;=L1_JudgeTol,"±"&amp;TEXT(L1_JudgeTol,"0%")&amp;" 內","差距 &gt;"&amp;TEXT(L1_JudgeTol,"0%")),IF(D65&lt;M65,"低於外部區間",IF(D65&gt;N65,"高於外部區間","落在外部區間"))),"無外部對照"),"推算值非數字（本情境）")</f>
        <v>±20% 內</v>
      </c>
      <c r="Q65" s="62" t="s">
        <v>4220</v>
      </c>
      <c r="R65" s="62" t="s">
        <v>4205</v>
      </c>
      <c r="S65" s="5" t="s">
        <v>4206</v>
      </c>
      <c r="T65" s="60" t="s">
        <v>3850</v>
      </c>
      <c r="U65" s="93" t="s">
        <v>4187</v>
      </c>
      <c r="V65" s="65" t="s">
        <v>4224</v>
      </c>
    </row>
    <row r="66" customFormat="false" ht="83.55" hidden="false" customHeight="false" outlineLevel="0" collapsed="false">
      <c r="A66" s="62" t="s">
        <v>4225</v>
      </c>
      <c r="B66" s="6" t="s">
        <v>4226</v>
      </c>
      <c r="C66" s="6" t="s">
        <v>4227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355</v>
      </c>
      <c r="H66" s="6" t="s">
        <v>4228</v>
      </c>
      <c r="I66" s="5" t="s">
        <v>4229</v>
      </c>
      <c r="J66" s="6" t="s">
        <v>4230</v>
      </c>
      <c r="K66" s="6" t="s">
        <v>4231</v>
      </c>
      <c r="L66" s="62" t="s">
        <v>4024</v>
      </c>
      <c r="M66" s="94" t="n">
        <f aca="false">SRC_MOD_055</f>
        <v>1.0001E+027</v>
      </c>
      <c r="N66" s="94" t="n">
        <f aca="false">SRC_MOD_055</f>
        <v>1.0001E+027</v>
      </c>
      <c r="O66" s="78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IF(ISNUMBER(D66),IF(AND(ISNUMBER(M66),ISNUMBER(N66)),IF(M66=N66,IF(ABS(D66/M66-1)&lt;=L1_JudgeTol,"±"&amp;TEXT(L1_JudgeTol,"0%")&amp;" 內","差距 &gt;"&amp;TEXT(L1_JudgeTol,"0%")),IF(D66&lt;M66,"低於外部區間",IF(D66&gt;N66,"高於外部區間","落在外部區間"))),"無外部對照"),"推算值非數字（本情境）")</f>
        <v>±20% 內</v>
      </c>
      <c r="Q66" s="62" t="s">
        <v>4225</v>
      </c>
      <c r="R66" s="62" t="s">
        <v>4232</v>
      </c>
      <c r="S66" s="6" t="s">
        <v>809</v>
      </c>
      <c r="T66" s="60" t="s">
        <v>3850</v>
      </c>
      <c r="U66" s="93" t="s">
        <v>4233</v>
      </c>
      <c r="V66" s="65" t="s">
        <v>4234</v>
      </c>
    </row>
    <row r="67" customFormat="false" ht="44" hidden="false" customHeight="false" outlineLevel="0" collapsed="false">
      <c r="A67" s="62" t="s">
        <v>4235</v>
      </c>
      <c r="B67" s="6" t="s">
        <v>4236</v>
      </c>
      <c r="C67" s="6" t="s">
        <v>4237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132</v>
      </c>
      <c r="H67" s="5" t="s">
        <v>4238</v>
      </c>
      <c r="I67" s="5" t="s">
        <v>4239</v>
      </c>
      <c r="J67" s="6" t="s">
        <v>4022</v>
      </c>
      <c r="K67" s="6" t="s">
        <v>4023</v>
      </c>
      <c r="L67" s="62" t="s">
        <v>809</v>
      </c>
      <c r="M67" s="116" t="s">
        <v>809</v>
      </c>
      <c r="N67" s="116" t="s">
        <v>809</v>
      </c>
      <c r="O67" s="78"/>
      <c r="P67" s="61" t="str">
        <f aca="false">IF(ISNUMBER(D67),IF(AND(ISNUMBER(M67),ISNUMBER(N67)),IF(M67=N67,IF(ABS(D67/M67-1)&lt;=L1_JudgeTol,"±"&amp;TEXT(L1_JudgeTol,"0%")&amp;" 內","差距 &gt;"&amp;TEXT(L1_JudgeTol,"0%")),IF(D67&lt;M67,"低於外部區間",IF(D67&gt;N67,"高於外部區間","落在外部區間"))),"無外部對照"),"推算值非數字（本情境）")</f>
        <v>無外部對照</v>
      </c>
      <c r="Q67" s="62" t="s">
        <v>4235</v>
      </c>
      <c r="R67" s="62" t="s">
        <v>4240</v>
      </c>
      <c r="S67" s="6" t="s">
        <v>809</v>
      </c>
      <c r="T67" s="60" t="s">
        <v>4241</v>
      </c>
      <c r="U67" s="93" t="s">
        <v>4242</v>
      </c>
    </row>
    <row r="68" customFormat="false" ht="44" hidden="false" customHeight="false" outlineLevel="0" collapsed="false">
      <c r="A68" s="62" t="s">
        <v>3090</v>
      </c>
      <c r="B68" s="5" t="s">
        <v>4243</v>
      </c>
      <c r="C68" s="6" t="s">
        <v>4244</v>
      </c>
      <c r="D68" s="125" t="n">
        <f aca="false">IF(ISNUMBER(L1_Ans3),SRC_DEM_006/L1_Ans3,"—")</f>
        <v>6.29412548326343</v>
      </c>
      <c r="E68" s="116" t="n">
        <f aca="false">IF(ISNUMBER(L1_Ans3_Hi),SRC_DEM_006/L1_Ans3_Hi,"—")</f>
        <v>0.899160783323347</v>
      </c>
      <c r="F68" s="116" t="n">
        <f aca="false">IF(ISNUMBER(L1_Ans3_Lo),SRC_DEM_006/L1_Ans3_Lo,"—")</f>
        <v>12.5882509665269</v>
      </c>
      <c r="G68" s="62" t="s">
        <v>132</v>
      </c>
      <c r="H68" s="5" t="s">
        <v>4245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6.3（低 0.90、高 12.6）：兩端同幅度偏小的證據（X13 (c)）；校準用，不得當產能</v>
      </c>
      <c r="J68" s="6" t="s">
        <v>4048</v>
      </c>
      <c r="K68" s="5" t="s">
        <v>4049</v>
      </c>
      <c r="L68" s="62" t="s">
        <v>4246</v>
      </c>
      <c r="M68" s="116" t="s">
        <v>809</v>
      </c>
      <c r="N68" s="116" t="s">
        <v>809</v>
      </c>
      <c r="O68" s="78"/>
      <c r="P68" s="61" t="str">
        <f aca="false">IF(ISNUMBER(D68),IF(AND(ISNUMBER(M68),ISNUMBER(N68)),IF(M68=N68,IF(ABS(D68/M68-1)&lt;=L1_JudgeTol,"±"&amp;TEXT(L1_JudgeTol,"0%")&amp;" 內","差距 &gt;"&amp;TEXT(L1_JudgeTol,"0%")),IF(D68&lt;M68,"低於外部區間",IF(D68&gt;N68,"高於外部區間","落在外部區間"))),"無外部對照"),"推算值非數字（本情境）")</f>
        <v>無外部對照</v>
      </c>
      <c r="Q68" s="62" t="s">
        <v>3090</v>
      </c>
      <c r="R68" s="62" t="s">
        <v>4247</v>
      </c>
      <c r="S68" s="5" t="s">
        <v>4248</v>
      </c>
      <c r="T68" s="60" t="s">
        <v>4241</v>
      </c>
      <c r="U68" s="88" t="s">
        <v>4249</v>
      </c>
      <c r="V68" s="65" t="s">
        <v>4250</v>
      </c>
    </row>
    <row r="69" customFormat="false" ht="72.35" hidden="false" customHeight="false" outlineLevel="0" collapsed="false">
      <c r="A69" s="62" t="s">
        <v>4251</v>
      </c>
      <c r="B69" s="5" t="s">
        <v>4252</v>
      </c>
      <c r="C69" s="6" t="s">
        <v>4253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2" t="s">
        <v>132</v>
      </c>
      <c r="H69" s="5" t="s">
        <v>4254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4255</v>
      </c>
      <c r="K69" s="5" t="s">
        <v>4256</v>
      </c>
      <c r="L69" s="62" t="s">
        <v>4257</v>
      </c>
      <c r="M69" s="116" t="s">
        <v>809</v>
      </c>
      <c r="N69" s="116" t="s">
        <v>809</v>
      </c>
      <c r="O69" s="78"/>
      <c r="P69" s="61" t="str">
        <f aca="false">IF(ISNUMBER(D69),IF(AND(ISNUMBER(M69),ISNUMBER(N69)),IF(M69=N69,IF(ABS(D69/M69-1)&lt;=L1_JudgeTol,"±"&amp;TEXT(L1_JudgeTol,"0%")&amp;" 內","差距 &gt;"&amp;TEXT(L1_JudgeTol,"0%")),IF(D69&lt;M69,"低於外部區間",IF(D69&gt;N69,"高於外部區間","落在外部區間"))),"無外部對照"),"推算值非數字（本情境）")</f>
        <v>無外部對照</v>
      </c>
      <c r="Q69" s="62" t="s">
        <v>4251</v>
      </c>
      <c r="R69" s="62" t="s">
        <v>4258</v>
      </c>
      <c r="S69" s="5" t="s">
        <v>4248</v>
      </c>
      <c r="T69" s="60" t="s">
        <v>4241</v>
      </c>
      <c r="U69" s="93" t="s">
        <v>4259</v>
      </c>
      <c r="V69" s="65" t="s">
        <v>4260</v>
      </c>
    </row>
    <row r="70" customFormat="false" ht="299.25" hidden="false" customHeight="false" outlineLevel="0" collapsed="false">
      <c r="A70" s="62" t="s">
        <v>4261</v>
      </c>
      <c r="B70" s="5" t="s">
        <v>4262</v>
      </c>
      <c r="C70" s="6" t="s">
        <v>4263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2" t="s">
        <v>132</v>
      </c>
      <c r="H70" s="5" t="s">
        <v>4264</v>
      </c>
      <c r="I70" s="5" t="s">
        <v>4265</v>
      </c>
      <c r="J70" s="5" t="s">
        <v>2702</v>
      </c>
      <c r="K70" s="5" t="s">
        <v>4266</v>
      </c>
      <c r="L70" s="62" t="s">
        <v>4267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8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IF(ISNUMBER(D70),IF(AND(ISNUMBER(M70),ISNUMBER(N70)),IF(M70=N70,IF(ABS(D70/M70-1)&lt;=L1_JudgeTol,"±"&amp;TEXT(L1_JudgeTol,"0%")&amp;" 內","差距 &gt;"&amp;TEXT(L1_JudgeTol,"0%")),IF(D70&lt;M70,"低於外部區間",IF(D70&gt;N70,"高於外部區間","落在外部區間"))),"無外部對照"),"推算值非數字（本情境）")</f>
        <v>差距 &gt;20%</v>
      </c>
      <c r="Q70" s="62" t="s">
        <v>4261</v>
      </c>
      <c r="R70" s="62" t="s">
        <v>4268</v>
      </c>
      <c r="S70" s="6" t="s">
        <v>809</v>
      </c>
      <c r="T70" s="60" t="s">
        <v>3850</v>
      </c>
      <c r="U70" s="93" t="s">
        <v>4269</v>
      </c>
      <c r="V70" s="65" t="s">
        <v>4270</v>
      </c>
    </row>
    <row r="71" customFormat="false" ht="157.45" hidden="false" customHeight="false" outlineLevel="0" collapsed="false">
      <c r="A71" s="62" t="s">
        <v>4271</v>
      </c>
      <c r="B71" s="5" t="s">
        <v>4272</v>
      </c>
      <c r="C71" s="6" t="s">
        <v>4273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132</v>
      </c>
      <c r="H71" s="6" t="s">
        <v>4274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4275</v>
      </c>
      <c r="K71" s="5" t="s">
        <v>4276</v>
      </c>
      <c r="L71" s="62" t="s">
        <v>809</v>
      </c>
      <c r="M71" s="116" t="s">
        <v>809</v>
      </c>
      <c r="N71" s="116" t="s">
        <v>809</v>
      </c>
      <c r="O71" s="78"/>
      <c r="P71" s="61" t="str">
        <f aca="false">IF(ISNUMBER(D71),IF(AND(ISNUMBER(M71),ISNUMBER(N71)),IF(M71=N71,IF(ABS(D71/M71-1)&lt;=L1_JudgeTol,"±"&amp;TEXT(L1_JudgeTol,"0%")&amp;" 內","差距 &gt;"&amp;TEXT(L1_JudgeTol,"0%")),IF(D71&lt;M71,"低於外部區間",IF(D71&gt;N71,"高於外部區間","落在外部區間"))),"無外部對照"),"推算值非數字（本情境）")</f>
        <v>無外部對照</v>
      </c>
      <c r="Q71" s="62" t="s">
        <v>4271</v>
      </c>
      <c r="R71" s="62" t="s">
        <v>4277</v>
      </c>
      <c r="S71" s="5" t="s">
        <v>4278</v>
      </c>
      <c r="T71" s="60" t="s">
        <v>3850</v>
      </c>
      <c r="U71" s="93" t="s">
        <v>4269</v>
      </c>
      <c r="V71" s="65" t="s">
        <v>4279</v>
      </c>
    </row>
    <row r="72" customFormat="false" ht="100.7" hidden="false" customHeight="false" outlineLevel="0" collapsed="false">
      <c r="A72" s="62" t="s">
        <v>4280</v>
      </c>
      <c r="B72" s="5" t="s">
        <v>4281</v>
      </c>
      <c r="C72" s="6" t="s">
        <v>4282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132</v>
      </c>
      <c r="H72" s="5" t="s">
        <v>4283</v>
      </c>
      <c r="I72" s="5" t="s">
        <v>4284</v>
      </c>
      <c r="J72" s="5" t="s">
        <v>4285</v>
      </c>
      <c r="K72" s="6" t="s">
        <v>4286</v>
      </c>
      <c r="L72" s="62" t="s">
        <v>809</v>
      </c>
      <c r="M72" s="116" t="s">
        <v>809</v>
      </c>
      <c r="N72" s="116" t="s">
        <v>809</v>
      </c>
      <c r="O72" s="78"/>
      <c r="P72" s="61" t="str">
        <f aca="false">IF(ISNUMBER(D72),IF(AND(ISNUMBER(M72),ISNUMBER(N72)),IF(M72=N72,IF(ABS(D72/M72-1)&lt;=L1_JudgeTol,"±"&amp;TEXT(L1_JudgeTol,"0%")&amp;" 內","差距 &gt;"&amp;TEXT(L1_JudgeTol,"0%")),IF(D72&lt;M72,"低於外部區間",IF(D72&gt;N72,"高於外部區間","落在外部區間"))),"無外部對照"),"推算值非數字（本情境）")</f>
        <v>無外部對照</v>
      </c>
      <c r="Q72" s="62" t="s">
        <v>4280</v>
      </c>
      <c r="R72" s="62" t="s">
        <v>4287</v>
      </c>
      <c r="S72" s="6" t="s">
        <v>809</v>
      </c>
      <c r="T72" s="60" t="s">
        <v>3850</v>
      </c>
      <c r="U72" s="93" t="s">
        <v>4269</v>
      </c>
    </row>
    <row r="73" customFormat="false" ht="86.55" hidden="false" customHeight="false" outlineLevel="0" collapsed="false">
      <c r="A73" s="62" t="s">
        <v>4288</v>
      </c>
      <c r="B73" s="5" t="s">
        <v>4289</v>
      </c>
      <c r="C73" s="6" t="s">
        <v>4290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132</v>
      </c>
      <c r="H73" s="5" t="s">
        <v>4291</v>
      </c>
      <c r="I73" s="5" t="s">
        <v>4292</v>
      </c>
      <c r="J73" s="5" t="s">
        <v>4293</v>
      </c>
      <c r="K73" s="6" t="s">
        <v>4294</v>
      </c>
      <c r="L73" s="62" t="s">
        <v>4295</v>
      </c>
      <c r="M73" s="116" t="s">
        <v>809</v>
      </c>
      <c r="N73" s="116" t="s">
        <v>809</v>
      </c>
      <c r="O73" s="78"/>
      <c r="P73" s="61" t="str">
        <f aca="false">IF(ISNUMBER(D73),IF(AND(ISNUMBER(M73),ISNUMBER(N73)),IF(M73=N73,IF(ABS(D73/M73-1)&lt;=L1_JudgeTol,"±"&amp;TEXT(L1_JudgeTol,"0%")&amp;" 內","差距 &gt;"&amp;TEXT(L1_JudgeTol,"0%")),IF(D73&lt;M73,"低於外部區間",IF(D73&gt;N73,"高於外部區間","落在外部區間"))),"無外部對照"),"推算值非數字（本情境）")</f>
        <v>無外部對照</v>
      </c>
      <c r="Q73" s="62" t="s">
        <v>4288</v>
      </c>
      <c r="R73" s="62" t="s">
        <v>4296</v>
      </c>
      <c r="S73" s="6" t="s">
        <v>809</v>
      </c>
      <c r="T73" s="60" t="s">
        <v>3850</v>
      </c>
      <c r="U73" s="93" t="s">
        <v>4269</v>
      </c>
    </row>
    <row r="74" customFormat="false" ht="100.7" hidden="false" customHeight="false" outlineLevel="0" collapsed="false">
      <c r="A74" s="62" t="s">
        <v>4297</v>
      </c>
      <c r="B74" s="5" t="s">
        <v>4298</v>
      </c>
      <c r="C74" s="6" t="s">
        <v>4299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2" t="s">
        <v>132</v>
      </c>
      <c r="H74" s="5" t="s">
        <v>4300</v>
      </c>
      <c r="I74" s="5" t="s">
        <v>4301</v>
      </c>
      <c r="J74" s="5" t="s">
        <v>4302</v>
      </c>
      <c r="K74" s="5" t="s">
        <v>4303</v>
      </c>
      <c r="L74" s="62" t="s">
        <v>4304</v>
      </c>
      <c r="M74" s="94" t="n">
        <f aca="false">L1_ScaleServe2000</f>
        <v>9.53338312707887</v>
      </c>
      <c r="N74" s="94" t="n">
        <f aca="false">L1_ScaleServe2000</f>
        <v>9.53338312707887</v>
      </c>
      <c r="O74" s="78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IF(ISNUMBER(D74),IF(AND(ISNUMBER(M74),ISNUMBER(N74)),IF(M74=N74,IF(ABS(D74/M74-1)&lt;=L1_JudgeTol,"±"&amp;TEXT(L1_JudgeTol,"0%")&amp;" 內","差距 &gt;"&amp;TEXT(L1_JudgeTol,"0%")),IF(D74&lt;M74,"低於外部區間",IF(D74&gt;N74,"高於外部區間","落在外部區間"))),"無外部對照"),"推算值非數字（本情境）")</f>
        <v>差距 &gt;20%</v>
      </c>
      <c r="Q74" s="62" t="s">
        <v>4297</v>
      </c>
      <c r="R74" s="62" t="s">
        <v>4240</v>
      </c>
      <c r="S74" s="6" t="s">
        <v>809</v>
      </c>
      <c r="T74" s="60" t="s">
        <v>3850</v>
      </c>
      <c r="U74" s="93" t="s">
        <v>4269</v>
      </c>
      <c r="V74" s="65" t="s">
        <v>4305</v>
      </c>
    </row>
    <row r="75" customFormat="false" ht="58.2" hidden="false" customHeight="false" outlineLevel="0" collapsed="false">
      <c r="A75" s="62" t="s">
        <v>4306</v>
      </c>
      <c r="B75" s="5" t="s">
        <v>4307</v>
      </c>
      <c r="C75" s="5" t="s">
        <v>4308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4309</v>
      </c>
      <c r="H75" s="5" t="s">
        <v>3845</v>
      </c>
      <c r="I75" s="6" t="s">
        <v>4310</v>
      </c>
      <c r="J75" s="5" t="s">
        <v>4311</v>
      </c>
      <c r="K75" s="5" t="s">
        <v>4312</v>
      </c>
      <c r="L75" s="62" t="s">
        <v>4313</v>
      </c>
      <c r="M75" s="94" t="n">
        <f aca="false">SRC_DC_014</f>
        <v>29</v>
      </c>
      <c r="N75" s="94" t="n">
        <f aca="false">SRC_DC_014</f>
        <v>29</v>
      </c>
      <c r="O75" s="78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IF(ISNUMBER(D75),IF(AND(ISNUMBER(M75),ISNUMBER(N75)),IF(M75=N75,IF(ABS(D75/M75-1)&lt;=L1_JudgeTol,"±"&amp;TEXT(L1_JudgeTol,"0%")&amp;" 內","差距 &gt;"&amp;TEXT(L1_JudgeTol,"0%")),IF(D75&lt;M75,"低於外部區間",IF(D75&gt;N75,"高於外部區間","落在外部區間"))),"無外部對照"),"推算值非數字（本情境）")</f>
        <v>±20% 內</v>
      </c>
      <c r="Q75" s="62" t="s">
        <v>4306</v>
      </c>
      <c r="R75" s="62" t="s">
        <v>4314</v>
      </c>
      <c r="S75" s="6" t="s">
        <v>4315</v>
      </c>
      <c r="T75" s="60" t="s">
        <v>3850</v>
      </c>
      <c r="U75" s="93" t="s">
        <v>3851</v>
      </c>
      <c r="V75" s="65" t="s">
        <v>4316</v>
      </c>
    </row>
    <row r="76" customFormat="false" ht="143.25" hidden="false" customHeight="false" outlineLevel="0" collapsed="false">
      <c r="A76" s="62" t="s">
        <v>4317</v>
      </c>
      <c r="B76" s="5" t="s">
        <v>4318</v>
      </c>
      <c r="C76" s="6" t="s">
        <v>4319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132</v>
      </c>
      <c r="H76" s="5" t="s">
        <v>4320</v>
      </c>
      <c r="I76" s="6" t="s">
        <v>4321</v>
      </c>
      <c r="J76" s="5" t="s">
        <v>4322</v>
      </c>
      <c r="K76" s="5" t="s">
        <v>4323</v>
      </c>
      <c r="L76" s="62" t="s">
        <v>4324</v>
      </c>
      <c r="M76" s="94" t="n">
        <f aca="false">CTL_Monetize</f>
        <v>1</v>
      </c>
      <c r="N76" s="94" t="n">
        <f aca="false">CTL_Monetize</f>
        <v>1</v>
      </c>
      <c r="O76" s="78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4317</v>
      </c>
      <c r="R76" s="62" t="s">
        <v>4325</v>
      </c>
      <c r="S76" s="5" t="s">
        <v>4326</v>
      </c>
      <c r="T76" s="60" t="s">
        <v>4327</v>
      </c>
      <c r="U76" s="88" t="s">
        <v>4328</v>
      </c>
      <c r="V76" s="65" t="s">
        <v>4329</v>
      </c>
    </row>
    <row r="77" customFormat="false" ht="157.45" hidden="false" customHeight="false" outlineLevel="0" collapsed="false">
      <c r="A77" s="62" t="s">
        <v>4330</v>
      </c>
      <c r="B77" s="5" t="s">
        <v>4331</v>
      </c>
      <c r="C77" s="6" t="s">
        <v>4332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132</v>
      </c>
      <c r="H77" s="6" t="s">
        <v>4333</v>
      </c>
      <c r="I77" s="5" t="s">
        <v>4334</v>
      </c>
      <c r="J77" s="6" t="s">
        <v>4335</v>
      </c>
      <c r="K77" s="6" t="s">
        <v>4336</v>
      </c>
      <c r="L77" s="62" t="s">
        <v>4324</v>
      </c>
      <c r="M77" s="94" t="n">
        <f aca="false">CTL_Monetize</f>
        <v>1</v>
      </c>
      <c r="N77" s="94" t="n">
        <f aca="false">CTL_Monetize</f>
        <v>1</v>
      </c>
      <c r="O77" s="78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4330</v>
      </c>
      <c r="R77" s="62" t="s">
        <v>4337</v>
      </c>
      <c r="S77" s="6" t="s">
        <v>4338</v>
      </c>
      <c r="T77" s="60" t="s">
        <v>4327</v>
      </c>
      <c r="U77" s="88" t="s">
        <v>4328</v>
      </c>
      <c r="V77" s="65" t="s">
        <v>4339</v>
      </c>
    </row>
    <row r="78" customFormat="false" ht="214.15" hidden="false" customHeight="false" outlineLevel="0" collapsed="false">
      <c r="A78" s="62" t="s">
        <v>4340</v>
      </c>
      <c r="B78" s="5" t="s">
        <v>4341</v>
      </c>
      <c r="C78" s="6" t="s">
        <v>4342</v>
      </c>
      <c r="D78" s="124" t="n">
        <f aca="false">Cap_In!$C$119</f>
        <v>0.407295434678084</v>
      </c>
      <c r="E78" s="94" t="n">
        <f aca="false">Cap_In!$D$119</f>
        <v>0.215398033949784</v>
      </c>
      <c r="F78" s="94" t="n">
        <f aca="false">Cap_In!$E$119</f>
        <v>1.17876090506834</v>
      </c>
      <c r="G78" s="62" t="s">
        <v>132</v>
      </c>
      <c r="H78" s="5" t="s">
        <v>4343</v>
      </c>
      <c r="I78" s="5" t="s">
        <v>4344</v>
      </c>
      <c r="J78" s="5" t="s">
        <v>4345</v>
      </c>
      <c r="K78" s="6" t="s">
        <v>4346</v>
      </c>
      <c r="L78" s="62" t="s">
        <v>4324</v>
      </c>
      <c r="M78" s="94" t="n">
        <f aca="false">CTL_Monetize</f>
        <v>1</v>
      </c>
      <c r="N78" s="94" t="n">
        <f aca="false">CTL_Monetize</f>
        <v>1</v>
      </c>
      <c r="O78" s="78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4340</v>
      </c>
      <c r="R78" s="62" t="s">
        <v>4347</v>
      </c>
      <c r="S78" s="5" t="s">
        <v>4348</v>
      </c>
      <c r="T78" s="60" t="s">
        <v>4327</v>
      </c>
      <c r="U78" s="88" t="s">
        <v>4328</v>
      </c>
      <c r="V78" s="65" t="s">
        <v>4349</v>
      </c>
    </row>
    <row r="79" customFormat="false" ht="143.25" hidden="false" customHeight="false" outlineLevel="0" collapsed="false">
      <c r="A79" s="62" t="s">
        <v>4350</v>
      </c>
      <c r="B79" s="5" t="s">
        <v>4351</v>
      </c>
      <c r="C79" s="6" t="s">
        <v>4352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2" t="s">
        <v>993</v>
      </c>
      <c r="H79" s="5" t="s">
        <v>4353</v>
      </c>
      <c r="I79" s="5" t="s">
        <v>4354</v>
      </c>
      <c r="J79" s="5" t="s">
        <v>4355</v>
      </c>
      <c r="K79" s="6" t="s">
        <v>4356</v>
      </c>
      <c r="L79" s="62" t="s">
        <v>4357</v>
      </c>
      <c r="M79" s="94" t="n">
        <f aca="false">AL_DPaid</f>
        <v>3825200000</v>
      </c>
      <c r="N79" s="94" t="n">
        <f aca="false">AL_DPaid</f>
        <v>3825200000</v>
      </c>
      <c r="O79" s="78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4350</v>
      </c>
      <c r="R79" s="62" t="s">
        <v>4358</v>
      </c>
      <c r="S79" s="5" t="s">
        <v>4359</v>
      </c>
      <c r="T79" s="60" t="s">
        <v>3850</v>
      </c>
      <c r="U79" s="93" t="s">
        <v>4360</v>
      </c>
      <c r="V79" s="65" t="s">
        <v>4361</v>
      </c>
    </row>
    <row r="80" customFormat="false" ht="143.25" hidden="false" customHeight="false" outlineLevel="0" collapsed="false">
      <c r="A80" s="62" t="s">
        <v>4362</v>
      </c>
      <c r="B80" s="5" t="s">
        <v>4363</v>
      </c>
      <c r="C80" s="6" t="s">
        <v>4364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132</v>
      </c>
      <c r="H80" s="5" t="s">
        <v>4365</v>
      </c>
      <c r="I80" s="6" t="s">
        <v>4366</v>
      </c>
      <c r="J80" s="5" t="s">
        <v>4367</v>
      </c>
      <c r="K80" s="5" t="s">
        <v>4368</v>
      </c>
      <c r="L80" s="62" t="s">
        <v>4324</v>
      </c>
      <c r="M80" s="94" t="n">
        <f aca="false">CTL_Monetize</f>
        <v>1</v>
      </c>
      <c r="N80" s="94" t="n">
        <f aca="false">CTL_Monetize</f>
        <v>1</v>
      </c>
      <c r="O80" s="78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4362</v>
      </c>
      <c r="R80" s="62" t="s">
        <v>4369</v>
      </c>
      <c r="S80" s="6" t="s">
        <v>4370</v>
      </c>
      <c r="T80" s="60" t="s">
        <v>4327</v>
      </c>
      <c r="U80" s="88" t="s">
        <v>4328</v>
      </c>
      <c r="V80" s="65" t="s">
        <v>4371</v>
      </c>
    </row>
    <row r="81" customFormat="false" ht="143.25" hidden="false" customHeight="false" outlineLevel="0" collapsed="false">
      <c r="A81" s="62" t="s">
        <v>4372</v>
      </c>
      <c r="B81" s="5" t="s">
        <v>4373</v>
      </c>
      <c r="C81" s="6" t="s">
        <v>4374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132</v>
      </c>
      <c r="H81" s="5" t="s">
        <v>4375</v>
      </c>
      <c r="I81" s="6" t="s">
        <v>4366</v>
      </c>
      <c r="J81" s="5" t="s">
        <v>4376</v>
      </c>
      <c r="K81" s="5" t="s">
        <v>4377</v>
      </c>
      <c r="L81" s="62" t="s">
        <v>4324</v>
      </c>
      <c r="M81" s="94" t="n">
        <f aca="false">CTL_Monetize</f>
        <v>1</v>
      </c>
      <c r="N81" s="94" t="n">
        <f aca="false">CTL_Monetize</f>
        <v>1</v>
      </c>
      <c r="O81" s="78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4372</v>
      </c>
      <c r="R81" s="62" t="s">
        <v>4378</v>
      </c>
      <c r="S81" s="6" t="s">
        <v>4379</v>
      </c>
      <c r="T81" s="60" t="s">
        <v>4327</v>
      </c>
      <c r="U81" s="88" t="s">
        <v>4328</v>
      </c>
      <c r="V81" s="65" t="s">
        <v>4380</v>
      </c>
    </row>
    <row r="82" customFormat="false" ht="143.25" hidden="false" customHeight="false" outlineLevel="0" collapsed="false">
      <c r="A82" s="62" t="s">
        <v>4381</v>
      </c>
      <c r="B82" s="5" t="s">
        <v>4382</v>
      </c>
      <c r="C82" s="6" t="s">
        <v>4383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132</v>
      </c>
      <c r="H82" s="5" t="s">
        <v>4384</v>
      </c>
      <c r="I82" s="6" t="s">
        <v>4366</v>
      </c>
      <c r="J82" s="5" t="s">
        <v>4385</v>
      </c>
      <c r="K82" s="5" t="s">
        <v>4386</v>
      </c>
      <c r="L82" s="62" t="s">
        <v>4324</v>
      </c>
      <c r="M82" s="94" t="n">
        <f aca="false">CTL_Monetize</f>
        <v>1</v>
      </c>
      <c r="N82" s="94" t="n">
        <f aca="false">CTL_Monetize</f>
        <v>1</v>
      </c>
      <c r="O82" s="78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4381</v>
      </c>
      <c r="R82" s="62" t="s">
        <v>4387</v>
      </c>
      <c r="S82" s="5" t="s">
        <v>4388</v>
      </c>
      <c r="T82" s="60" t="s">
        <v>4327</v>
      </c>
      <c r="U82" s="88" t="s">
        <v>4328</v>
      </c>
      <c r="V82" s="65" t="s">
        <v>4389</v>
      </c>
    </row>
    <row r="83" customFormat="false" ht="143.25" hidden="false" customHeight="false" outlineLevel="0" collapsed="false">
      <c r="A83" s="62" t="s">
        <v>4390</v>
      </c>
      <c r="B83" s="6" t="s">
        <v>4391</v>
      </c>
      <c r="C83" s="6" t="s">
        <v>4392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132</v>
      </c>
      <c r="H83" s="5" t="s">
        <v>4393</v>
      </c>
      <c r="I83" s="6" t="s">
        <v>4394</v>
      </c>
      <c r="J83" s="6" t="s">
        <v>4395</v>
      </c>
      <c r="K83" s="5" t="s">
        <v>4396</v>
      </c>
      <c r="L83" s="61" t="s">
        <v>4397</v>
      </c>
      <c r="M83" s="94" t="n">
        <f aca="false">Cap_In!$C$107</f>
        <v>0.196163661504425</v>
      </c>
      <c r="N83" s="94" t="n">
        <f aca="false">Cap_In!$C$107</f>
        <v>0.196163661504425</v>
      </c>
      <c r="O83" s="78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4390</v>
      </c>
      <c r="R83" s="62" t="s">
        <v>4398</v>
      </c>
      <c r="S83" s="5" t="s">
        <v>4399</v>
      </c>
      <c r="T83" s="60" t="s">
        <v>4327</v>
      </c>
      <c r="U83" s="88" t="s">
        <v>4328</v>
      </c>
      <c r="V83" s="65" t="s">
        <v>4400</v>
      </c>
    </row>
    <row r="84" customFormat="false" ht="157.45" hidden="false" customHeight="false" outlineLevel="0" collapsed="false">
      <c r="A84" s="62" t="s">
        <v>4401</v>
      </c>
      <c r="B84" s="5" t="s">
        <v>4402</v>
      </c>
      <c r="C84" s="6" t="s">
        <v>4403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2" t="s">
        <v>333</v>
      </c>
      <c r="H84" s="5" t="s">
        <v>4404</v>
      </c>
      <c r="I84" s="5" t="s">
        <v>4405</v>
      </c>
      <c r="J84" s="5" t="s">
        <v>4406</v>
      </c>
      <c r="K84" s="6" t="s">
        <v>4346</v>
      </c>
      <c r="L84" s="62" t="s">
        <v>4407</v>
      </c>
      <c r="M84" s="94" t="n">
        <f aca="false">AL_TokPerPrompt_Lo</f>
        <v>2000</v>
      </c>
      <c r="N84" s="94" t="n">
        <f aca="false">AL_TokPerPrompt_Hi</f>
        <v>11000</v>
      </c>
      <c r="O84" s="78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IF(ISNUMBER(D84),IF(AND(ISNUMBER(M84),ISNUMBER(N84)),IF(M84=N84,IF(ABS(D84/M84-1)&lt;=L1_JudgeTol,"±"&amp;TEXT(L1_JudgeTol,"0%")&amp;" 內","差距 &gt;"&amp;TEXT(L1_JudgeTol,"0%")),IF(D84&lt;M84,"低於外部區間",IF(D84&gt;N84,"高於外部區間","落在外部區間"))),"無外部對照"),"推算值非數字（本情境）")</f>
        <v>高於外部區間</v>
      </c>
      <c r="Q84" s="62" t="s">
        <v>4401</v>
      </c>
      <c r="R84" s="62" t="s">
        <v>4408</v>
      </c>
      <c r="S84" s="5" t="s">
        <v>4409</v>
      </c>
      <c r="T84" s="60" t="s">
        <v>3983</v>
      </c>
      <c r="U84" s="93" t="s">
        <v>4410</v>
      </c>
      <c r="V84" s="65" t="s">
        <v>4411</v>
      </c>
    </row>
    <row r="85" customFormat="false" ht="143.25" hidden="false" customHeight="false" outlineLevel="0" collapsed="false">
      <c r="A85" s="62" t="s">
        <v>4412</v>
      </c>
      <c r="B85" s="5" t="s">
        <v>4413</v>
      </c>
      <c r="C85" s="6" t="s">
        <v>4414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132</v>
      </c>
      <c r="H85" s="5" t="s">
        <v>4415</v>
      </c>
      <c r="I85" s="6" t="s">
        <v>4416</v>
      </c>
      <c r="J85" s="6" t="s">
        <v>4417</v>
      </c>
      <c r="K85" s="6" t="s">
        <v>4418</v>
      </c>
      <c r="L85" s="62" t="s">
        <v>4419</v>
      </c>
      <c r="M85" s="94" t="n">
        <f aca="false">Cap_In!$C$167</f>
        <v>0.828067117018958</v>
      </c>
      <c r="N85" s="94" t="n">
        <f aca="false">Cap_In!$C$168</f>
        <v>0.1625</v>
      </c>
      <c r="O85" s="78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IF(ISNUMBER(D85),IF(AND(ISNUMBER(M85),ISNUMBER(N85)),IF(M85=N85,IF(ABS(D85/M85-1)&lt;=L1_JudgeTol,"±"&amp;TEXT(L1_JudgeTol,"0%")&amp;" 內","差距 &gt;"&amp;TEXT(L1_JudgeTol,"0%")),IF(D85&lt;M85,"低於外部區間",IF(D85&gt;N85,"高於外部區間","落在外部區間"))),"無外部對照"),"推算值非數字（本情境）")</f>
        <v>推算值非數字（本情境）</v>
      </c>
      <c r="Q85" s="62" t="s">
        <v>4412</v>
      </c>
      <c r="R85" s="62" t="s">
        <v>4420</v>
      </c>
      <c r="S85" s="5" t="s">
        <v>4421</v>
      </c>
      <c r="T85" s="60" t="s">
        <v>4327</v>
      </c>
      <c r="U85" s="88" t="s">
        <v>4328</v>
      </c>
      <c r="V85" s="65" t="s">
        <v>4422</v>
      </c>
    </row>
    <row r="86" customFormat="false" ht="143.25" hidden="false" customHeight="false" outlineLevel="0" collapsed="false">
      <c r="A86" s="62" t="s">
        <v>4423</v>
      </c>
      <c r="B86" s="5" t="s">
        <v>4424</v>
      </c>
      <c r="C86" s="5" t="s">
        <v>4425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132</v>
      </c>
      <c r="H86" s="5" t="s">
        <v>4426</v>
      </c>
      <c r="I86" s="6" t="s">
        <v>4427</v>
      </c>
      <c r="J86" s="5" t="s">
        <v>4428</v>
      </c>
      <c r="K86" s="6" t="s">
        <v>4429</v>
      </c>
      <c r="L86" s="61" t="s">
        <v>4430</v>
      </c>
      <c r="M86" s="116" t="s">
        <v>809</v>
      </c>
      <c r="N86" s="116" t="s">
        <v>809</v>
      </c>
      <c r="O86" s="78"/>
      <c r="P86" s="61" t="str">
        <f aca="false">IF(ISNUMBER(D86),IF(AND(ISNUMBER(M86),ISNUMBER(N86)),IF(M86=N86,IF(ABS(D86/M86-1)&lt;=L1_JudgeTol,"±"&amp;TEXT(L1_JudgeTol,"0%")&amp;" 內","差距 &gt;"&amp;TEXT(L1_JudgeTol,"0%")),IF(D86&lt;M86,"低於外部區間",IF(D86&gt;N86,"高於外部區間","落在外部區間"))),"無外部對照"),"推算值非數字（本情境）")</f>
        <v>無外部對照</v>
      </c>
      <c r="Q86" s="62" t="s">
        <v>4423</v>
      </c>
      <c r="R86" s="62" t="s">
        <v>4431</v>
      </c>
      <c r="S86" s="5" t="s">
        <v>4432</v>
      </c>
      <c r="T86" s="60" t="s">
        <v>3850</v>
      </c>
      <c r="U86" s="93" t="s">
        <v>4433</v>
      </c>
    </row>
    <row r="87" customFormat="false" ht="143.25" hidden="false" customHeight="false" outlineLevel="0" collapsed="false">
      <c r="A87" s="62" t="s">
        <v>4434</v>
      </c>
      <c r="B87" s="5" t="s">
        <v>4435</v>
      </c>
      <c r="C87" s="5" t="s">
        <v>4436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132</v>
      </c>
      <c r="H87" s="5" t="s">
        <v>4437</v>
      </c>
      <c r="I87" s="6" t="s">
        <v>4427</v>
      </c>
      <c r="J87" s="6" t="s">
        <v>4438</v>
      </c>
      <c r="K87" s="6" t="s">
        <v>4439</v>
      </c>
      <c r="L87" s="61" t="s">
        <v>4440</v>
      </c>
      <c r="M87" s="116" t="s">
        <v>809</v>
      </c>
      <c r="N87" s="116" t="s">
        <v>809</v>
      </c>
      <c r="O87" s="78"/>
      <c r="P87" s="61" t="str">
        <f aca="false">IF(ISNUMBER(D87),IF(AND(ISNUMBER(M87),ISNUMBER(N87)),IF(M87=N87,IF(ABS(D87/M87-1)&lt;=L1_JudgeTol,"±"&amp;TEXT(L1_JudgeTol,"0%")&amp;" 內","差距 &gt;"&amp;TEXT(L1_JudgeTol,"0%")),IF(D87&lt;M87,"低於外部區間",IF(D87&gt;N87,"高於外部區間","落在外部區間"))),"無外部對照"),"推算值非數字（本情境）")</f>
        <v>無外部對照</v>
      </c>
      <c r="Q87" s="62" t="s">
        <v>4434</v>
      </c>
      <c r="R87" s="62" t="s">
        <v>4441</v>
      </c>
      <c r="S87" s="5" t="s">
        <v>4442</v>
      </c>
      <c r="T87" s="60" t="s">
        <v>3850</v>
      </c>
      <c r="U87" s="93" t="s">
        <v>4433</v>
      </c>
    </row>
    <row r="88" customFormat="false" ht="143.25" hidden="false" customHeight="false" outlineLevel="0" collapsed="false">
      <c r="A88" s="62" t="s">
        <v>4443</v>
      </c>
      <c r="B88" s="5" t="s">
        <v>4444</v>
      </c>
      <c r="C88" s="6" t="s">
        <v>4445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132</v>
      </c>
      <c r="H88" s="5" t="s">
        <v>4446</v>
      </c>
      <c r="I88" s="6" t="s">
        <v>4427</v>
      </c>
      <c r="J88" s="6" t="s">
        <v>4447</v>
      </c>
      <c r="K88" s="5" t="s">
        <v>4448</v>
      </c>
      <c r="L88" s="62" t="s">
        <v>4449</v>
      </c>
      <c r="M88" s="94" t="n">
        <f aca="false">CTL_PriceLife</f>
        <v>1</v>
      </c>
      <c r="N88" s="94" t="n">
        <f aca="false">CTL_PriceLife</f>
        <v>1</v>
      </c>
      <c r="O88" s="78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4443</v>
      </c>
      <c r="R88" s="62" t="s">
        <v>4450</v>
      </c>
      <c r="S88" s="6" t="s">
        <v>4451</v>
      </c>
      <c r="T88" s="60" t="s">
        <v>3850</v>
      </c>
      <c r="U88" s="93" t="s">
        <v>4433</v>
      </c>
      <c r="V88" s="65" t="s">
        <v>4452</v>
      </c>
    </row>
    <row r="89" customFormat="false" ht="168.65" hidden="false" customHeight="false" outlineLevel="0" collapsed="false">
      <c r="A89" s="62" t="s">
        <v>4453</v>
      </c>
      <c r="B89" s="5" t="s">
        <v>4454</v>
      </c>
      <c r="C89" s="6" t="s">
        <v>4455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3.80253905516642</v>
      </c>
      <c r="G89" s="62" t="s">
        <v>132</v>
      </c>
      <c r="H89" s="5" t="s">
        <v>4456</v>
      </c>
      <c r="I89" s="5" t="s">
        <v>4457</v>
      </c>
      <c r="J89" s="5" t="s">
        <v>4458</v>
      </c>
      <c r="K89" s="6" t="s">
        <v>4459</v>
      </c>
      <c r="L89" s="62" t="s">
        <v>4460</v>
      </c>
      <c r="M89" s="94" t="n">
        <f aca="false">L1_LTotal</f>
        <v>0.642602366208498</v>
      </c>
      <c r="N89" s="94" t="n">
        <f aca="false">L1_LTotal</f>
        <v>0.642602366208498</v>
      </c>
      <c r="O89" s="78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4453</v>
      </c>
      <c r="R89" s="62" t="s">
        <v>4461</v>
      </c>
      <c r="S89" s="6" t="s">
        <v>4462</v>
      </c>
      <c r="T89" s="60" t="s">
        <v>3983</v>
      </c>
      <c r="U89" s="93" t="s">
        <v>4463</v>
      </c>
      <c r="V89" s="65" t="s">
        <v>4464</v>
      </c>
    </row>
    <row r="90" customFormat="false" ht="44" hidden="false" customHeight="false" outlineLevel="0" collapsed="false">
      <c r="A90" s="62" t="s">
        <v>4304</v>
      </c>
      <c r="B90" s="5" t="s">
        <v>4465</v>
      </c>
      <c r="C90" s="6" t="s">
        <v>4466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2" t="s">
        <v>132</v>
      </c>
      <c r="H90" s="5" t="s">
        <v>4467</v>
      </c>
      <c r="I90" s="6" t="s">
        <v>4468</v>
      </c>
      <c r="J90" s="5" t="s">
        <v>4469</v>
      </c>
      <c r="K90" s="5" t="s">
        <v>4470</v>
      </c>
      <c r="L90" s="62" t="s">
        <v>4257</v>
      </c>
      <c r="M90" s="116" t="s">
        <v>809</v>
      </c>
      <c r="N90" s="116" t="s">
        <v>809</v>
      </c>
      <c r="O90" s="78"/>
      <c r="P90" s="61" t="str">
        <f aca="false">IF(ISNUMBER(D90),IF(AND(ISNUMBER(M90),ISNUMBER(N90)),IF(M90=N90,IF(ABS(D90/M90-1)&lt;=L1_JudgeTol,"±"&amp;TEXT(L1_JudgeTol,"0%")&amp;" 內","差距 &gt;"&amp;TEXT(L1_JudgeTol,"0%")),IF(D90&lt;M90,"低於外部區間",IF(D90&gt;N90,"高於外部區間","落在外部區間"))),"無外部對照"),"推算值非數字（本情境）")</f>
        <v>無外部對照</v>
      </c>
      <c r="Q90" s="62" t="s">
        <v>4304</v>
      </c>
      <c r="R90" s="62" t="s">
        <v>4471</v>
      </c>
      <c r="S90" s="5" t="s">
        <v>4248</v>
      </c>
      <c r="T90" s="60" t="s">
        <v>4241</v>
      </c>
      <c r="U90" s="93" t="s">
        <v>4259</v>
      </c>
    </row>
    <row r="91" customFormat="false" ht="129.1" hidden="false" customHeight="false" outlineLevel="0" collapsed="false">
      <c r="A91" s="62" t="s">
        <v>4472</v>
      </c>
      <c r="B91" s="5" t="s">
        <v>4473</v>
      </c>
      <c r="C91" s="6" t="s">
        <v>4474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0.361920392563785</v>
      </c>
      <c r="F91" s="116" t="n">
        <f aca="false">IF(AND(ISNUMBER(L1_MFleet_Hi),ISNUMBER(AL_PriceFleet25)),L1_MFleet_Hi*AL_PriceFleet25,"m 非數字（本情境）")</f>
        <v>1.98060122313202</v>
      </c>
      <c r="G91" s="62" t="s">
        <v>1040</v>
      </c>
      <c r="H91" s="5" t="s">
        <v>4475</v>
      </c>
      <c r="I91" s="5" t="s">
        <v>4476</v>
      </c>
      <c r="J91" s="5" t="s">
        <v>4477</v>
      </c>
      <c r="K91" s="6" t="s">
        <v>4478</v>
      </c>
      <c r="L91" s="61" t="s">
        <v>4440</v>
      </c>
      <c r="M91" s="116" t="s">
        <v>809</v>
      </c>
      <c r="N91" s="116" t="s">
        <v>809</v>
      </c>
      <c r="O91" s="78"/>
      <c r="P91" s="61" t="str">
        <f aca="false">IF(ISNUMBER(D91),IF(AND(ISNUMBER(M91),ISNUMBER(N91)),IF(M91=N91,IF(ABS(D91/M91-1)&lt;=L1_JudgeTol,"±"&amp;TEXT(L1_JudgeTol,"0%")&amp;" 內","差距 &gt;"&amp;TEXT(L1_JudgeTol,"0%")),IF(D91&lt;M91,"低於外部區間",IF(D91&gt;N91,"高於外部區間","落在外部區間"))),"無外部對照"),"推算值非數字（本情境）")</f>
        <v>無外部對照</v>
      </c>
      <c r="Q91" s="62" t="s">
        <v>4472</v>
      </c>
      <c r="R91" s="62" t="s">
        <v>4479</v>
      </c>
      <c r="S91" s="5" t="s">
        <v>4480</v>
      </c>
      <c r="T91" s="60" t="s">
        <v>4327</v>
      </c>
      <c r="U91" s="93" t="s">
        <v>4481</v>
      </c>
    </row>
    <row r="92" customFormat="false" ht="129.1" hidden="false" customHeight="false" outlineLevel="0" collapsed="false">
      <c r="A92" s="62" t="s">
        <v>4482</v>
      </c>
      <c r="B92" s="5" t="s">
        <v>4483</v>
      </c>
      <c r="C92" s="6" t="s">
        <v>4484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1040</v>
      </c>
      <c r="H92" s="5" t="s">
        <v>4485</v>
      </c>
      <c r="I92" s="5" t="s">
        <v>4476</v>
      </c>
      <c r="J92" s="5" t="s">
        <v>4486</v>
      </c>
      <c r="K92" s="5" t="s">
        <v>4487</v>
      </c>
      <c r="L92" s="61" t="s">
        <v>4440</v>
      </c>
      <c r="M92" s="116" t="s">
        <v>809</v>
      </c>
      <c r="N92" s="116" t="s">
        <v>809</v>
      </c>
      <c r="O92" s="78"/>
      <c r="P92" s="61" t="str">
        <f aca="false">IF(ISNUMBER(D92),IF(AND(ISNUMBER(M92),ISNUMBER(N92)),IF(M92=N92,IF(ABS(D92/M92-1)&lt;=L1_JudgeTol,"±"&amp;TEXT(L1_JudgeTol,"0%")&amp;" 內","差距 &gt;"&amp;TEXT(L1_JudgeTol,"0%")),IF(D92&lt;M92,"低於外部區間",IF(D92&gt;N92,"高於外部區間","落在外部區間"))),"無外部對照"),"推算值非數字（本情境）")</f>
        <v>無外部對照</v>
      </c>
      <c r="Q92" s="62" t="s">
        <v>4482</v>
      </c>
      <c r="R92" s="62" t="s">
        <v>4479</v>
      </c>
      <c r="S92" s="5" t="s">
        <v>4480</v>
      </c>
      <c r="T92" s="60" t="s">
        <v>4327</v>
      </c>
      <c r="U92" s="93" t="s">
        <v>4481</v>
      </c>
    </row>
    <row r="93" customFormat="false" ht="129.1" hidden="false" customHeight="false" outlineLevel="0" collapsed="false">
      <c r="A93" s="62" t="s">
        <v>4488</v>
      </c>
      <c r="B93" s="5" t="s">
        <v>4489</v>
      </c>
      <c r="C93" s="6" t="s">
        <v>4490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1040</v>
      </c>
      <c r="H93" s="5" t="s">
        <v>4491</v>
      </c>
      <c r="I93" s="5" t="s">
        <v>4476</v>
      </c>
      <c r="J93" s="5" t="s">
        <v>4492</v>
      </c>
      <c r="K93" s="6" t="s">
        <v>4493</v>
      </c>
      <c r="L93" s="61" t="s">
        <v>4494</v>
      </c>
      <c r="M93" s="94" t="n">
        <f aca="false">L1_PriceRealFleet</f>
        <v>0.684354081163504</v>
      </c>
      <c r="N93" s="94" t="n">
        <f aca="false">L1_PriceRealFleet</f>
        <v>0.684354081163504</v>
      </c>
      <c r="O93" s="78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4488</v>
      </c>
      <c r="R93" s="62" t="s">
        <v>4479</v>
      </c>
      <c r="S93" s="5" t="s">
        <v>4495</v>
      </c>
      <c r="T93" s="60" t="s">
        <v>3983</v>
      </c>
      <c r="U93" s="93" t="s">
        <v>4463</v>
      </c>
      <c r="V93" s="65" t="s">
        <v>4496</v>
      </c>
    </row>
    <row r="94" customFormat="false" ht="86.55" hidden="false" customHeight="false" outlineLevel="0" collapsed="false">
      <c r="A94" s="62" t="s">
        <v>4497</v>
      </c>
      <c r="B94" s="5" t="s">
        <v>4498</v>
      </c>
      <c r="C94" s="5" t="s">
        <v>4499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132</v>
      </c>
      <c r="H94" s="5" t="s">
        <v>4500</v>
      </c>
      <c r="I94" s="5" t="s">
        <v>4501</v>
      </c>
      <c r="J94" s="6" t="s">
        <v>4502</v>
      </c>
      <c r="K94" s="5" t="s">
        <v>4503</v>
      </c>
      <c r="L94" s="61" t="s">
        <v>4440</v>
      </c>
      <c r="M94" s="116" t="s">
        <v>809</v>
      </c>
      <c r="N94" s="116" t="s">
        <v>809</v>
      </c>
      <c r="O94" s="78"/>
      <c r="P94" s="61" t="str">
        <f aca="false">IF(ISNUMBER(D94),IF(AND(ISNUMBER(M94),ISNUMBER(N94)),IF(M94=N94,IF(ABS(D94/M94-1)&lt;=L1_JudgeTol,"±"&amp;TEXT(L1_JudgeTol,"0%")&amp;" 內","差距 &gt;"&amp;TEXT(L1_JudgeTol,"0%")),IF(D94&lt;M94,"低於外部區間",IF(D94&gt;N94,"高於外部區間","落在外部區間"))),"無外部對照"),"推算值非數字（本情境）")</f>
        <v>無外部對照</v>
      </c>
      <c r="Q94" s="62" t="s">
        <v>4497</v>
      </c>
      <c r="R94" s="62" t="s">
        <v>4504</v>
      </c>
      <c r="S94" s="5" t="s">
        <v>4505</v>
      </c>
      <c r="T94" s="60" t="s">
        <v>3850</v>
      </c>
      <c r="U94" s="93" t="s">
        <v>4433</v>
      </c>
    </row>
    <row r="95" customFormat="false" ht="143.25" hidden="false" customHeight="false" outlineLevel="0" collapsed="false">
      <c r="A95" s="62" t="s">
        <v>4506</v>
      </c>
      <c r="B95" s="5" t="s">
        <v>4507</v>
      </c>
      <c r="C95" s="6" t="s">
        <v>4508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132</v>
      </c>
      <c r="H95" s="6" t="s">
        <v>4509</v>
      </c>
      <c r="I95" s="6" t="s">
        <v>4510</v>
      </c>
      <c r="J95" s="5" t="s">
        <v>4511</v>
      </c>
      <c r="K95" s="6" t="s">
        <v>4512</v>
      </c>
      <c r="L95" s="61" t="s">
        <v>4440</v>
      </c>
      <c r="M95" s="116" t="s">
        <v>809</v>
      </c>
      <c r="N95" s="116" t="s">
        <v>809</v>
      </c>
      <c r="O95" s="78"/>
      <c r="P95" s="61" t="str">
        <f aca="false">IF(ISNUMBER(D95),IF(AND(ISNUMBER(M95),ISNUMBER(N95)),IF(M95=N95,IF(ABS(D95/M95-1)&lt;=L1_JudgeTol,"±"&amp;TEXT(L1_JudgeTol,"0%")&amp;" 內","差距 &gt;"&amp;TEXT(L1_JudgeTol,"0%")),IF(D95&lt;M95,"低於外部區間",IF(D95&gt;N95,"高於外部區間","落在外部區間"))),"無外部對照"),"推算值非數字（本情境）")</f>
        <v>無外部對照</v>
      </c>
      <c r="Q95" s="62" t="s">
        <v>4506</v>
      </c>
      <c r="R95" s="62" t="s">
        <v>4513</v>
      </c>
      <c r="S95" s="5" t="s">
        <v>4514</v>
      </c>
      <c r="T95" s="60" t="s">
        <v>3850</v>
      </c>
      <c r="U95" s="93" t="s">
        <v>4161</v>
      </c>
    </row>
    <row r="96" customFormat="false" ht="157.45" hidden="false" customHeight="false" outlineLevel="0" collapsed="false">
      <c r="A96" s="62" t="s">
        <v>4515</v>
      </c>
      <c r="B96" s="5" t="s">
        <v>4516</v>
      </c>
      <c r="C96" s="6" t="s">
        <v>4517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4518</v>
      </c>
      <c r="H96" s="6" t="s">
        <v>4519</v>
      </c>
      <c r="I96" s="5" t="s">
        <v>4520</v>
      </c>
      <c r="J96" s="6" t="s">
        <v>4521</v>
      </c>
      <c r="K96" s="6" t="s">
        <v>4522</v>
      </c>
      <c r="L96" s="61" t="s">
        <v>4440</v>
      </c>
      <c r="M96" s="116" t="s">
        <v>809</v>
      </c>
      <c r="N96" s="116" t="s">
        <v>809</v>
      </c>
      <c r="O96" s="78"/>
      <c r="P96" s="61" t="str">
        <f aca="false">IF(ISNUMBER(D96),IF(AND(ISNUMBER(M96),ISNUMBER(N96)),IF(M96=N96,IF(ABS(D96/M96-1)&lt;=L1_JudgeTol,"±"&amp;TEXT(L1_JudgeTol,"0%")&amp;" 內","差距 &gt;"&amp;TEXT(L1_JudgeTol,"0%")),IF(D96&lt;M96,"低於外部區間",IF(D96&gt;N96,"高於外部區間","落在外部區間"))),"無外部對照"),"推算值非數字（本情境）")</f>
        <v>無外部對照</v>
      </c>
      <c r="Q96" s="62" t="s">
        <v>4515</v>
      </c>
      <c r="R96" s="62" t="s">
        <v>4523</v>
      </c>
      <c r="S96" s="5" t="s">
        <v>4524</v>
      </c>
      <c r="T96" s="60" t="s">
        <v>3983</v>
      </c>
      <c r="U96" s="93" t="s">
        <v>4525</v>
      </c>
    </row>
    <row r="97" customFormat="false" ht="157.45" hidden="false" customHeight="false" outlineLevel="0" collapsed="false">
      <c r="A97" s="62" t="s">
        <v>4526</v>
      </c>
      <c r="B97" s="5" t="s">
        <v>4527</v>
      </c>
      <c r="C97" s="6" t="s">
        <v>4528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4518</v>
      </c>
      <c r="H97" s="6" t="s">
        <v>4519</v>
      </c>
      <c r="I97" s="5" t="s">
        <v>4520</v>
      </c>
      <c r="J97" s="6" t="s">
        <v>4529</v>
      </c>
      <c r="K97" s="6" t="s">
        <v>4522</v>
      </c>
      <c r="L97" s="61" t="s">
        <v>4440</v>
      </c>
      <c r="M97" s="116" t="s">
        <v>809</v>
      </c>
      <c r="N97" s="116" t="s">
        <v>809</v>
      </c>
      <c r="O97" s="78"/>
      <c r="P97" s="61" t="str">
        <f aca="false">IF(ISNUMBER(D97),IF(AND(ISNUMBER(M97),ISNUMBER(N97)),IF(M97=N97,IF(ABS(D97/M97-1)&lt;=L1_JudgeTol,"±"&amp;TEXT(L1_JudgeTol,"0%")&amp;" 內","差距 &gt;"&amp;TEXT(L1_JudgeTol,"0%")),IF(D97&lt;M97,"低於外部區間",IF(D97&gt;N97,"高於外部區間","落在外部區間"))),"無外部對照"),"推算值非數字（本情境）")</f>
        <v>無外部對照</v>
      </c>
      <c r="Q97" s="62" t="s">
        <v>4526</v>
      </c>
      <c r="R97" s="62" t="s">
        <v>4523</v>
      </c>
      <c r="S97" s="5" t="s">
        <v>4524</v>
      </c>
      <c r="T97" s="60" t="s">
        <v>3983</v>
      </c>
      <c r="U97" s="93" t="s">
        <v>4525</v>
      </c>
    </row>
    <row r="98" customFormat="false" ht="157.45" hidden="false" customHeight="false" outlineLevel="0" collapsed="false">
      <c r="A98" s="62" t="s">
        <v>4530</v>
      </c>
      <c r="B98" s="5" t="s">
        <v>4531</v>
      </c>
      <c r="C98" s="6" t="s">
        <v>4532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4518</v>
      </c>
      <c r="H98" s="6" t="s">
        <v>4533</v>
      </c>
      <c r="I98" s="5" t="s">
        <v>4520</v>
      </c>
      <c r="J98" s="6" t="s">
        <v>4534</v>
      </c>
      <c r="K98" s="6" t="s">
        <v>4522</v>
      </c>
      <c r="L98" s="61" t="s">
        <v>4440</v>
      </c>
      <c r="M98" s="116" t="s">
        <v>809</v>
      </c>
      <c r="N98" s="116" t="s">
        <v>809</v>
      </c>
      <c r="O98" s="78"/>
      <c r="P98" s="61" t="str">
        <f aca="false">IF(ISNUMBER(D98),IF(AND(ISNUMBER(M98),ISNUMBER(N98)),IF(M98=N98,IF(ABS(D98/M98-1)&lt;=L1_JudgeTol,"±"&amp;TEXT(L1_JudgeTol,"0%")&amp;" 內","差距 &gt;"&amp;TEXT(L1_JudgeTol,"0%")),IF(D98&lt;M98,"低於外部區間",IF(D98&gt;N98,"高於外部區間","落在外部區間"))),"無外部對照"),"推算值非數字（本情境）")</f>
        <v>無外部對照</v>
      </c>
      <c r="Q98" s="62" t="s">
        <v>4530</v>
      </c>
      <c r="R98" s="62" t="s">
        <v>4523</v>
      </c>
      <c r="S98" s="5" t="s">
        <v>4524</v>
      </c>
      <c r="T98" s="60" t="s">
        <v>3983</v>
      </c>
      <c r="U98" s="93" t="s">
        <v>4525</v>
      </c>
    </row>
    <row r="99" customFormat="false" ht="157.45" hidden="false" customHeight="false" outlineLevel="0" collapsed="false">
      <c r="A99" s="62" t="s">
        <v>4535</v>
      </c>
      <c r="B99" s="5" t="s">
        <v>4536</v>
      </c>
      <c r="C99" s="5" t="s">
        <v>4537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4518</v>
      </c>
      <c r="H99" s="6" t="s">
        <v>4538</v>
      </c>
      <c r="I99" s="5" t="s">
        <v>4520</v>
      </c>
      <c r="J99" s="6" t="s">
        <v>4539</v>
      </c>
      <c r="K99" s="6" t="s">
        <v>4540</v>
      </c>
      <c r="L99" s="61" t="s">
        <v>4440</v>
      </c>
      <c r="M99" s="116" t="s">
        <v>809</v>
      </c>
      <c r="N99" s="116" t="s">
        <v>809</v>
      </c>
      <c r="O99" s="78"/>
      <c r="P99" s="61" t="str">
        <f aca="false">IF(ISNUMBER(D99),IF(AND(ISNUMBER(M99),ISNUMBER(N99)),IF(M99=N99,IF(ABS(D99/M99-1)&lt;=L1_JudgeTol,"±"&amp;TEXT(L1_JudgeTol,"0%")&amp;" 內","差距 &gt;"&amp;TEXT(L1_JudgeTol,"0%")),IF(D99&lt;M99,"低於外部區間",IF(D99&gt;N99,"高於外部區間","落在外部區間"))),"無外部對照"),"推算值非數字（本情境）")</f>
        <v>無外部對照</v>
      </c>
      <c r="Q99" s="62" t="s">
        <v>4535</v>
      </c>
      <c r="R99" s="62" t="s">
        <v>4523</v>
      </c>
      <c r="S99" s="5" t="s">
        <v>4541</v>
      </c>
      <c r="T99" s="60" t="s">
        <v>3983</v>
      </c>
      <c r="U99" s="93" t="s">
        <v>4525</v>
      </c>
    </row>
    <row r="100" customFormat="false" ht="157.45" hidden="false" customHeight="false" outlineLevel="0" collapsed="false">
      <c r="A100" s="62" t="s">
        <v>4542</v>
      </c>
      <c r="B100" s="5" t="s">
        <v>4543</v>
      </c>
      <c r="C100" s="5" t="s">
        <v>4544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4518</v>
      </c>
      <c r="H100" s="6" t="s">
        <v>4538</v>
      </c>
      <c r="I100" s="5" t="s">
        <v>4520</v>
      </c>
      <c r="J100" s="6" t="s">
        <v>4545</v>
      </c>
      <c r="K100" s="6" t="s">
        <v>4540</v>
      </c>
      <c r="L100" s="61" t="s">
        <v>4440</v>
      </c>
      <c r="M100" s="116" t="s">
        <v>809</v>
      </c>
      <c r="N100" s="116" t="s">
        <v>809</v>
      </c>
      <c r="O100" s="78"/>
      <c r="P100" s="61" t="str">
        <f aca="false">IF(ISNUMBER(D100),IF(AND(ISNUMBER(M100),ISNUMBER(N100)),IF(M100=N100,IF(ABS(D100/M100-1)&lt;=L1_JudgeTol,"±"&amp;TEXT(L1_JudgeTol,"0%")&amp;" 內","差距 &gt;"&amp;TEXT(L1_JudgeTol,"0%")),IF(D100&lt;M100,"低於外部區間",IF(D100&gt;N100,"高於外部區間","落在外部區間"))),"無外部對照"),"推算值非數字（本情境）")</f>
        <v>無外部對照</v>
      </c>
      <c r="Q100" s="62" t="s">
        <v>4542</v>
      </c>
      <c r="R100" s="62" t="s">
        <v>4523</v>
      </c>
      <c r="S100" s="5" t="s">
        <v>4541</v>
      </c>
      <c r="T100" s="60" t="s">
        <v>3983</v>
      </c>
      <c r="U100" s="93" t="s">
        <v>4525</v>
      </c>
    </row>
    <row r="101" customFormat="false" ht="157.45" hidden="false" customHeight="false" outlineLevel="0" collapsed="false">
      <c r="A101" s="62" t="s">
        <v>4546</v>
      </c>
      <c r="B101" s="5" t="s">
        <v>4547</v>
      </c>
      <c r="C101" s="5" t="s">
        <v>4548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4518</v>
      </c>
      <c r="H101" s="6" t="s">
        <v>4538</v>
      </c>
      <c r="I101" s="5" t="s">
        <v>4520</v>
      </c>
      <c r="J101" s="6" t="s">
        <v>4549</v>
      </c>
      <c r="K101" s="6" t="s">
        <v>4540</v>
      </c>
      <c r="L101" s="61" t="s">
        <v>4440</v>
      </c>
      <c r="M101" s="116" t="s">
        <v>809</v>
      </c>
      <c r="N101" s="116" t="s">
        <v>809</v>
      </c>
      <c r="O101" s="78"/>
      <c r="P101" s="61" t="str">
        <f aca="false">IF(ISNUMBER(D101),IF(AND(ISNUMBER(M101),ISNUMBER(N101)),IF(M101=N101,IF(ABS(D101/M101-1)&lt;=L1_JudgeTol,"±"&amp;TEXT(L1_JudgeTol,"0%")&amp;" 內","差距 &gt;"&amp;TEXT(L1_JudgeTol,"0%")),IF(D101&lt;M101,"低於外部區間",IF(D101&gt;N101,"高於外部區間","落在外部區間"))),"無外部對照"),"推算值非數字（本情境）")</f>
        <v>無外部對照</v>
      </c>
      <c r="Q101" s="62" t="s">
        <v>4546</v>
      </c>
      <c r="R101" s="62" t="s">
        <v>4523</v>
      </c>
      <c r="S101" s="5" t="s">
        <v>4541</v>
      </c>
      <c r="T101" s="60" t="s">
        <v>3983</v>
      </c>
      <c r="U101" s="93" t="s">
        <v>4525</v>
      </c>
    </row>
    <row r="102" customFormat="false" ht="72.35" hidden="false" customHeight="false" outlineLevel="0" collapsed="false">
      <c r="A102" s="62" t="s">
        <v>4550</v>
      </c>
      <c r="B102" s="6" t="s">
        <v>4551</v>
      </c>
      <c r="C102" s="6" t="s">
        <v>4552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2" t="s">
        <v>132</v>
      </c>
      <c r="H102" s="5" t="s">
        <v>4553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4554</v>
      </c>
      <c r="K102" s="5" t="s">
        <v>4555</v>
      </c>
      <c r="L102" s="61" t="s">
        <v>4440</v>
      </c>
      <c r="M102" s="116" t="s">
        <v>809</v>
      </c>
      <c r="N102" s="116" t="s">
        <v>809</v>
      </c>
      <c r="O102" s="78"/>
      <c r="P102" s="61" t="str">
        <f aca="false">IF(ISNUMBER(D102),IF(AND(ISNUMBER(M102),ISNUMBER(N102)),IF(M102=N102,IF(ABS(D102/M102-1)&lt;=L1_JudgeTol,"±"&amp;TEXT(L1_JudgeTol,"0%")&amp;" 內","差距 &gt;"&amp;TEXT(L1_JudgeTol,"0%")),IF(D102&lt;M102,"低於外部區間",IF(D102&gt;N102,"高於外部區間","落在外部區間"))),"無外部對照"),"推算值非數字（本情境）")</f>
        <v>無外部對照</v>
      </c>
      <c r="Q102" s="62" t="s">
        <v>4550</v>
      </c>
      <c r="R102" s="62" t="s">
        <v>4556</v>
      </c>
      <c r="S102" s="5" t="s">
        <v>4480</v>
      </c>
      <c r="T102" s="60" t="s">
        <v>4327</v>
      </c>
      <c r="U102" s="88" t="s">
        <v>4328</v>
      </c>
      <c r="V102" s="65" t="s">
        <v>4557</v>
      </c>
    </row>
    <row r="103" customFormat="false" ht="72.35" hidden="false" customHeight="false" outlineLevel="0" collapsed="false">
      <c r="A103" s="62" t="s">
        <v>4558</v>
      </c>
      <c r="B103" s="6" t="s">
        <v>4559</v>
      </c>
      <c r="C103" s="6" t="s">
        <v>4560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1040</v>
      </c>
      <c r="H103" s="5" t="s">
        <v>4561</v>
      </c>
      <c r="I103" s="5" t="s">
        <v>4562</v>
      </c>
      <c r="J103" s="5" t="s">
        <v>4563</v>
      </c>
      <c r="K103" s="5" t="s">
        <v>4564</v>
      </c>
      <c r="L103" s="61" t="s">
        <v>4440</v>
      </c>
      <c r="M103" s="116" t="s">
        <v>809</v>
      </c>
      <c r="N103" s="116" t="s">
        <v>809</v>
      </c>
      <c r="O103" s="78"/>
      <c r="P103" s="61" t="str">
        <f aca="false">IF(ISNUMBER(D103),IF(AND(ISNUMBER(M103),ISNUMBER(N103)),IF(M103=N103,IF(ABS(D103/M103-1)&lt;=L1_JudgeTol,"±"&amp;TEXT(L1_JudgeTol,"0%")&amp;" 內","差距 &gt;"&amp;TEXT(L1_JudgeTol,"0%")),IF(D103&lt;M103,"低於外部區間",IF(D103&gt;N103,"高於外部區間","落在外部區間"))),"無外部對照"),"推算值非數字（本情境）")</f>
        <v>無外部對照</v>
      </c>
      <c r="Q103" s="62" t="s">
        <v>4558</v>
      </c>
      <c r="R103" s="62" t="s">
        <v>4556</v>
      </c>
      <c r="S103" s="5" t="s">
        <v>4565</v>
      </c>
      <c r="T103" s="60" t="s">
        <v>3850</v>
      </c>
      <c r="U103" s="88" t="s">
        <v>4566</v>
      </c>
    </row>
    <row r="104" customFormat="false" ht="58.2" hidden="false" customHeight="false" outlineLevel="0" collapsed="false">
      <c r="A104" s="62" t="s">
        <v>4567</v>
      </c>
      <c r="B104" s="5" t="s">
        <v>4568</v>
      </c>
      <c r="C104" s="6" t="s">
        <v>4569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2" t="s">
        <v>1040</v>
      </c>
      <c r="H104" s="5" t="s">
        <v>4570</v>
      </c>
      <c r="I104" s="5" t="s">
        <v>4571</v>
      </c>
      <c r="J104" s="5" t="s">
        <v>4572</v>
      </c>
      <c r="K104" s="6" t="s">
        <v>4573</v>
      </c>
      <c r="L104" s="61" t="s">
        <v>4440</v>
      </c>
      <c r="M104" s="116" t="s">
        <v>809</v>
      </c>
      <c r="N104" s="116" t="s">
        <v>809</v>
      </c>
      <c r="O104" s="78"/>
      <c r="P104" s="61" t="str">
        <f aca="false">IF(ISNUMBER(D104),IF(AND(ISNUMBER(M104),ISNUMBER(N104)),IF(M104=N104,IF(ABS(D104/M104-1)&lt;=L1_JudgeTol,"±"&amp;TEXT(L1_JudgeTol,"0%")&amp;" 內","差距 &gt;"&amp;TEXT(L1_JudgeTol,"0%")),IF(D104&lt;M104,"低於外部區間",IF(D104&gt;N104,"高於外部區間","落在外部區間"))),"無外部對照"),"推算值非數字（本情境）")</f>
        <v>無外部對照</v>
      </c>
      <c r="Q104" s="62" t="s">
        <v>4567</v>
      </c>
      <c r="R104" s="62" t="s">
        <v>4574</v>
      </c>
      <c r="S104" s="5" t="s">
        <v>4480</v>
      </c>
      <c r="T104" s="60" t="s">
        <v>3850</v>
      </c>
      <c r="U104" s="88" t="s">
        <v>4566</v>
      </c>
    </row>
    <row r="105" customFormat="false" ht="86.55" hidden="false" customHeight="false" outlineLevel="0" collapsed="false">
      <c r="A105" s="62" t="s">
        <v>4575</v>
      </c>
      <c r="B105" s="5" t="s">
        <v>4576</v>
      </c>
      <c r="C105" s="5" t="s">
        <v>4577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2" t="s">
        <v>132</v>
      </c>
      <c r="H105" s="6" t="s">
        <v>4578</v>
      </c>
      <c r="I105" s="5" t="s">
        <v>4579</v>
      </c>
      <c r="J105" s="5" t="s">
        <v>4580</v>
      </c>
      <c r="K105" s="5" t="s">
        <v>4581</v>
      </c>
      <c r="L105" s="61" t="s">
        <v>4440</v>
      </c>
      <c r="M105" s="116" t="s">
        <v>809</v>
      </c>
      <c r="N105" s="116" t="s">
        <v>809</v>
      </c>
      <c r="O105" s="78"/>
      <c r="P105" s="61" t="str">
        <f aca="false">IF(ISNUMBER(D105),IF(AND(ISNUMBER(M105),ISNUMBER(N105)),IF(M105=N105,IF(ABS(D105/M105-1)&lt;=L1_JudgeTol,"±"&amp;TEXT(L1_JudgeTol,"0%")&amp;" 內","差距 &gt;"&amp;TEXT(L1_JudgeTol,"0%")),IF(D105&lt;M105,"低於外部區間",IF(D105&gt;N105,"高於外部區間","落在外部區間"))),"無外部對照"),"推算值非數字（本情境）")</f>
        <v>無外部對照</v>
      </c>
      <c r="Q105" s="62" t="s">
        <v>4575</v>
      </c>
      <c r="R105" s="62" t="s">
        <v>4574</v>
      </c>
      <c r="S105" s="5" t="s">
        <v>4582</v>
      </c>
      <c r="T105" s="60" t="s">
        <v>3983</v>
      </c>
      <c r="U105" s="93" t="s">
        <v>4150</v>
      </c>
    </row>
    <row r="106" customFormat="false" ht="58.2" hidden="false" customHeight="false" outlineLevel="0" collapsed="false">
      <c r="A106" s="62" t="s">
        <v>4583</v>
      </c>
      <c r="B106" s="5" t="s">
        <v>4584</v>
      </c>
      <c r="C106" s="6" t="s">
        <v>4585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2" t="s">
        <v>132</v>
      </c>
      <c r="H106" s="5" t="s">
        <v>4586</v>
      </c>
      <c r="I106" s="6" t="s">
        <v>4587</v>
      </c>
      <c r="J106" s="6" t="s">
        <v>4588</v>
      </c>
      <c r="K106" s="5" t="s">
        <v>4589</v>
      </c>
      <c r="L106" s="61" t="s">
        <v>4440</v>
      </c>
      <c r="M106" s="116" t="s">
        <v>809</v>
      </c>
      <c r="N106" s="116" t="s">
        <v>809</v>
      </c>
      <c r="O106" s="78"/>
      <c r="P106" s="61" t="str">
        <f aca="false">IF(ISNUMBER(D106),IF(AND(ISNUMBER(M106),ISNUMBER(N106)),IF(M106=N106,IF(ABS(D106/M106-1)&lt;=L1_JudgeTol,"±"&amp;TEXT(L1_JudgeTol,"0%")&amp;" 內","差距 &gt;"&amp;TEXT(L1_JudgeTol,"0%")),IF(D106&lt;M106,"低於外部區間",IF(D106&gt;N106,"高於外部區間","落在外部區間"))),"無外部對照"),"推算值非數字（本情境）")</f>
        <v>無外部對照</v>
      </c>
      <c r="Q106" s="62" t="s">
        <v>4583</v>
      </c>
      <c r="R106" s="62" t="s">
        <v>4556</v>
      </c>
      <c r="S106" s="5" t="s">
        <v>4480</v>
      </c>
      <c r="T106" s="60" t="s">
        <v>3983</v>
      </c>
      <c r="U106" s="93" t="s">
        <v>4463</v>
      </c>
    </row>
    <row r="107" customFormat="false" ht="86.55" hidden="false" customHeight="false" outlineLevel="0" collapsed="false">
      <c r="A107" s="62" t="s">
        <v>4590</v>
      </c>
      <c r="B107" s="5" t="s">
        <v>4591</v>
      </c>
      <c r="C107" s="5" t="s">
        <v>4592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132</v>
      </c>
      <c r="H107" s="5" t="s">
        <v>4593</v>
      </c>
      <c r="I107" s="5" t="s">
        <v>4594</v>
      </c>
      <c r="J107" s="5" t="s">
        <v>4595</v>
      </c>
      <c r="K107" s="5" t="s">
        <v>4596</v>
      </c>
      <c r="L107" s="61" t="s">
        <v>4440</v>
      </c>
      <c r="M107" s="116" t="s">
        <v>809</v>
      </c>
      <c r="N107" s="116" t="s">
        <v>809</v>
      </c>
      <c r="O107" s="78"/>
      <c r="P107" s="61" t="str">
        <f aca="false">IF(ISNUMBER(D107),IF(AND(ISNUMBER(M107),ISNUMBER(N107)),IF(M107=N107,IF(ABS(D107/M107-1)&lt;=L1_JudgeTol,"±"&amp;TEXT(L1_JudgeTol,"0%")&amp;" 內","差距 &gt;"&amp;TEXT(L1_JudgeTol,"0%")),IF(D107&lt;M107,"低於外部區間",IF(D107&gt;N107,"高於外部區間","落在外部區間"))),"無外部對照"),"推算值非數字（本情境）")</f>
        <v>無外部對照</v>
      </c>
      <c r="Q107" s="62" t="s">
        <v>4590</v>
      </c>
      <c r="R107" s="62" t="s">
        <v>4556</v>
      </c>
      <c r="S107" s="5" t="s">
        <v>4597</v>
      </c>
      <c r="T107" s="60" t="s">
        <v>4003</v>
      </c>
      <c r="U107" s="93" t="s">
        <v>4598</v>
      </c>
    </row>
    <row r="108" customFormat="false" ht="58.2" hidden="false" customHeight="false" outlineLevel="0" collapsed="false">
      <c r="A108" s="62" t="s">
        <v>4599</v>
      </c>
      <c r="B108" s="6" t="s">
        <v>4600</v>
      </c>
      <c r="C108" s="6" t="s">
        <v>4601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2082</v>
      </c>
      <c r="H108" s="5" t="s">
        <v>4602</v>
      </c>
      <c r="I108" s="5" t="s">
        <v>4603</v>
      </c>
      <c r="J108" s="5" t="s">
        <v>4604</v>
      </c>
      <c r="K108" s="6" t="s">
        <v>4605</v>
      </c>
      <c r="L108" s="62" t="s">
        <v>4024</v>
      </c>
      <c r="M108" s="94" t="n">
        <f aca="false">SRC_MOD_055_Lo</f>
        <v>5E+026</v>
      </c>
      <c r="N108" s="94" t="n">
        <f aca="false">SRC_MOD_055_Hi</f>
        <v>2E+027</v>
      </c>
      <c r="O108" s="78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IF(ISNUMBER(D108),IF(AND(ISNUMBER(M108),ISNUMBER(N108)),IF(M108=N108,IF(ABS(D108/M108-1)&lt;=L1_JudgeTol,"±"&amp;TEXT(L1_JudgeTol,"0%")&amp;" 內","差距 &gt;"&amp;TEXT(L1_JudgeTol,"0%")),IF(D108&lt;M108,"低於外部區間",IF(D108&gt;N108,"高於外部區間","落在外部區間"))),"無外部對照"),"推算值非數字（本情境）")</f>
        <v>低於外部區間</v>
      </c>
      <c r="Q108" s="62" t="s">
        <v>4599</v>
      </c>
      <c r="R108" s="62" t="s">
        <v>4556</v>
      </c>
      <c r="S108" s="5" t="s">
        <v>4480</v>
      </c>
      <c r="T108" s="60" t="s">
        <v>3983</v>
      </c>
      <c r="U108" s="88" t="s">
        <v>4606</v>
      </c>
      <c r="V108" s="65" t="s">
        <v>4607</v>
      </c>
    </row>
    <row r="109" customFormat="false" ht="58.2" hidden="false" customHeight="false" outlineLevel="0" collapsed="false">
      <c r="A109" s="62" t="s">
        <v>4608</v>
      </c>
      <c r="B109" s="6" t="s">
        <v>4609</v>
      </c>
      <c r="C109" s="6" t="s">
        <v>4601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2082</v>
      </c>
      <c r="H109" s="5" t="s">
        <v>4602</v>
      </c>
      <c r="I109" s="5" t="s">
        <v>4603</v>
      </c>
      <c r="J109" s="5" t="s">
        <v>4604</v>
      </c>
      <c r="K109" s="6" t="s">
        <v>4605</v>
      </c>
      <c r="L109" s="62" t="s">
        <v>4024</v>
      </c>
      <c r="M109" s="94" t="n">
        <f aca="false">SRC_MOD_055_Lo</f>
        <v>5E+026</v>
      </c>
      <c r="N109" s="94" t="n">
        <f aca="false">SRC_MOD_055_Hi</f>
        <v>2E+027</v>
      </c>
      <c r="O109" s="78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IF(ISNUMBER(D109),IF(AND(ISNUMBER(M109),ISNUMBER(N109)),IF(M109=N109,IF(ABS(D109/M109-1)&lt;=L1_JudgeTol,"±"&amp;TEXT(L1_JudgeTol,"0%")&amp;" 內","差距 &gt;"&amp;TEXT(L1_JudgeTol,"0%")),IF(D109&lt;M109,"低於外部區間",IF(D109&gt;N109,"高於外部區間","落在外部區間"))),"無外部對照"),"推算值非數字（本情境）")</f>
        <v>低於外部區間</v>
      </c>
      <c r="Q109" s="62" t="s">
        <v>4608</v>
      </c>
      <c r="R109" s="62" t="s">
        <v>4556</v>
      </c>
      <c r="S109" s="5" t="s">
        <v>4480</v>
      </c>
      <c r="T109" s="60" t="s">
        <v>3983</v>
      </c>
      <c r="U109" s="88" t="s">
        <v>4606</v>
      </c>
      <c r="V109" s="65" t="s">
        <v>4610</v>
      </c>
    </row>
    <row r="110" customFormat="false" ht="58.2" hidden="false" customHeight="false" outlineLevel="0" collapsed="false">
      <c r="A110" s="62" t="s">
        <v>4611</v>
      </c>
      <c r="B110" s="6" t="s">
        <v>4612</v>
      </c>
      <c r="C110" s="6" t="s">
        <v>4601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2082</v>
      </c>
      <c r="H110" s="5" t="s">
        <v>4602</v>
      </c>
      <c r="I110" s="5" t="s">
        <v>4603</v>
      </c>
      <c r="J110" s="5" t="s">
        <v>4604</v>
      </c>
      <c r="K110" s="6" t="s">
        <v>4605</v>
      </c>
      <c r="L110" s="62" t="s">
        <v>4024</v>
      </c>
      <c r="M110" s="94" t="n">
        <f aca="false">SRC_MOD_055_Lo</f>
        <v>5E+026</v>
      </c>
      <c r="N110" s="94" t="n">
        <f aca="false">SRC_MOD_055_Hi</f>
        <v>2E+027</v>
      </c>
      <c r="O110" s="78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IF(ISNUMBER(D110),IF(AND(ISNUMBER(M110),ISNUMBER(N110)),IF(M110=N110,IF(ABS(D110/M110-1)&lt;=L1_JudgeTol,"±"&amp;TEXT(L1_JudgeTol,"0%")&amp;" 內","差距 &gt;"&amp;TEXT(L1_JudgeTol,"0%")),IF(D110&lt;M110,"低於外部區間",IF(D110&gt;N110,"高於外部區間","落在外部區間"))),"無外部對照"),"推算值非數字（本情境）")</f>
        <v>低於外部區間</v>
      </c>
      <c r="Q110" s="62" t="s">
        <v>4611</v>
      </c>
      <c r="R110" s="62" t="s">
        <v>4556</v>
      </c>
      <c r="S110" s="5" t="s">
        <v>4480</v>
      </c>
      <c r="T110" s="60" t="s">
        <v>3983</v>
      </c>
      <c r="U110" s="88" t="s">
        <v>4606</v>
      </c>
      <c r="V110" s="65" t="s">
        <v>4613</v>
      </c>
    </row>
    <row r="111" customFormat="false" ht="72.35" hidden="false" customHeight="false" outlineLevel="0" collapsed="false">
      <c r="A111" s="62" t="s">
        <v>4614</v>
      </c>
      <c r="B111" s="5" t="s">
        <v>4615</v>
      </c>
      <c r="C111" s="6" t="s">
        <v>4616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2" t="s">
        <v>132</v>
      </c>
      <c r="H111" s="5" t="s">
        <v>4617</v>
      </c>
      <c r="I111" s="6" t="s">
        <v>4618</v>
      </c>
      <c r="J111" s="6" t="s">
        <v>4619</v>
      </c>
      <c r="K111" s="5" t="s">
        <v>4620</v>
      </c>
      <c r="L111" s="61" t="s">
        <v>4480</v>
      </c>
      <c r="M111" s="116" t="s">
        <v>809</v>
      </c>
      <c r="N111" s="116" t="s">
        <v>809</v>
      </c>
      <c r="O111" s="78"/>
      <c r="P111" s="61" t="str">
        <f aca="false">IF(ISNUMBER(D111),IF(AND(ISNUMBER(M111),ISNUMBER(N111)),IF(M111=N111,IF(ABS(D111/M111-1)&lt;=L1_JudgeTol,"±"&amp;TEXT(L1_JudgeTol,"0%")&amp;" 內","差距 &gt;"&amp;TEXT(L1_JudgeTol,"0%")),IF(D111&lt;M111,"低於外部區間",IF(D111&gt;N111,"高於外部區間","落在外部區間"))),"無外部對照"),"推算值非數字（本情境）")</f>
        <v>無外部對照</v>
      </c>
      <c r="Q111" s="62" t="s">
        <v>4614</v>
      </c>
      <c r="R111" s="62" t="s">
        <v>4614</v>
      </c>
      <c r="S111" s="6" t="s">
        <v>4621</v>
      </c>
      <c r="T111" s="60" t="s">
        <v>4241</v>
      </c>
      <c r="U111" s="93" t="s">
        <v>4622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4623</v>
      </c>
    </row>
    <row r="2" customFormat="false" ht="15" hidden="false" customHeight="false" outlineLevel="0" collapsed="false">
      <c r="A2" s="59" t="s">
        <v>4624</v>
      </c>
    </row>
    <row r="3" customFormat="false" ht="15" hidden="false" customHeight="false" outlineLevel="0" collapsed="false">
      <c r="A3" s="65" t="s">
        <v>4625</v>
      </c>
      <c r="C3" s="62" t="s">
        <v>4626</v>
      </c>
    </row>
    <row r="4" customFormat="false" ht="58.2" hidden="false" customHeight="false" outlineLevel="0" collapsed="false">
      <c r="A4" s="85" t="s">
        <v>4627</v>
      </c>
      <c r="B4" s="84" t="s">
        <v>12</v>
      </c>
      <c r="C4" s="84" t="s">
        <v>4628</v>
      </c>
      <c r="D4" s="84" t="s">
        <v>4629</v>
      </c>
      <c r="E4" s="84" t="s">
        <v>4630</v>
      </c>
      <c r="F4" s="84" t="s">
        <v>1433</v>
      </c>
      <c r="G4" s="84" t="s">
        <v>1434</v>
      </c>
      <c r="H4" s="85" t="s">
        <v>4631</v>
      </c>
      <c r="I4" s="85" t="s">
        <v>4632</v>
      </c>
      <c r="J4" s="84" t="s">
        <v>4633</v>
      </c>
      <c r="K4" s="84" t="s">
        <v>4634</v>
      </c>
      <c r="L4" s="84" t="s">
        <v>4635</v>
      </c>
      <c r="M4" s="84" t="s">
        <v>4636</v>
      </c>
      <c r="N4" s="84" t="s">
        <v>4637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20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8" t="s">
        <v>4638</v>
      </c>
      <c r="K5" s="220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4639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20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8" t="s">
        <v>4640</v>
      </c>
      <c r="K6" s="220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4641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20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8" t="s">
        <v>4642</v>
      </c>
      <c r="K7" s="220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4643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20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8" t="s">
        <v>4644</v>
      </c>
      <c r="K8" s="220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4645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20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8" t="s">
        <v>4646</v>
      </c>
      <c r="K9" s="220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4647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20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8" t="s">
        <v>4640</v>
      </c>
      <c r="K10" s="220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4648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20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n">
        <f aca="false">Gov_Map!$T$249</f>
        <v>1</v>
      </c>
      <c r="J11" s="88" t="s">
        <v>4649</v>
      </c>
      <c r="K11" s="220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4650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20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n">
        <f aca="false">Gov_Map!$T$250</f>
        <v>1</v>
      </c>
      <c r="J12" s="88" t="s">
        <v>4649</v>
      </c>
      <c r="K12" s="220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4651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20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n">
        <f aca="false">Gov_Map!$T$251</f>
        <v>1</v>
      </c>
      <c r="J13" s="88" t="s">
        <v>4649</v>
      </c>
      <c r="K13" s="220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4652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20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n">
        <f aca="false">Gov_Map!$T$252</f>
        <v>1</v>
      </c>
      <c r="J14" s="88" t="s">
        <v>4649</v>
      </c>
      <c r="K14" s="220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4653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20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n">
        <f aca="false">Gov_Map!$T$253</f>
        <v>1</v>
      </c>
      <c r="J15" s="88" t="s">
        <v>4649</v>
      </c>
      <c r="K15" s="220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4654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20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n">
        <f aca="false">Gov_Map!$T$254</f>
        <v>1</v>
      </c>
      <c r="J16" s="88" t="s">
        <v>4649</v>
      </c>
      <c r="K16" s="220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4655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20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8" t="s">
        <v>4656</v>
      </c>
      <c r="K17" s="220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4657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20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8" t="s">
        <v>4656</v>
      </c>
      <c r="K18" s="220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4658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20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8" t="s">
        <v>4656</v>
      </c>
      <c r="K19" s="220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4659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20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8" t="s">
        <v>4656</v>
      </c>
      <c r="K20" s="220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4660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20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8" t="s">
        <v>4656</v>
      </c>
      <c r="K21" s="220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4661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20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8" t="s">
        <v>4656</v>
      </c>
      <c r="K22" s="220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4662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20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8" t="s">
        <v>4656</v>
      </c>
      <c r="K23" s="220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4663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20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8" t="s">
        <v>4656</v>
      </c>
      <c r="K24" s="220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4664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20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8" t="s">
        <v>4656</v>
      </c>
      <c r="K25" s="220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4665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20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8" t="s">
        <v>4656</v>
      </c>
      <c r="K26" s="220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4666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20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8" t="s">
        <v>4656</v>
      </c>
      <c r="K27" s="220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4667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20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8" t="s">
        <v>4656</v>
      </c>
      <c r="K28" s="220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4668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20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8" t="s">
        <v>4656</v>
      </c>
      <c r="K29" s="220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4669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20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8" t="s">
        <v>4640</v>
      </c>
      <c r="K30" s="220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4670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20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8" t="s">
        <v>4640</v>
      </c>
      <c r="K31" s="220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4671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20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8" t="s">
        <v>4640</v>
      </c>
      <c r="K32" s="220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4672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20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8" t="s">
        <v>4640</v>
      </c>
      <c r="K33" s="220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4673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20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8" t="s">
        <v>4640</v>
      </c>
      <c r="K34" s="220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4674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Gov_Map!$A$350</f>
        <v>GM346</v>
      </c>
      <c r="B35" s="92" t="str">
        <f aca="false">Gov_Map!$C$350</f>
        <v>Calib</v>
      </c>
      <c r="C35" s="92" t="str">
        <f aca="false">Gov_Map!$D$350</f>
        <v>C68</v>
      </c>
      <c r="D35" s="220" t="str">
        <f aca="false">Gov_Map!$E$350</f>
        <v>每層延遲倍數</v>
      </c>
      <c r="E35" s="92" t="str">
        <f aca="false">Gov_Map!$F$350</f>
        <v>Assumed</v>
      </c>
      <c r="F35" s="92" t="n">
        <f aca="false">Gov_Map!$K$350</f>
        <v>1</v>
      </c>
      <c r="G35" s="92" t="n">
        <f aca="false">Gov_Map!$L$350</f>
        <v>1.5</v>
      </c>
      <c r="H35" s="92" t="str">
        <f aca="false">Gov_Map!$P$350</f>
        <v>高</v>
      </c>
      <c r="I35" s="92" t="str">
        <f aca="false">Gov_Map!$T$350</f>
        <v>—</v>
      </c>
      <c r="J35" s="88" t="s">
        <v>4640</v>
      </c>
      <c r="K35" s="220" t="str">
        <f aca="false">IF(Gov_Map!$AK$350="","—",Gov_Map!$AK$350)</f>
        <v>—</v>
      </c>
      <c r="L35" s="92" t="str">
        <f aca="false">IF(ISNUMBER(Gov_Map!$AF$350),INDEX(IDX_SrcDate,Gov_Map!$AF$350),"—")</f>
        <v>—</v>
      </c>
      <c r="M35" s="93" t="s">
        <v>4675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Gov_Map!$A$351</f>
        <v>GM347</v>
      </c>
      <c r="B36" s="92" t="str">
        <f aca="false">Gov_Map!$C$351</f>
        <v>Calib</v>
      </c>
      <c r="C36" s="92" t="str">
        <f aca="false">Gov_Map!$D$351</f>
        <v>D68</v>
      </c>
      <c r="D36" s="220" t="str">
        <f aca="false">Gov_Map!$E$351</f>
        <v>每層延遲倍數</v>
      </c>
      <c r="E36" s="92" t="str">
        <f aca="false">Gov_Map!$F$351</f>
        <v>Assumed</v>
      </c>
      <c r="F36" s="92" t="n">
        <f aca="false">Gov_Map!$K$351</f>
        <v>1</v>
      </c>
      <c r="G36" s="92" t="n">
        <f aca="false">Gov_Map!$L$351</f>
        <v>1.5</v>
      </c>
      <c r="H36" s="92" t="str">
        <f aca="false">Gov_Map!$P$351</f>
        <v>高</v>
      </c>
      <c r="I36" s="92" t="str">
        <f aca="false">Gov_Map!$T$351</f>
        <v>—</v>
      </c>
      <c r="J36" s="88" t="s">
        <v>4640</v>
      </c>
      <c r="K36" s="220" t="str">
        <f aca="false">IF(Gov_Map!$AK$351="","—",Gov_Map!$AK$351)</f>
        <v>—</v>
      </c>
      <c r="L36" s="92" t="str">
        <f aca="false">IF(ISNUMBER(Gov_Map!$AF$351),INDEX(IDX_SrcDate,Gov_Map!$AF$351),"—")</f>
        <v>—</v>
      </c>
      <c r="M36" s="93" t="s">
        <v>4676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Gov_Map!$A$352</f>
        <v>GM348</v>
      </c>
      <c r="B37" s="92" t="str">
        <f aca="false">Gov_Map!$C$352</f>
        <v>Calib</v>
      </c>
      <c r="C37" s="92" t="str">
        <f aca="false">Gov_Map!$D$352</f>
        <v>E68</v>
      </c>
      <c r="D37" s="220" t="str">
        <f aca="false">Gov_Map!$E$352</f>
        <v>每層延遲倍數</v>
      </c>
      <c r="E37" s="92" t="str">
        <f aca="false">Gov_Map!$F$352</f>
        <v>Assumed</v>
      </c>
      <c r="F37" s="92" t="n">
        <f aca="false">Gov_Map!$K$352</f>
        <v>1</v>
      </c>
      <c r="G37" s="92" t="n">
        <f aca="false">Gov_Map!$L$352</f>
        <v>1.5</v>
      </c>
      <c r="H37" s="92" t="str">
        <f aca="false">Gov_Map!$P$352</f>
        <v>高</v>
      </c>
      <c r="I37" s="92" t="str">
        <f aca="false">Gov_Map!$T$352</f>
        <v>—</v>
      </c>
      <c r="J37" s="88" t="s">
        <v>4640</v>
      </c>
      <c r="K37" s="220" t="str">
        <f aca="false">IF(Gov_Map!$AK$352="","—",Gov_Map!$AK$352)</f>
        <v>—</v>
      </c>
      <c r="L37" s="92" t="str">
        <f aca="false">IF(ISNUMBER(Gov_Map!$AF$352),INDEX(IDX_SrcDate,Gov_Map!$AF$352),"—")</f>
        <v>—</v>
      </c>
      <c r="M37" s="93" t="s">
        <v>4677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Gov_Map!$A$353</f>
        <v>GM349</v>
      </c>
      <c r="B38" s="92" t="str">
        <f aca="false">Gov_Map!$C$353</f>
        <v>Calib</v>
      </c>
      <c r="C38" s="92" t="str">
        <f aca="false">Gov_Map!$D$353</f>
        <v>F68</v>
      </c>
      <c r="D38" s="220" t="str">
        <f aca="false">Gov_Map!$E$353</f>
        <v>每層延遲倍數</v>
      </c>
      <c r="E38" s="92" t="str">
        <f aca="false">Gov_Map!$F$353</f>
        <v>Assumed</v>
      </c>
      <c r="F38" s="92" t="n">
        <f aca="false">Gov_Map!$K$353</f>
        <v>1</v>
      </c>
      <c r="G38" s="92" t="n">
        <f aca="false">Gov_Map!$L$353</f>
        <v>1.5</v>
      </c>
      <c r="H38" s="92" t="str">
        <f aca="false">Gov_Map!$P$353</f>
        <v>高</v>
      </c>
      <c r="I38" s="92" t="str">
        <f aca="false">Gov_Map!$T$353</f>
        <v>—</v>
      </c>
      <c r="J38" s="88" t="s">
        <v>4640</v>
      </c>
      <c r="K38" s="220" t="str">
        <f aca="false">IF(Gov_Map!$AK$353="","—",Gov_Map!$AK$353)</f>
        <v>—</v>
      </c>
      <c r="L38" s="92" t="str">
        <f aca="false">IF(ISNUMBER(Gov_Map!$AF$353),INDEX(IDX_SrcDate,Gov_Map!$AF$353),"—")</f>
        <v>—</v>
      </c>
      <c r="M38" s="93" t="s">
        <v>4678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Gov_Map!$A$354</f>
        <v>GM350</v>
      </c>
      <c r="B39" s="92" t="str">
        <f aca="false">Gov_Map!$C$354</f>
        <v>Calib</v>
      </c>
      <c r="C39" s="92" t="str">
        <f aca="false">Gov_Map!$D$354</f>
        <v>G68</v>
      </c>
      <c r="D39" s="220" t="str">
        <f aca="false">Gov_Map!$E$354</f>
        <v>每層延遲倍數</v>
      </c>
      <c r="E39" s="92" t="str">
        <f aca="false">Gov_Map!$F$354</f>
        <v>Assumed</v>
      </c>
      <c r="F39" s="92" t="n">
        <f aca="false">Gov_Map!$K$354</f>
        <v>1</v>
      </c>
      <c r="G39" s="92" t="n">
        <f aca="false">Gov_Map!$L$354</f>
        <v>1.5</v>
      </c>
      <c r="H39" s="92" t="str">
        <f aca="false">Gov_Map!$P$354</f>
        <v>高</v>
      </c>
      <c r="I39" s="92" t="str">
        <f aca="false">Gov_Map!$T$354</f>
        <v>—</v>
      </c>
      <c r="J39" s="88" t="s">
        <v>4640</v>
      </c>
      <c r="K39" s="220" t="str">
        <f aca="false">IF(Gov_Map!$AK$354="","—",Gov_Map!$AK$354)</f>
        <v>—</v>
      </c>
      <c r="L39" s="92" t="str">
        <f aca="false">IF(ISNUMBER(Gov_Map!$AF$354),INDEX(IDX_SrcDate,Gov_Map!$AF$354),"—")</f>
        <v>—</v>
      </c>
      <c r="M39" s="93" t="s">
        <v>4679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69.4" hidden="false" customHeight="false" outlineLevel="0" collapsed="false">
      <c r="A40" s="92" t="str">
        <f aca="false">Gov_Map!$A$358</f>
        <v>GM354</v>
      </c>
      <c r="B40" s="92" t="str">
        <f aca="false">Gov_Map!$C$358</f>
        <v>Calib</v>
      </c>
      <c r="C40" s="92" t="str">
        <f aca="false">Gov_Map!$D$358</f>
        <v>F69</v>
      </c>
      <c r="D40" s="220" t="str">
        <f aca="false">Gov_Map!$E$358</f>
        <v>η_p 倍數</v>
      </c>
      <c r="E40" s="92" t="str">
        <f aca="false">Gov_Map!$F$358</f>
        <v>Assumed</v>
      </c>
      <c r="F40" s="92" t="n">
        <f aca="false">Gov_Map!$K$358</f>
        <v>0.5</v>
      </c>
      <c r="G40" s="92" t="n">
        <f aca="false">Gov_Map!$L$358</f>
        <v>1.5</v>
      </c>
      <c r="H40" s="92" t="str">
        <f aca="false">Gov_Map!$P$358</f>
        <v>高</v>
      </c>
      <c r="I40" s="92" t="str">
        <f aca="false">Gov_Map!$T$358</f>
        <v>—</v>
      </c>
      <c r="J40" s="88" t="s">
        <v>4640</v>
      </c>
      <c r="K40" s="220" t="str">
        <f aca="false">IF(Gov_Map!$AK$358="","—",Gov_Map!$AK$358)</f>
        <v>—</v>
      </c>
      <c r="L40" s="92" t="str">
        <f aca="false">IF(ISNUMBER(Gov_Map!$AF$358),INDEX(IDX_SrcDate,Gov_Map!$AF$358),"—")</f>
        <v>—</v>
      </c>
      <c r="M40" s="93" t="s">
        <v>4680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Gov_Map!$A$458</f>
        <v>GM454</v>
      </c>
      <c r="B41" s="92" t="str">
        <f aca="false">Gov_Map!$C$458</f>
        <v>Cap_In</v>
      </c>
      <c r="C41" s="92" t="str">
        <f aca="false">Gov_Map!$D$458</f>
        <v>D28:E28</v>
      </c>
      <c r="D41" s="220" t="str">
        <f aca="false">Gov_Map!$E$458</f>
        <v>對外服務占機隊</v>
      </c>
      <c r="E41" s="92" t="str">
        <f aca="false">Gov_Map!$F$458</f>
        <v>Assumed</v>
      </c>
      <c r="F41" s="92" t="n">
        <f aca="false">Gov_Map!$K$458</f>
        <v>0</v>
      </c>
      <c r="G41" s="92" t="n">
        <f aca="false">Gov_Map!$L$458</f>
        <v>0</v>
      </c>
      <c r="H41" s="92" t="str">
        <f aca="false">Gov_Map!$P$458</f>
        <v>高</v>
      </c>
      <c r="I41" s="92" t="str">
        <f aca="false">Gov_Map!$T$458</f>
        <v>—</v>
      </c>
      <c r="J41" s="88" t="s">
        <v>809</v>
      </c>
      <c r="K41" s="220" t="str">
        <f aca="false">IF(Gov_Map!$AK$458="","—",Gov_Map!$AK$458)</f>
        <v>—</v>
      </c>
      <c r="L41" s="92" t="str">
        <f aca="false">IF(ISNUMBER(Gov_Map!$AF$458),INDEX(IDX_SrcDate,Gov_Map!$AF$458),"—")</f>
        <v>—</v>
      </c>
      <c r="M41" s="93" t="s">
        <v>4681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39.55" hidden="false" customHeight="false" outlineLevel="0" collapsed="false">
      <c r="A42" s="92" t="str">
        <f aca="false">Gov_Map!$A$460</f>
        <v>GM456</v>
      </c>
      <c r="B42" s="92" t="str">
        <f aca="false">Gov_Map!$C$460</f>
        <v>Cap_In</v>
      </c>
      <c r="C42" s="92" t="str">
        <f aca="false">Gov_Map!$D$460</f>
        <v>D29:E29</v>
      </c>
      <c r="D42" s="220" t="str">
        <f aca="false">Gov_Map!$E$460</f>
        <v>其中免費服務占服務</v>
      </c>
      <c r="E42" s="92" t="str">
        <f aca="false">Gov_Map!$F$460</f>
        <v>Assumed</v>
      </c>
      <c r="F42" s="92" t="n">
        <f aca="false">Gov_Map!$K$460</f>
        <v>0</v>
      </c>
      <c r="G42" s="92" t="n">
        <f aca="false">Gov_Map!$L$460</f>
        <v>0</v>
      </c>
      <c r="H42" s="92" t="str">
        <f aca="false">Gov_Map!$P$460</f>
        <v>高</v>
      </c>
      <c r="I42" s="92" t="str">
        <f aca="false">Gov_Map!$T$460</f>
        <v>—</v>
      </c>
      <c r="J42" s="88" t="s">
        <v>809</v>
      </c>
      <c r="K42" s="220" t="str">
        <f aca="false">IF(Gov_Map!$AK$460="","—",Gov_Map!$AK$460)</f>
        <v>—</v>
      </c>
      <c r="L42" s="92" t="str">
        <f aca="false">IF(ISNUMBER(Gov_Map!$AF$460),INDEX(IDX_SrcDate,Gov_Map!$AF$460),"—")</f>
        <v>—</v>
      </c>
      <c r="M42" s="93" t="s">
        <v>4682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62.65" hidden="false" customHeight="false" outlineLevel="0" collapsed="false">
      <c r="A43" s="92" t="str">
        <f aca="false">Gov_Map!$A$463</f>
        <v>GM459</v>
      </c>
      <c r="B43" s="92" t="str">
        <f aca="false">Gov_Map!$C$463</f>
        <v>Cap_In</v>
      </c>
      <c r="C43" s="92" t="str">
        <f aca="false">Gov_Map!$D$463</f>
        <v>C36</v>
      </c>
      <c r="D43" s="220" t="str">
        <f aca="false">Gov_Map!$E$463</f>
        <v>儲存層（1＝SSD；2＝DRAM；3＝HBM）</v>
      </c>
      <c r="E43" s="92" t="str">
        <f aca="false">Gov_Map!$F$463</f>
        <v>Assumed</v>
      </c>
      <c r="F43" s="90" t="n">
        <f aca="false">Gov_Map!$K$463</f>
        <v>1</v>
      </c>
      <c r="G43" s="90" t="n">
        <f aca="false">Gov_Map!$L$463</f>
        <v>3</v>
      </c>
      <c r="H43" s="92" t="str">
        <f aca="false">Gov_Map!$P$463</f>
        <v>高</v>
      </c>
      <c r="I43" s="92" t="str">
        <f aca="false">Gov_Map!$T$463</f>
        <v>—</v>
      </c>
      <c r="J43" s="88" t="s">
        <v>4683</v>
      </c>
      <c r="K43" s="220" t="str">
        <f aca="false">IF(Gov_Map!$AK$463="","—",Gov_Map!$AK$463)</f>
        <v>—</v>
      </c>
      <c r="L43" s="92" t="str">
        <f aca="false">IF(ISNUMBER(Gov_Map!$AF$463),INDEX(IDX_SrcDate,Gov_Map!$AF$463),"—")</f>
        <v>—</v>
      </c>
      <c r="M43" s="93" t="s">
        <v>4684</v>
      </c>
      <c r="N43" s="105" t="str">
        <f aca="false">IF(AND(ISTEXT(L43),LEN(L43)=10),IF(ISNUMBER(VALUE(SUBSTITUTE(L43,"-",""))),DATE(VALUE(LEFT($C$3,4)),VALUE(MID($C$3,6,2)),VALUE(RIGHT($C$3,2)))-DATE(VALUE(LEFT(L43,4)),VALUE(MID(L43,6,2)),VALUE(RIGHT(L43,2))),"—"),"—")</f>
        <v>—</v>
      </c>
    </row>
    <row r="44" customFormat="false" ht="52.2" hidden="false" customHeight="false" outlineLevel="0" collapsed="false">
      <c r="A44" s="92" t="str">
        <f aca="false">Gov_Map!$A$523</f>
        <v>GM519</v>
      </c>
      <c r="B44" s="92" t="str">
        <f aca="false">Gov_Map!$C$523</f>
        <v>Train_In</v>
      </c>
      <c r="C44" s="92" t="str">
        <f aca="false">Gov_Map!$D$523</f>
        <v>C6</v>
      </c>
      <c r="D44" s="220" t="str">
        <f aca="false">Gov_Map!$E$523</f>
        <v>預訓練 MFU 基準（FP8 分母；GB200／GB300）</v>
      </c>
      <c r="E44" s="92" t="str">
        <f aca="false">Gov_Map!$F$523</f>
        <v>Analogy</v>
      </c>
      <c r="F44" s="92" t="n">
        <f aca="false">Gov_Map!$K$523</f>
        <v>0.18</v>
      </c>
      <c r="G44" s="92" t="n">
        <f aca="false">Gov_Map!$L$523</f>
        <v>0.35</v>
      </c>
      <c r="H44" s="92" t="str">
        <f aca="false">Gov_Map!$P$523</f>
        <v>高</v>
      </c>
      <c r="I44" s="92" t="n">
        <f aca="false">Gov_Map!$T$523</f>
        <v>1</v>
      </c>
      <c r="J44" s="88" t="s">
        <v>4685</v>
      </c>
      <c r="K44" s="220" t="str">
        <f aca="false">IF(Gov_Map!$AK$523="","—",Gov_Map!$AK$523)</f>
        <v>—</v>
      </c>
      <c r="L44" s="92" t="str">
        <f aca="false">IF(ISNUMBER(Gov_Map!$AF$523),INDEX(IDX_SrcDate,Gov_Map!$AF$523),"—")</f>
        <v>2026-10-05</v>
      </c>
      <c r="M44" s="93" t="s">
        <v>4686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52.2" hidden="false" customHeight="false" outlineLevel="0" collapsed="false">
      <c r="A45" s="92" t="str">
        <f aca="false">Gov_Map!$A$524</f>
        <v>GM520</v>
      </c>
      <c r="B45" s="92" t="str">
        <f aca="false">Gov_Map!$C$524</f>
        <v>Train_In</v>
      </c>
      <c r="C45" s="92" t="str">
        <f aca="false">Gov_Map!$D$524</f>
        <v>C7</v>
      </c>
      <c r="D45" s="220" t="str">
        <f aca="false">Gov_Map!$E$524</f>
        <v>goodput（扣除故障、重啟、checkpoint 的有效時間比）</v>
      </c>
      <c r="E45" s="92" t="str">
        <f aca="false">Gov_Map!$F$524</f>
        <v>Analogy</v>
      </c>
      <c r="F45" s="92" t="n">
        <f aca="false">Gov_Map!$K$524</f>
        <v>0.8</v>
      </c>
      <c r="G45" s="92" t="n">
        <f aca="false">Gov_Map!$L$524</f>
        <v>0.95</v>
      </c>
      <c r="H45" s="92" t="str">
        <f aca="false">Gov_Map!$P$524</f>
        <v>高</v>
      </c>
      <c r="I45" s="92" t="n">
        <f aca="false">Gov_Map!$T$524</f>
        <v>1</v>
      </c>
      <c r="J45" s="88" t="s">
        <v>4685</v>
      </c>
      <c r="K45" s="220" t="str">
        <f aca="false">IF(Gov_Map!$AK$524="","—",Gov_Map!$AK$524)</f>
        <v>—</v>
      </c>
      <c r="L45" s="92" t="str">
        <f aca="false">IF(ISNUMBER(Gov_Map!$AF$524),INDEX(IDX_SrcDate,Gov_Map!$AF$524),"—")</f>
        <v>2026-10-05</v>
      </c>
      <c r="M45" s="93" t="s">
        <v>4687</v>
      </c>
      <c r="N45" s="105" t="n">
        <f aca="false">IF(AND(ISTEXT(L45),LEN(L45)=10),IF(ISNUMBER(VALUE(SUBSTITUTE(L45,"-",""))),DATE(VALUE(LEFT($C$3,4)),VALUE(MID($C$3,6,2)),VALUE(RIGHT($C$3,2)))-DATE(VALUE(LEFT(L45,4)),VALUE(MID(L45,6,2)),VALUE(RIGHT(L45,2))),"—"),"—")</f>
        <v>3</v>
      </c>
    </row>
    <row r="46" customFormat="false" ht="39.55" hidden="false" customHeight="false" outlineLevel="0" collapsed="false">
      <c r="A46" s="92" t="str">
        <f aca="false">Gov_Map!$A$530</f>
        <v>GM526</v>
      </c>
      <c r="B46" s="92" t="str">
        <f aca="false">Gov_Map!$C$530</f>
        <v>Train_In</v>
      </c>
      <c r="C46" s="92" t="str">
        <f aca="false">Gov_Map!$D$530</f>
        <v>C13</v>
      </c>
      <c r="D46" s="220" t="str">
        <f aca="false">Gov_Map!$E$530</f>
        <v>研發倍數（研發總 GPU 小時 ÷ 最終訓練）</v>
      </c>
      <c r="E46" s="92" t="str">
        <f aca="false">Gov_Map!$F$530</f>
        <v>Analogy</v>
      </c>
      <c r="F46" s="111" t="n">
        <f aca="false">Gov_Map!$K$530</f>
        <v>4.4</v>
      </c>
      <c r="G46" s="111" t="n">
        <f aca="false">Gov_Map!$L$530</f>
        <v>10.4</v>
      </c>
      <c r="H46" s="92" t="str">
        <f aca="false">Gov_Map!$P$530</f>
        <v>高</v>
      </c>
      <c r="I46" s="92" t="n">
        <f aca="false">Gov_Map!$T$530</f>
        <v>1</v>
      </c>
      <c r="J46" s="88" t="s">
        <v>4688</v>
      </c>
      <c r="K46" s="220" t="str">
        <f aca="false">IF(Gov_Map!$AK$530="","—",Gov_Map!$AK$530)</f>
        <v>—</v>
      </c>
      <c r="L46" s="92" t="str">
        <f aca="false">IF(ISNUMBER(Gov_Map!$AF$530),INDEX(IDX_SrcDate,Gov_Map!$AF$530),"—")</f>
        <v>—</v>
      </c>
      <c r="M46" s="93" t="s">
        <v>4689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52.2" hidden="false" customHeight="false" outlineLevel="0" collapsed="false">
      <c r="A47" s="92" t="str">
        <f aca="false">Gov_Map!$A$534</f>
        <v>GM530</v>
      </c>
      <c r="B47" s="92" t="str">
        <f aca="false">Gov_Map!$C$534</f>
        <v>Train_In</v>
      </c>
      <c r="C47" s="92" t="str">
        <f aca="false">Gov_Map!$D$534</f>
        <v>C21:G21</v>
      </c>
      <c r="D47" s="220" t="str">
        <f aca="false">Gov_Map!$E$534</f>
        <v>預訓練 MFU 世代倍數</v>
      </c>
      <c r="E47" s="92" t="str">
        <f aca="false">Gov_Map!$F$534</f>
        <v>Assumed</v>
      </c>
      <c r="F47" s="92" t="n">
        <f aca="false">Gov_Map!$K$534</f>
        <v>0</v>
      </c>
      <c r="G47" s="92" t="n">
        <f aca="false">Gov_Map!$L$534</f>
        <v>0</v>
      </c>
      <c r="H47" s="92" t="str">
        <f aca="false">Gov_Map!$P$534</f>
        <v>高</v>
      </c>
      <c r="I47" s="92" t="str">
        <f aca="false">Gov_Map!$T$534</f>
        <v>—</v>
      </c>
      <c r="J47" s="88" t="s">
        <v>4685</v>
      </c>
      <c r="K47" s="220" t="str">
        <f aca="false">IF(Gov_Map!$AK$534="","—",Gov_Map!$AK$534)</f>
        <v>—</v>
      </c>
      <c r="L47" s="92" t="str">
        <f aca="false">IF(ISNUMBER(Gov_Map!$AF$534),INDEX(IDX_SrcDate,Gov_Map!$AF$534),"—")</f>
        <v>—</v>
      </c>
      <c r="M47" s="93" t="s">
        <v>4690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64.9" hidden="false" customHeight="false" outlineLevel="0" collapsed="false">
      <c r="A48" s="92" t="str">
        <f aca="false">Gov_Map!$A$535</f>
        <v>GM531</v>
      </c>
      <c r="B48" s="92" t="str">
        <f aca="false">Gov_Map!$C$535</f>
        <v>Train_In</v>
      </c>
      <c r="C48" s="92" t="str">
        <f aca="false">Gov_Map!$D$535</f>
        <v>E25</v>
      </c>
      <c r="D48" s="220" t="str">
        <f aca="false">Gov_Map!$E$535</f>
        <v>預訓練 token</v>
      </c>
      <c r="E48" s="92" t="str">
        <f aca="false">Gov_Map!$F$535</f>
        <v>Assumed</v>
      </c>
      <c r="F48" s="92" t="n">
        <f aca="false">Gov_Map!$K$535</f>
        <v>30</v>
      </c>
      <c r="G48" s="92" t="n">
        <f aca="false">Gov_Map!$L$535</f>
        <v>100</v>
      </c>
      <c r="H48" s="92" t="str">
        <f aca="false">Gov_Map!$P$535</f>
        <v>高</v>
      </c>
      <c r="I48" s="92" t="str">
        <f aca="false">Gov_Map!$T$535</f>
        <v>—</v>
      </c>
      <c r="J48" s="88" t="s">
        <v>4691</v>
      </c>
      <c r="K48" s="220" t="str">
        <f aca="false">IF(Gov_Map!$AK$535="","—",Gov_Map!$AK$535)</f>
        <v>—</v>
      </c>
      <c r="L48" s="92" t="str">
        <f aca="false">IF(ISNUMBER(Gov_Map!$AF$535),INDEX(IDX_SrcDate,Gov_Map!$AF$535),"—")</f>
        <v>—</v>
      </c>
      <c r="M48" s="93" t="s">
        <v>4692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52.2" hidden="false" customHeight="false" outlineLevel="0" collapsed="false">
      <c r="A49" s="92" t="str">
        <f aca="false">Gov_Map!$A$544</f>
        <v>GM540</v>
      </c>
      <c r="B49" s="92" t="str">
        <f aca="false">Gov_Map!$C$544</f>
        <v>Train_In</v>
      </c>
      <c r="C49" s="92" t="str">
        <f aca="false">Gov_Map!$D$544</f>
        <v>（停用）C34:E34</v>
      </c>
      <c r="D49" s="220" t="str">
        <f aca="false">Gov_Map!$E$544</f>
        <v>RL rollout 輸出 token（含各領域專家）</v>
      </c>
      <c r="E49" s="92" t="str">
        <f aca="false">Gov_Map!$F$544</f>
        <v>Assumed</v>
      </c>
      <c r="F49" s="92" t="n">
        <f aca="false">Gov_Map!$K$544</f>
        <v>0</v>
      </c>
      <c r="G49" s="92" t="n">
        <f aca="false">Gov_Map!$L$544</f>
        <v>0</v>
      </c>
      <c r="H49" s="92" t="str">
        <f aca="false">Gov_Map!$P$544</f>
        <v>高</v>
      </c>
      <c r="I49" s="92" t="str">
        <f aca="false">Gov_Map!$T$544</f>
        <v>—</v>
      </c>
      <c r="J49" s="88" t="s">
        <v>4693</v>
      </c>
      <c r="K49" s="220" t="str">
        <f aca="false">IF(Gov_Map!$AK$544="","—",Gov_Map!$AK$544)</f>
        <v>—</v>
      </c>
      <c r="L49" s="92" t="str">
        <f aca="false">IF(ISNUMBER(Gov_Map!$AF$544),INDEX(IDX_SrcDate,Gov_Map!$AF$544),"—")</f>
        <v>—</v>
      </c>
      <c r="M49" s="93" t="s">
        <v>4694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Gov_Map!$A$580</f>
        <v>GM576</v>
      </c>
      <c r="B50" s="92" t="str">
        <f aca="false">Gov_Map!$C$580</f>
        <v>Alloc_In</v>
      </c>
      <c r="C50" s="92" t="str">
        <f aca="false">Gov_Map!$D$580</f>
        <v>C6</v>
      </c>
      <c r="D50" s="220" t="str">
        <f aca="false">Gov_Map!$E$580</f>
        <v>家族計畫數 N_major（個／年）</v>
      </c>
      <c r="E50" s="92" t="str">
        <f aca="false">Gov_Map!$F$580</f>
        <v>Assumed</v>
      </c>
      <c r="F50" s="111" t="n">
        <f aca="false">Gov_Map!$K$580</f>
        <v>1</v>
      </c>
      <c r="G50" s="111" t="n">
        <f aca="false">Gov_Map!$L$580</f>
        <v>2</v>
      </c>
      <c r="H50" s="92" t="str">
        <f aca="false">Gov_Map!$P$580</f>
        <v>高</v>
      </c>
      <c r="I50" s="92" t="str">
        <f aca="false">Gov_Map!$T$580</f>
        <v>—</v>
      </c>
      <c r="J50" s="88" t="s">
        <v>4695</v>
      </c>
      <c r="K50" s="220" t="str">
        <f aca="false">IF(Gov_Map!$AK$580="","—",Gov_Map!$AK$580)</f>
        <v>—</v>
      </c>
      <c r="L50" s="92" t="str">
        <f aca="false">IF(ISNUMBER(Gov_Map!$AF$580),INDEX(IDX_SrcDate,Gov_Map!$AF$580),"—")</f>
        <v>—</v>
      </c>
      <c r="M50" s="93" t="s">
        <v>4696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Gov_Map!$A$582</f>
        <v>GM578</v>
      </c>
      <c r="B51" s="92" t="str">
        <f aca="false">Gov_Map!$C$582</f>
        <v>Alloc_In</v>
      </c>
      <c r="C51" s="92" t="str">
        <f aca="false">Gov_Map!$D$582</f>
        <v>C7</v>
      </c>
      <c r="D51" s="220" t="str">
        <f aca="false">Gov_Map!$E$582</f>
        <v>改版計畫數 N_refresh（個／年）</v>
      </c>
      <c r="E51" s="92" t="str">
        <f aca="false">Gov_Map!$F$582</f>
        <v>Assumed</v>
      </c>
      <c r="F51" s="111" t="n">
        <f aca="false">Gov_Map!$K$582</f>
        <v>0</v>
      </c>
      <c r="G51" s="111" t="n">
        <f aca="false">Gov_Map!$L$582</f>
        <v>6</v>
      </c>
      <c r="H51" s="92" t="str">
        <f aca="false">Gov_Map!$P$582</f>
        <v>高</v>
      </c>
      <c r="I51" s="92" t="str">
        <f aca="false">Gov_Map!$T$582</f>
        <v>—</v>
      </c>
      <c r="J51" s="88" t="s">
        <v>4695</v>
      </c>
      <c r="K51" s="220" t="str">
        <f aca="false">IF(Gov_Map!$AK$582="","—",Gov_Map!$AK$582)</f>
        <v>—</v>
      </c>
      <c r="L51" s="92" t="str">
        <f aca="false">IF(ISNUMBER(Gov_Map!$AF$582),INDEX(IDX_SrcDate,Gov_Map!$AF$582),"—")</f>
        <v>—</v>
      </c>
      <c r="M51" s="93" t="s">
        <v>4697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39.55" hidden="false" customHeight="false" outlineLevel="0" collapsed="false">
      <c r="A52" s="92" t="str">
        <f aca="false">Gov_Map!$A$584</f>
        <v>GM580</v>
      </c>
      <c r="B52" s="92" t="str">
        <f aca="false">Gov_Map!$C$584</f>
        <v>Alloc_In</v>
      </c>
      <c r="C52" s="92" t="str">
        <f aca="false">Gov_Map!$D$584</f>
        <v>C8</v>
      </c>
      <c r="D52" s="220" t="str">
        <f aca="false">Gov_Map!$E$584</f>
        <v>計畫規模倍數 k（相對 Block 3）</v>
      </c>
      <c r="E52" s="92" t="str">
        <f aca="false">Gov_Map!$F$584</f>
        <v>Assumed</v>
      </c>
      <c r="F52" s="111" t="n">
        <f aca="false">Gov_Map!$K$584</f>
        <v>0.5</v>
      </c>
      <c r="G52" s="111" t="n">
        <f aca="false">Gov_Map!$L$584</f>
        <v>7</v>
      </c>
      <c r="H52" s="92" t="str">
        <f aca="false">Gov_Map!$P$584</f>
        <v>高</v>
      </c>
      <c r="I52" s="92" t="str">
        <f aca="false">Gov_Map!$T$584</f>
        <v>—</v>
      </c>
      <c r="J52" s="88" t="s">
        <v>4695</v>
      </c>
      <c r="K52" s="220" t="str">
        <f aca="false">IF(Gov_Map!$AK$584="","—",Gov_Map!$AK$584)</f>
        <v>—</v>
      </c>
      <c r="L52" s="92" t="str">
        <f aca="false">IF(ISNUMBER(Gov_Map!$AF$584),INDEX(IDX_SrcDate,Gov_Map!$AF$584),"—")</f>
        <v>—</v>
      </c>
      <c r="M52" s="93" t="s">
        <v>4698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166.4" hidden="false" customHeight="false" outlineLevel="0" collapsed="false">
      <c r="A53" s="92" t="str">
        <f aca="false">Gov_Map!$A$590</f>
        <v>GM586</v>
      </c>
      <c r="B53" s="92" t="str">
        <f aca="false">Gov_Map!$C$590</f>
        <v>Alloc_In</v>
      </c>
      <c r="C53" s="92" t="str">
        <f aca="false">Gov_Map!$D$590</f>
        <v>C15</v>
      </c>
      <c r="D53" s="220" t="str">
        <f aca="false">Gov_Map!$E$590</f>
        <v>每則提示 token 數</v>
      </c>
      <c r="E53" s="92" t="str">
        <f aca="false">Gov_Map!$F$590</f>
        <v>Assumed</v>
      </c>
      <c r="F53" s="63" t="n">
        <f aca="false">Gov_Map!$K$590</f>
        <v>2000</v>
      </c>
      <c r="G53" s="63" t="n">
        <f aca="false">Gov_Map!$L$590</f>
        <v>11000</v>
      </c>
      <c r="H53" s="92" t="str">
        <f aca="false">Gov_Map!$P$590</f>
        <v>高</v>
      </c>
      <c r="I53" s="92" t="n">
        <f aca="false">Gov_Map!$T$590</f>
        <v>2</v>
      </c>
      <c r="J53" s="88" t="s">
        <v>4699</v>
      </c>
      <c r="K53" s="220" t="str">
        <f aca="false">IF(Gov_Map!$AK$590="","—",Gov_Map!$AK$590)</f>
        <v>—</v>
      </c>
      <c r="L53" s="92" t="str">
        <f aca="false">IF(ISNUMBER(Gov_Map!$AF$590),INDEX(IDX_SrcDate,Gov_Map!$AF$590),"—")</f>
        <v>—</v>
      </c>
      <c r="M53" s="93" t="s">
        <v>4700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75.35" hidden="false" customHeight="false" outlineLevel="0" collapsed="false">
      <c r="A54" s="92" t="str">
        <f aca="false">Gov_Map!$A$596</f>
        <v>GM592</v>
      </c>
      <c r="B54" s="92" t="str">
        <f aca="false">Gov_Map!$C$596</f>
        <v>Serving</v>
      </c>
      <c r="C54" s="92" t="str">
        <f aca="false">Gov_Map!$D$596</f>
        <v>C28</v>
      </c>
      <c r="D54" s="220" t="str">
        <f aca="false">Gov_Map!$E$596</f>
        <v>並列輸出用生產折減（CTL_ProdDerate）</v>
      </c>
      <c r="E54" s="92" t="str">
        <f aca="false">Gov_Map!$F$596</f>
        <v>Assumed</v>
      </c>
      <c r="F54" s="92" t="n">
        <f aca="false">Gov_Map!$K$596</f>
        <v>0.7</v>
      </c>
      <c r="G54" s="92" t="n">
        <f aca="false">Gov_Map!$L$596</f>
        <v>1</v>
      </c>
      <c r="H54" s="92" t="str">
        <f aca="false">Gov_Map!$P$596</f>
        <v>高</v>
      </c>
      <c r="I54" s="92" t="str">
        <f aca="false">Gov_Map!$T$596</f>
        <v>—</v>
      </c>
      <c r="J54" s="88" t="s">
        <v>4701</v>
      </c>
      <c r="K54" s="220" t="str">
        <f aca="false">IF(Gov_Map!$AK$596="","—",Gov_Map!$AK$596)</f>
        <v>—</v>
      </c>
      <c r="L54" s="92" t="str">
        <f aca="false">IF(ISNUMBER(Gov_Map!$AF$596),INDEX(IDX_SrcDate,Gov_Map!$AF$596),"—")</f>
        <v>—</v>
      </c>
      <c r="M54" s="93" t="s">
        <v>4702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Gov_Map!$A$656</f>
        <v>GM652</v>
      </c>
      <c r="B55" s="92" t="str">
        <f aca="false">Gov_Map!$C$656</f>
        <v>Train_In</v>
      </c>
      <c r="C55" s="92" t="str">
        <f aca="false">Gov_Map!$D$656</f>
        <v>C34</v>
      </c>
      <c r="D55" s="220" t="str">
        <f aca="false">Gov_Map!$E$656</f>
        <v>RL rollout 輸出 token（Luna）</v>
      </c>
      <c r="E55" s="92" t="str">
        <f aca="false">Gov_Map!$F$656</f>
        <v>Assumed</v>
      </c>
      <c r="F55" s="92" t="n">
        <f aca="false">Gov_Map!$K$656</f>
        <v>0.787</v>
      </c>
      <c r="G55" s="92" t="n">
        <f aca="false">Gov_Map!$L$656</f>
        <v>2.36</v>
      </c>
      <c r="H55" s="92" t="str">
        <f aca="false">Gov_Map!$P$656</f>
        <v>高</v>
      </c>
      <c r="I55" s="92" t="str">
        <f aca="false">Gov_Map!$T$656</f>
        <v>—</v>
      </c>
      <c r="J55" s="88" t="s">
        <v>4693</v>
      </c>
      <c r="K55" s="220" t="str">
        <f aca="false">IF(Gov_Map!$AK$656="","—",Gov_Map!$AK$656)</f>
        <v>—</v>
      </c>
      <c r="L55" s="92" t="str">
        <f aca="false">IF(ISNUMBER(Gov_Map!$AF$656),INDEX(IDX_SrcDate,Gov_Map!$AF$656),"—")</f>
        <v>—</v>
      </c>
      <c r="M55" s="93" t="s">
        <v>4703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Gov_Map!$A$657</f>
        <v>GM653</v>
      </c>
      <c r="B56" s="92" t="str">
        <f aca="false">Gov_Map!$C$657</f>
        <v>Train_In</v>
      </c>
      <c r="C56" s="92" t="str">
        <f aca="false">Gov_Map!$D$657</f>
        <v>D34</v>
      </c>
      <c r="D56" s="220" t="str">
        <f aca="false">Gov_Map!$E$657</f>
        <v>RL rollout 輸出 token（Sol）</v>
      </c>
      <c r="E56" s="92" t="str">
        <f aca="false">Gov_Map!$F$657</f>
        <v>Assumed</v>
      </c>
      <c r="F56" s="92" t="n">
        <f aca="false">Gov_Map!$K$657</f>
        <v>0.787</v>
      </c>
      <c r="G56" s="92" t="n">
        <f aca="false">Gov_Map!$L$657</f>
        <v>2.36</v>
      </c>
      <c r="H56" s="92" t="str">
        <f aca="false">Gov_Map!$P$657</f>
        <v>高</v>
      </c>
      <c r="I56" s="92" t="str">
        <f aca="false">Gov_Map!$T$657</f>
        <v>—</v>
      </c>
      <c r="J56" s="88" t="s">
        <v>4693</v>
      </c>
      <c r="K56" s="220" t="str">
        <f aca="false">IF(Gov_Map!$AK$657="","—",Gov_Map!$AK$657)</f>
        <v>—</v>
      </c>
      <c r="L56" s="92" t="str">
        <f aca="false">IF(ISNUMBER(Gov_Map!$AF$657),INDEX(IDX_SrcDate,Gov_Map!$AF$657),"—")</f>
        <v>—</v>
      </c>
      <c r="M56" s="93" t="s">
        <v>4704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52.2" hidden="false" customHeight="false" outlineLevel="0" collapsed="false">
      <c r="A57" s="92" t="str">
        <f aca="false">Gov_Map!$A$658</f>
        <v>GM654</v>
      </c>
      <c r="B57" s="92" t="str">
        <f aca="false">Gov_Map!$C$658</f>
        <v>Train_In</v>
      </c>
      <c r="C57" s="92" t="str">
        <f aca="false">Gov_Map!$D$658</f>
        <v>E34</v>
      </c>
      <c r="D57" s="220" t="str">
        <f aca="false">Gov_Map!$E$658</f>
        <v>RL rollout 輸出 token（Astra）</v>
      </c>
      <c r="E57" s="92" t="str">
        <f aca="false">Gov_Map!$F$658</f>
        <v>Assumed</v>
      </c>
      <c r="F57" s="92" t="n">
        <f aca="false">Gov_Map!$K$658</f>
        <v>0.96</v>
      </c>
      <c r="G57" s="92" t="n">
        <f aca="false">Gov_Map!$L$658</f>
        <v>19.2</v>
      </c>
      <c r="H57" s="92" t="str">
        <f aca="false">Gov_Map!$P$658</f>
        <v>高</v>
      </c>
      <c r="I57" s="92" t="str">
        <f aca="false">Gov_Map!$T$658</f>
        <v>—</v>
      </c>
      <c r="J57" s="88" t="s">
        <v>4693</v>
      </c>
      <c r="K57" s="220" t="str">
        <f aca="false">IF(Gov_Map!$AK$658="","—",Gov_Map!$AK$658)</f>
        <v>—</v>
      </c>
      <c r="L57" s="92" t="str">
        <f aca="false">IF(ISNUMBER(Gov_Map!$AF$658),INDEX(IDX_SrcDate,Gov_Map!$AF$658),"—")</f>
        <v>—</v>
      </c>
      <c r="M57" s="93" t="s">
        <v>4705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2.5" hidden="false" customHeight="false" outlineLevel="0" collapsed="false">
      <c r="A58" s="92" t="str">
        <f aca="false">Gov_Map!$A$660</f>
        <v>GM656</v>
      </c>
      <c r="B58" s="92" t="str">
        <f aca="false">Gov_Map!$C$660</f>
        <v>Spec_Rack</v>
      </c>
      <c r="C58" s="92" t="str">
        <f aca="false">Gov_Map!$D$660</f>
        <v>C44:G44</v>
      </c>
      <c r="D58" s="220" t="str">
        <f aca="false">Gov_Map!$E$660</f>
        <v>模型規模倍數（基準；ARCH_ScaleGen）</v>
      </c>
      <c r="E58" s="92" t="str">
        <f aca="false">Gov_Map!$F$660</f>
        <v>Assumed</v>
      </c>
      <c r="F58" s="92" t="n">
        <f aca="false">Gov_Map!$K$660</f>
        <v>0</v>
      </c>
      <c r="G58" s="92" t="n">
        <f aca="false">Gov_Map!$L$660</f>
        <v>0</v>
      </c>
      <c r="H58" s="92" t="str">
        <f aca="false">Gov_Map!$P$660</f>
        <v>高</v>
      </c>
      <c r="I58" s="92" t="str">
        <f aca="false">Gov_Map!$T$660</f>
        <v>—</v>
      </c>
      <c r="J58" s="88" t="s">
        <v>4642</v>
      </c>
      <c r="K58" s="220" t="str">
        <f aca="false">IF(Gov_Map!$AK$660="","—",Gov_Map!$AK$660)</f>
        <v>—</v>
      </c>
      <c r="L58" s="92" t="str">
        <f aca="false">IF(ISNUMBER(Gov_Map!$AF$660),INDEX(IDX_SrcDate,Gov_Map!$AF$660),"—")</f>
        <v>—</v>
      </c>
      <c r="M58" s="93" t="s">
        <v>4706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Gov_Map!$A$661</f>
        <v>GM657</v>
      </c>
      <c r="B59" s="92" t="str">
        <f aca="false">Gov_Map!$C$661</f>
        <v>Spec_Rack</v>
      </c>
      <c r="C59" s="92" t="str">
        <f aca="false">Gov_Map!$D$661</f>
        <v>C45:G45</v>
      </c>
      <c r="D59" s="220" t="str">
        <f aca="false">Gov_Map!$E$661</f>
        <v>模型規模倍數（低；ARCH_ScaleGen_Lo）</v>
      </c>
      <c r="E59" s="92" t="str">
        <f aca="false">Gov_Map!$F$661</f>
        <v>Assumed</v>
      </c>
      <c r="F59" s="92" t="n">
        <f aca="false">Gov_Map!$K$661</f>
        <v>0</v>
      </c>
      <c r="G59" s="92" t="n">
        <f aca="false">Gov_Map!$L$661</f>
        <v>0</v>
      </c>
      <c r="H59" s="92" t="str">
        <f aca="false">Gov_Map!$P$661</f>
        <v>高</v>
      </c>
      <c r="I59" s="92" t="str">
        <f aca="false">Gov_Map!$T$661</f>
        <v>—</v>
      </c>
      <c r="J59" s="88" t="s">
        <v>809</v>
      </c>
      <c r="K59" s="220" t="str">
        <f aca="false">IF(Gov_Map!$AK$661="","—",Gov_Map!$AK$661)</f>
        <v>—</v>
      </c>
      <c r="L59" s="92" t="str">
        <f aca="false">IF(ISNUMBER(Gov_Map!$AF$661),INDEX(IDX_SrcDate,Gov_Map!$AF$661),"—")</f>
        <v>—</v>
      </c>
      <c r="M59" s="93" t="s">
        <v>4707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0" customFormat="false" ht="39.55" hidden="false" customHeight="false" outlineLevel="0" collapsed="false">
      <c r="A60" s="92" t="str">
        <f aca="false">Gov_Map!$A$662</f>
        <v>GM658</v>
      </c>
      <c r="B60" s="92" t="str">
        <f aca="false">Gov_Map!$C$662</f>
        <v>Spec_Rack</v>
      </c>
      <c r="C60" s="92" t="str">
        <f aca="false">Gov_Map!$D$662</f>
        <v>C46:G46</v>
      </c>
      <c r="D60" s="220" t="str">
        <f aca="false">Gov_Map!$E$662</f>
        <v>模型規模倍數（高；ARCH_ScaleGen_Hi）</v>
      </c>
      <c r="E60" s="92" t="str">
        <f aca="false">Gov_Map!$F$662</f>
        <v>Assumed</v>
      </c>
      <c r="F60" s="92" t="n">
        <f aca="false">Gov_Map!$K$662</f>
        <v>0</v>
      </c>
      <c r="G60" s="92" t="n">
        <f aca="false">Gov_Map!$L$662</f>
        <v>0</v>
      </c>
      <c r="H60" s="92" t="str">
        <f aca="false">Gov_Map!$P$662</f>
        <v>高</v>
      </c>
      <c r="I60" s="92" t="str">
        <f aca="false">Gov_Map!$T$662</f>
        <v>—</v>
      </c>
      <c r="J60" s="88" t="s">
        <v>809</v>
      </c>
      <c r="K60" s="220" t="str">
        <f aca="false">IF(Gov_Map!$AK$662="","—",Gov_Map!$AK$662)</f>
        <v>—</v>
      </c>
      <c r="L60" s="92" t="str">
        <f aca="false">IF(ISNUMBER(Gov_Map!$AF$662),INDEX(IDX_SrcDate,Gov_Map!$AF$662),"—")</f>
        <v>—</v>
      </c>
      <c r="M60" s="93" t="s">
        <v>4708</v>
      </c>
      <c r="N60" s="105" t="str">
        <f aca="false">IF(AND(ISTEXT(L60),LEN(L60)=10),IF(ISNUMBER(VALUE(SUBSTITUTE(L60,"-",""))),DATE(VALUE(LEFT($C$3,4)),VALUE(MID($C$3,6,2)),VALUE(RIGHT($C$3,2)))-DATE(VALUE(LEFT(L60,4)),VALUE(MID(L60,6,2)),VALUE(RIGHT(L60,2))),"—"),"—")</f>
        <v>—</v>
      </c>
    </row>
    <row r="61" customFormat="false" ht="52.2" hidden="false" customHeight="false" outlineLevel="0" collapsed="false">
      <c r="A61" s="92" t="str">
        <f aca="false">Gov_Map!$A$691</f>
        <v>GM687</v>
      </c>
      <c r="B61" s="92" t="str">
        <f aca="false">Gov_Map!$C$691</f>
        <v>Calib</v>
      </c>
      <c r="C61" s="92" t="str">
        <f aca="false">Gov_Map!$D$691</f>
        <v>C156</v>
      </c>
      <c r="D61" s="220" t="str">
        <f aca="false">Gov_Map!$E$691</f>
        <v>批次口徑 η_d 倍數：Hopper（CAL_BatchEtaD）</v>
      </c>
      <c r="E61" s="92" t="str">
        <f aca="false">Gov_Map!$F$691</f>
        <v>Assumed</v>
      </c>
      <c r="F61" s="92" t="n">
        <f aca="false">Gov_Map!$K$691</f>
        <v>1</v>
      </c>
      <c r="G61" s="92" t="n">
        <f aca="false">Gov_Map!$L$691</f>
        <v>3.74</v>
      </c>
      <c r="H61" s="92" t="str">
        <f aca="false">Gov_Map!$P$691</f>
        <v>高</v>
      </c>
      <c r="I61" s="92" t="str">
        <f aca="false">Gov_Map!$T$691</f>
        <v>—</v>
      </c>
      <c r="J61" s="88" t="s">
        <v>4685</v>
      </c>
      <c r="K61" s="220" t="str">
        <f aca="false">IF(Gov_Map!$AK$691="","—",Gov_Map!$AK$691)</f>
        <v>—</v>
      </c>
      <c r="L61" s="92" t="str">
        <f aca="false">IF(ISNUMBER(Gov_Map!$AF$691),INDEX(IDX_SrcDate,Gov_Map!$AF$691),"—")</f>
        <v>—</v>
      </c>
      <c r="M61" s="93" t="s">
        <v>4709</v>
      </c>
      <c r="N61" s="105" t="str">
        <f aca="false">IF(AND(ISTEXT(L61),LEN(L61)=10),IF(ISNUMBER(VALUE(SUBSTITUTE(L61,"-",""))),DATE(VALUE(LEFT($C$3,4)),VALUE(MID($C$3,6,2)),VALUE(RIGHT($C$3,2)))-DATE(VALUE(LEFT(L61,4)),VALUE(MID(L61,6,2)),VALUE(RIGHT(L61,2))),"—"),"—")</f>
        <v>—</v>
      </c>
    </row>
    <row r="63" customFormat="false" ht="15" hidden="false" customHeight="false" outlineLevel="0" collapsed="false">
      <c r="A63" s="60" t="s">
        <v>4710</v>
      </c>
      <c r="J63" s="90" t="n">
        <f aca="false">SUMPRODUCT((Gov_Map!$P$5:$P$700="高")*((Gov_Map!$F$5:$F$700="Assumed")+(Gov_Map!$F$5:$F$700="Analogy")))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4711</v>
      </c>
    </row>
    <row r="2" customFormat="false" ht="15" hidden="false" customHeight="false" outlineLevel="0" collapsed="false">
      <c r="A2" s="65" t="s">
        <v>4712</v>
      </c>
    </row>
    <row r="4" customFormat="false" ht="15" hidden="false" customHeight="false" outlineLevel="0" collapsed="false">
      <c r="A4" s="60" t="s">
        <v>4713</v>
      </c>
    </row>
    <row r="5" customFormat="false" ht="15" hidden="false" customHeight="false" outlineLevel="0" collapsed="false">
      <c r="A5" s="62" t="s">
        <v>4714</v>
      </c>
      <c r="B5" s="62" t="s">
        <v>127</v>
      </c>
      <c r="C5" s="67" t="n">
        <v>0.6</v>
      </c>
      <c r="F5" s="59" t="s">
        <v>4715</v>
      </c>
    </row>
    <row r="6" customFormat="false" ht="15" hidden="false" customHeight="false" outlineLevel="0" collapsed="false">
      <c r="A6" s="62" t="s">
        <v>4716</v>
      </c>
      <c r="B6" s="62" t="s">
        <v>4717</v>
      </c>
      <c r="C6" s="68" t="n">
        <v>10</v>
      </c>
      <c r="F6" s="59" t="s">
        <v>4718</v>
      </c>
    </row>
    <row r="7" customFormat="false" ht="15" hidden="false" customHeight="false" outlineLevel="0" collapsed="false">
      <c r="A7" s="62" t="s">
        <v>4719</v>
      </c>
      <c r="B7" s="62" t="s">
        <v>4717</v>
      </c>
      <c r="C7" s="68" t="n">
        <v>40</v>
      </c>
      <c r="F7" s="59" t="s">
        <v>4720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4721</v>
      </c>
    </row>
    <row r="2" customFormat="false" ht="15" hidden="false" customHeight="false" outlineLevel="0" collapsed="false">
      <c r="A2" s="65" t="s">
        <v>4722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4" t="s">
        <v>4723</v>
      </c>
      <c r="B4" s="84" t="s">
        <v>4724</v>
      </c>
      <c r="C4" s="84" t="s">
        <v>4725</v>
      </c>
      <c r="D4" s="84" t="s">
        <v>4726</v>
      </c>
      <c r="E4" s="84" t="s">
        <v>4727</v>
      </c>
      <c r="F4" s="84" t="s">
        <v>4728</v>
      </c>
      <c r="G4" s="84" t="s">
        <v>4729</v>
      </c>
      <c r="H4" s="84" t="s">
        <v>4730</v>
      </c>
      <c r="I4" s="84" t="s">
        <v>4731</v>
      </c>
      <c r="J4" s="84" t="s">
        <v>4732</v>
      </c>
      <c r="K4" s="84" t="s">
        <v>113</v>
      </c>
      <c r="L4" s="84" t="s">
        <v>379</v>
      </c>
    </row>
    <row r="5" customFormat="false" ht="15" hidden="false" customHeight="false" outlineLevel="0" collapsed="false">
      <c r="A5" s="62" t="s">
        <v>4733</v>
      </c>
      <c r="B5" s="80" t="n">
        <v>0.5</v>
      </c>
      <c r="C5" s="80" t="n">
        <v>0.7</v>
      </c>
      <c r="D5" s="80" t="n">
        <v>1</v>
      </c>
      <c r="E5" s="80" t="n">
        <v>0.8</v>
      </c>
      <c r="F5" s="80" t="n">
        <v>0.9</v>
      </c>
      <c r="G5" s="80" t="n">
        <v>1</v>
      </c>
      <c r="H5" s="104" t="n">
        <f aca="false">F5/C5</f>
        <v>1.28571428571429</v>
      </c>
      <c r="I5" s="78" t="n">
        <f aca="false">E5/D5</f>
        <v>0.8</v>
      </c>
      <c r="J5" s="78" t="n">
        <f aca="false">G5/B5</f>
        <v>2</v>
      </c>
      <c r="K5" s="59" t="s">
        <v>128</v>
      </c>
      <c r="L5" s="59" t="s">
        <v>4734</v>
      </c>
      <c r="M5" s="65" t="s">
        <v>4735</v>
      </c>
    </row>
    <row r="6" customFormat="false" ht="15" hidden="false" customHeight="false" outlineLevel="0" collapsed="false">
      <c r="A6" s="62" t="s">
        <v>4736</v>
      </c>
      <c r="B6" s="80" t="n">
        <v>0.6</v>
      </c>
      <c r="C6" s="80" t="n">
        <v>0.8</v>
      </c>
      <c r="D6" s="80" t="n">
        <v>1.1</v>
      </c>
      <c r="E6" s="80" t="n">
        <v>0.7</v>
      </c>
      <c r="F6" s="80" t="n">
        <v>0.8</v>
      </c>
      <c r="G6" s="80" t="n">
        <v>1</v>
      </c>
      <c r="H6" s="104" t="n">
        <f aca="false">F6/C6</f>
        <v>1</v>
      </c>
      <c r="I6" s="78" t="n">
        <f aca="false">E6/D6</f>
        <v>0.636363636363636</v>
      </c>
      <c r="J6" s="78" t="n">
        <f aca="false">G6/B6</f>
        <v>1.66666666666667</v>
      </c>
      <c r="K6" s="59" t="s">
        <v>128</v>
      </c>
      <c r="L6" s="65" t="s">
        <v>4737</v>
      </c>
      <c r="M6" s="65" t="s">
        <v>4738</v>
      </c>
    </row>
    <row r="7" customFormat="false" ht="15" hidden="false" customHeight="false" outlineLevel="0" collapsed="false">
      <c r="A7" s="62" t="s">
        <v>4739</v>
      </c>
      <c r="B7" s="80" t="n">
        <v>0.3</v>
      </c>
      <c r="C7" s="80" t="n">
        <v>0.5</v>
      </c>
      <c r="D7" s="80" t="n">
        <v>0.8</v>
      </c>
      <c r="E7" s="80" t="n">
        <v>0.6</v>
      </c>
      <c r="F7" s="80" t="n">
        <v>0.7</v>
      </c>
      <c r="G7" s="80" t="n">
        <v>0.9</v>
      </c>
      <c r="H7" s="104" t="n">
        <f aca="false">F7/C7</f>
        <v>1.4</v>
      </c>
      <c r="I7" s="78" t="n">
        <f aca="false">E7/D7</f>
        <v>0.75</v>
      </c>
      <c r="J7" s="78" t="n">
        <f aca="false">G7/B7</f>
        <v>3</v>
      </c>
      <c r="K7" s="59" t="s">
        <v>128</v>
      </c>
      <c r="L7" s="59" t="s">
        <v>4740</v>
      </c>
      <c r="M7" s="65" t="s">
        <v>4741</v>
      </c>
    </row>
    <row r="8" customFormat="false" ht="15" hidden="false" customHeight="false" outlineLevel="0" collapsed="false">
      <c r="A8" s="62" t="s">
        <v>4742</v>
      </c>
      <c r="B8" s="80" t="n">
        <v>0.2</v>
      </c>
      <c r="C8" s="80" t="n">
        <v>0.4</v>
      </c>
      <c r="D8" s="80" t="n">
        <v>0.8</v>
      </c>
      <c r="E8" s="80" t="n">
        <v>0.8</v>
      </c>
      <c r="F8" s="80" t="n">
        <v>1</v>
      </c>
      <c r="G8" s="80" t="n">
        <v>1.2</v>
      </c>
      <c r="H8" s="104" t="n">
        <f aca="false">F8/C8</f>
        <v>2.5</v>
      </c>
      <c r="I8" s="78" t="n">
        <f aca="false">E8/D8</f>
        <v>1</v>
      </c>
      <c r="J8" s="78" t="n">
        <f aca="false">G8/B8</f>
        <v>6</v>
      </c>
      <c r="K8" s="59" t="s">
        <v>128</v>
      </c>
      <c r="L8" s="65" t="s">
        <v>4743</v>
      </c>
      <c r="M8" s="65" t="s">
        <v>4744</v>
      </c>
    </row>
    <row r="9" customFormat="false" ht="15" hidden="false" customHeight="false" outlineLevel="0" collapsed="false">
      <c r="A9" s="62" t="s">
        <v>4745</v>
      </c>
      <c r="B9" s="80" t="n">
        <v>0.4</v>
      </c>
      <c r="C9" s="80" t="n">
        <v>0.6</v>
      </c>
      <c r="D9" s="80" t="n">
        <v>0.9</v>
      </c>
      <c r="E9" s="80" t="n">
        <v>0.7</v>
      </c>
      <c r="F9" s="80" t="n">
        <v>0.8</v>
      </c>
      <c r="G9" s="80" t="n">
        <v>1</v>
      </c>
      <c r="H9" s="104" t="n">
        <f aca="false">F9/C9</f>
        <v>1.33333333333333</v>
      </c>
      <c r="I9" s="78" t="n">
        <f aca="false">E9/D9</f>
        <v>0.777777777777778</v>
      </c>
      <c r="J9" s="78" t="n">
        <f aca="false">G9/B9</f>
        <v>2.5</v>
      </c>
      <c r="K9" s="59" t="s">
        <v>128</v>
      </c>
      <c r="L9" s="65" t="s">
        <v>4746</v>
      </c>
      <c r="M9" s="65" t="s">
        <v>4747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4748</v>
      </c>
    </row>
    <row r="2" customFormat="false" ht="15" hidden="false" customHeight="true" outlineLevel="0" collapsed="false">
      <c r="A2" s="11" t="s">
        <v>4749</v>
      </c>
    </row>
    <row r="4" customFormat="false" ht="30" hidden="false" customHeight="true" outlineLevel="0" collapsed="false">
      <c r="A4" s="22" t="s">
        <v>1023</v>
      </c>
      <c r="C4" s="221" t="s">
        <v>111</v>
      </c>
      <c r="D4" s="221" t="s">
        <v>4750</v>
      </c>
      <c r="E4" s="221" t="s">
        <v>4751</v>
      </c>
      <c r="F4" s="221" t="s">
        <v>4752</v>
      </c>
      <c r="G4" s="221" t="s">
        <v>4753</v>
      </c>
      <c r="H4" s="221" t="s">
        <v>4754</v>
      </c>
      <c r="I4" s="221" t="s">
        <v>4755</v>
      </c>
      <c r="J4" s="221" t="s">
        <v>4756</v>
      </c>
      <c r="K4" s="221" t="s">
        <v>4757</v>
      </c>
      <c r="L4" s="221" t="s">
        <v>4758</v>
      </c>
      <c r="M4" s="221" t="s">
        <v>4759</v>
      </c>
      <c r="N4" s="222" t="s">
        <v>4760</v>
      </c>
      <c r="O4" s="222" t="s">
        <v>4761</v>
      </c>
      <c r="P4" s="222" t="s">
        <v>4762</v>
      </c>
      <c r="Q4" s="222" t="s">
        <v>4763</v>
      </c>
      <c r="R4" s="221" t="s">
        <v>4764</v>
      </c>
      <c r="S4" s="221" t="s">
        <v>4765</v>
      </c>
      <c r="T4" s="222" t="s">
        <v>4766</v>
      </c>
      <c r="U4" s="222" t="s">
        <v>4767</v>
      </c>
      <c r="V4" s="221" t="s">
        <v>4768</v>
      </c>
      <c r="W4" s="221" t="s">
        <v>4769</v>
      </c>
      <c r="X4" s="221" t="s">
        <v>4770</v>
      </c>
      <c r="Y4" s="221" t="s">
        <v>4771</v>
      </c>
    </row>
    <row r="6" customFormat="false" ht="15" hidden="false" customHeight="true" outlineLevel="0" collapsed="false">
      <c r="A6" s="27" t="s">
        <v>1078</v>
      </c>
      <c r="B6" s="15"/>
      <c r="C6" s="15"/>
    </row>
    <row r="7" customFormat="false" ht="15" hidden="false" customHeight="true" outlineLevel="0" collapsed="false">
      <c r="A7" s="16" t="s">
        <v>4772</v>
      </c>
      <c r="B7" s="17" t="s">
        <v>1080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126</v>
      </c>
      <c r="B8" s="17" t="s">
        <v>127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3" t="n">
        <v>0.05</v>
      </c>
      <c r="Y8" s="223" t="n">
        <v>0.12</v>
      </c>
    </row>
    <row r="9" customFormat="false" ht="15" hidden="false" customHeight="true" outlineLevel="0" collapsed="false">
      <c r="A9" s="22" t="s">
        <v>1081</v>
      </c>
      <c r="B9" s="17" t="s">
        <v>1080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933</v>
      </c>
      <c r="B10" s="17" t="s">
        <v>934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5" t="n">
        <f aca="false">Spec_Rack!F8</f>
        <v>188</v>
      </c>
      <c r="G10" s="185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3442</v>
      </c>
      <c r="B11" s="23" t="s">
        <v>932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213</v>
      </c>
      <c r="B12" s="23" t="s">
        <v>926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3444</v>
      </c>
      <c r="B13" s="23" t="s">
        <v>926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131</v>
      </c>
      <c r="B14" s="17" t="s">
        <v>132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7" t="n">
        <f aca="false">Inputs!$D$9</f>
        <v>1.1</v>
      </c>
      <c r="U14" s="187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1084</v>
      </c>
      <c r="B15" s="17" t="s">
        <v>1080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4773</v>
      </c>
      <c r="B16" s="15"/>
      <c r="C16" s="15"/>
    </row>
    <row r="17" customFormat="false" ht="15" hidden="false" customHeight="true" outlineLevel="0" collapsed="false">
      <c r="A17" s="22" t="s">
        <v>1086</v>
      </c>
      <c r="B17" s="17" t="s">
        <v>1087</v>
      </c>
      <c r="C17" s="38" t="n">
        <f aca="false">Spec_Rack!F12</f>
        <v>8.4</v>
      </c>
      <c r="D17" s="188" t="n">
        <f aca="false">Spec_Rack!F11</f>
        <v>7.8</v>
      </c>
      <c r="E17" s="188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1088</v>
      </c>
      <c r="B18" s="17" t="s">
        <v>1089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142</v>
      </c>
      <c r="B19" s="17" t="s">
        <v>127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4" t="n">
        <f aca="false">Inputs!$D$13</f>
        <v>0.05</v>
      </c>
      <c r="I19" s="224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1090</v>
      </c>
      <c r="B20" s="17" t="s">
        <v>1089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1091</v>
      </c>
      <c r="B21" s="17" t="s">
        <v>145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1091</v>
      </c>
      <c r="B22" s="17" t="s">
        <v>1089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1092</v>
      </c>
      <c r="B23" s="17" t="s">
        <v>1089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148</v>
      </c>
      <c r="B24" s="17" t="s">
        <v>1089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1093</v>
      </c>
      <c r="B25" s="17" t="s">
        <v>1089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1094</v>
      </c>
      <c r="B26" s="17" t="s">
        <v>1089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1095</v>
      </c>
      <c r="B27" s="17" t="s">
        <v>1089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1096</v>
      </c>
      <c r="B28" s="17" t="s">
        <v>1089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1097</v>
      </c>
      <c r="B29" s="17" t="s">
        <v>127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158</v>
      </c>
      <c r="B30" s="17" t="s">
        <v>1089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1098</v>
      </c>
      <c r="B31" s="17" t="s">
        <v>1089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4774</v>
      </c>
      <c r="B32" s="17" t="s">
        <v>1089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1100</v>
      </c>
      <c r="B33" s="17" t="s">
        <v>1101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1103</v>
      </c>
      <c r="B34" s="17" t="s">
        <v>1087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1105</v>
      </c>
      <c r="B35" s="17" t="s">
        <v>1087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4775</v>
      </c>
      <c r="B36" s="15"/>
      <c r="C36" s="15"/>
    </row>
    <row r="37" customFormat="false" ht="15" hidden="false" customHeight="true" outlineLevel="0" collapsed="false">
      <c r="A37" s="16" t="s">
        <v>1108</v>
      </c>
      <c r="B37" s="23" t="s">
        <v>163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5" t="n">
        <v>7</v>
      </c>
      <c r="O37" s="226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1109</v>
      </c>
      <c r="B38" s="17" t="s">
        <v>1089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1110</v>
      </c>
      <c r="B39" s="17" t="s">
        <v>1089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135</v>
      </c>
      <c r="B40" s="17" t="s">
        <v>127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4" t="n">
        <f aca="false">Inputs!$D$10</f>
        <v>0.7</v>
      </c>
      <c r="W40" s="224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137</v>
      </c>
      <c r="B41" s="17" t="s">
        <v>138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7" t="n">
        <f aca="false">Inputs!$D$11</f>
        <v>0.06</v>
      </c>
      <c r="S41" s="227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1111</v>
      </c>
      <c r="B42" s="17" t="s">
        <v>1089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1112</v>
      </c>
      <c r="B43" s="17" t="s">
        <v>1089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178</v>
      </c>
      <c r="B44" s="17" t="s">
        <v>1089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4776</v>
      </c>
      <c r="B45" s="17" t="s">
        <v>1089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189</v>
      </c>
      <c r="B46" s="17" t="s">
        <v>1089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1114</v>
      </c>
      <c r="B47" s="17" t="s">
        <v>1089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1115</v>
      </c>
      <c r="B48" s="17" t="s">
        <v>1089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4777</v>
      </c>
      <c r="B49" s="15"/>
      <c r="C49" s="15"/>
    </row>
    <row r="50" customFormat="false" ht="15" hidden="false" customHeight="true" outlineLevel="0" collapsed="false">
      <c r="A50" s="16" t="s">
        <v>1117</v>
      </c>
      <c r="B50" s="17" t="s">
        <v>127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4" t="n">
        <f aca="false">Inputs!$D$28</f>
        <v>0.08</v>
      </c>
      <c r="Q50" s="224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1118</v>
      </c>
      <c r="B51" s="17" t="s">
        <v>132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1119</v>
      </c>
      <c r="B52" s="17" t="s">
        <v>1089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1120</v>
      </c>
      <c r="B53" s="17" t="s">
        <v>1089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1121</v>
      </c>
      <c r="B54" s="17" t="s">
        <v>1089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1122</v>
      </c>
      <c r="B55" s="15"/>
      <c r="C55" s="15"/>
    </row>
    <row r="56" customFormat="false" ht="15" hidden="false" customHeight="true" outlineLevel="0" collapsed="false">
      <c r="A56" s="22" t="s">
        <v>1123</v>
      </c>
      <c r="B56" s="17" t="s">
        <v>1049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1124</v>
      </c>
      <c r="B57" s="17" t="s">
        <v>1049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1125</v>
      </c>
      <c r="B58" s="17" t="s">
        <v>1126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1128</v>
      </c>
      <c r="B59" s="17" t="s">
        <v>1129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1131</v>
      </c>
      <c r="B60" s="17" t="s">
        <v>127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1133</v>
      </c>
      <c r="B61" s="17" t="s">
        <v>127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4778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4779</v>
      </c>
      <c r="B65" s="36"/>
      <c r="C65" s="36" t="s">
        <v>4780</v>
      </c>
      <c r="D65" s="36" t="s">
        <v>4781</v>
      </c>
      <c r="E65" s="36" t="s">
        <v>4782</v>
      </c>
      <c r="F65" s="36" t="s">
        <v>4783</v>
      </c>
      <c r="G65" s="36" t="s">
        <v>4784</v>
      </c>
      <c r="H65" s="36" t="s">
        <v>4785</v>
      </c>
      <c r="I65" s="228" t="s">
        <v>4786</v>
      </c>
      <c r="J65" s="228" t="s">
        <v>4787</v>
      </c>
    </row>
    <row r="66" customFormat="false" ht="15" hidden="false" customHeight="true" outlineLevel="0" collapsed="false">
      <c r="A66" s="22" t="s">
        <v>111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4788</v>
      </c>
      <c r="C67" s="39" t="n">
        <f aca="false">D32</f>
        <v>47.582032</v>
      </c>
      <c r="D67" s="39" t="n">
        <f aca="false">E32</f>
        <v>53.376392</v>
      </c>
      <c r="E67" s="229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4789</v>
      </c>
      <c r="C68" s="39" t="n">
        <f aca="false">F32</f>
        <v>58.057468</v>
      </c>
      <c r="D68" s="39" t="n">
        <f aca="false">G32</f>
        <v>49.774</v>
      </c>
      <c r="E68" s="229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4790</v>
      </c>
      <c r="C69" s="39" t="n">
        <f aca="false">H32</f>
        <v>48.554512</v>
      </c>
      <c r="D69" s="39" t="n">
        <f aca="false">I32</f>
        <v>51.958192</v>
      </c>
      <c r="E69" s="229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4791</v>
      </c>
      <c r="C70" s="39" t="n">
        <f aca="false">J32</f>
        <v>49.566352</v>
      </c>
      <c r="D70" s="39" t="n">
        <f aca="false">K32</f>
        <v>51.291352</v>
      </c>
      <c r="E70" s="229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4792</v>
      </c>
      <c r="C71" s="39" t="n">
        <f aca="false">L32</f>
        <v>49.451352</v>
      </c>
      <c r="D71" s="39" t="n">
        <f aca="false">M32</f>
        <v>51.406352</v>
      </c>
      <c r="E71" s="229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4793</v>
      </c>
      <c r="C72" s="39" t="n">
        <f aca="false">N32</f>
        <v>50.256352</v>
      </c>
      <c r="D72" s="39" t="n">
        <f aca="false">O32</f>
        <v>50.256352</v>
      </c>
      <c r="E72" s="229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1117</v>
      </c>
      <c r="C73" s="39" t="n">
        <f aca="false">P32</f>
        <v>50.256352</v>
      </c>
      <c r="D73" s="39" t="n">
        <f aca="false">Q32</f>
        <v>50.256352</v>
      </c>
      <c r="E73" s="229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137</v>
      </c>
      <c r="C74" s="39" t="n">
        <f aca="false">R32</f>
        <v>50.256352</v>
      </c>
      <c r="D74" s="39" t="n">
        <f aca="false">S32</f>
        <v>50.256352</v>
      </c>
      <c r="E74" s="229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131</v>
      </c>
      <c r="C75" s="39" t="n">
        <f aca="false">T32</f>
        <v>50.256352</v>
      </c>
      <c r="D75" s="39" t="n">
        <f aca="false">U32</f>
        <v>50.256352</v>
      </c>
      <c r="E75" s="229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4794</v>
      </c>
      <c r="C76" s="39" t="n">
        <f aca="false">V32</f>
        <v>50.256352</v>
      </c>
      <c r="D76" s="39" t="n">
        <f aca="false">W32</f>
        <v>50.256352</v>
      </c>
      <c r="E76" s="229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4795</v>
      </c>
      <c r="C77" s="39" t="n">
        <f aca="false">X32</f>
        <v>51.49006</v>
      </c>
      <c r="D77" s="39" t="n">
        <f aca="false">Y32</f>
        <v>48.623776</v>
      </c>
      <c r="E77" s="229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4796</v>
      </c>
    </row>
    <row r="2" customFormat="false" ht="15" hidden="false" customHeight="true" outlineLevel="0" collapsed="false">
      <c r="A2" s="3" t="s">
        <v>4797</v>
      </c>
    </row>
    <row r="3" customFormat="false" ht="15" hidden="false" customHeight="true" outlineLevel="0" collapsed="false">
      <c r="A3" s="12" t="s">
        <v>411</v>
      </c>
      <c r="B3" s="12" t="s">
        <v>4798</v>
      </c>
      <c r="C3" s="12" t="s">
        <v>4799</v>
      </c>
      <c r="D3" s="12" t="s">
        <v>109</v>
      </c>
      <c r="E3" s="12" t="s">
        <v>643</v>
      </c>
      <c r="F3" s="12" t="s">
        <v>512</v>
      </c>
      <c r="G3" s="9" t="s">
        <v>4800</v>
      </c>
    </row>
    <row r="4" customFormat="false" ht="15" hidden="false" customHeight="true" outlineLevel="0" collapsed="false">
      <c r="A4" s="16" t="s">
        <v>4801</v>
      </c>
      <c r="B4" s="189" t="n">
        <f aca="false">(DC_Cost!M33)/CTL_GW</f>
        <v>50.256352</v>
      </c>
      <c r="C4" s="230" t="str">
        <f aca="false">TEXT(SRC_DC_010_Lo,"0")&amp;"–"&amp;TEXT(SRC_DC_010_Hi,"0")</f>
        <v>50–60</v>
      </c>
      <c r="D4" s="17" t="s">
        <v>3844</v>
      </c>
      <c r="E4" s="22" t="str">
        <f aca="false">IF(AND(B4&gt;=SRC_DC_010_Lo,B4&lt;=SRC_DC_010_Hi),"落在區間",IF(B4&lt;SRC_DC_010_Lo,"低於參照","高於參照"))</f>
        <v>落在區間</v>
      </c>
      <c r="F4" s="20" t="s">
        <v>4802</v>
      </c>
      <c r="G4" s="21" t="s">
        <v>4803</v>
      </c>
    </row>
    <row r="5" customFormat="false" ht="15" hidden="false" customHeight="true" outlineLevel="0" collapsed="false">
      <c r="A5" s="16" t="s">
        <v>4804</v>
      </c>
      <c r="B5" s="189" t="n">
        <f aca="false">(DC_Cost!M19)/CTL_GW</f>
        <v>34.0368</v>
      </c>
      <c r="C5" s="189" t="n">
        <f aca="false">SRC_DC_011</f>
        <v>35</v>
      </c>
      <c r="D5" s="17" t="s">
        <v>3844</v>
      </c>
      <c r="E5" s="22" t="str">
        <f aca="false">IF(ABS(B5-C5)/C5&lt;=L1_JudgeTol,"±"&amp;TEXT(L1_JudgeTol,"0%")&amp;" 內","差距 &gt;"&amp;TEXT(L1_JudgeTol,"0%"))</f>
        <v>±20% 內</v>
      </c>
      <c r="F5" s="20" t="s">
        <v>4805</v>
      </c>
      <c r="G5" s="21" t="s">
        <v>4803</v>
      </c>
    </row>
    <row r="6" customFormat="false" ht="15" hidden="false" customHeight="true" outlineLevel="0" collapsed="false">
      <c r="A6" s="22" t="s">
        <v>1105</v>
      </c>
      <c r="B6" s="189" t="n">
        <f aca="false">DC_Cost!M36</f>
        <v>12.67</v>
      </c>
      <c r="C6" s="230" t="str">
        <f aca="false">TEXT(SRC_DC_003,"0.0")&amp;" × "&amp;TEXT(1+SRC_DC_004_Lo,"0.00")&amp;"–"&amp;TEXT(1+SRC_DC_004_Hi,"0.00")</f>
        <v>11.3 × 1.07–1.10</v>
      </c>
      <c r="D6" s="17" t="s">
        <v>149</v>
      </c>
      <c r="E6" s="22" t="str">
        <f aca="false">IF(AND(B6&gt;=SRC_DC_003*(1+SRC_DC_004_Lo)*0.9,B6&lt;=SRC_DC_003*(1+SRC_DC_004_Hi)*1.3),"合理區間","需檢查")</f>
        <v>合理區間</v>
      </c>
      <c r="F6" s="6" t="s">
        <v>4806</v>
      </c>
      <c r="G6" s="21" t="s">
        <v>4803</v>
      </c>
    </row>
    <row r="7" customFormat="false" ht="15" hidden="false" customHeight="true" outlineLevel="0" collapsed="false">
      <c r="A7" s="16" t="s">
        <v>4807</v>
      </c>
      <c r="B7" s="189" t="n">
        <f aca="false">DC_Cost!G58</f>
        <v>2.00846099652078</v>
      </c>
      <c r="C7" s="189" t="n">
        <f aca="false">SRC_DC_012</f>
        <v>2.21</v>
      </c>
      <c r="D7" s="17" t="s">
        <v>1049</v>
      </c>
      <c r="E7" s="22" t="str">
        <f aca="false">IF(B7&gt;C7,"高於參照（參照假設未知）","低於參照")</f>
        <v>低於參照</v>
      </c>
      <c r="F7" s="6" t="s">
        <v>4808</v>
      </c>
      <c r="G7" s="21" t="s">
        <v>4803</v>
      </c>
    </row>
    <row r="8" customFormat="false" ht="15" hidden="false" customHeight="true" outlineLevel="0" collapsed="false">
      <c r="A8" s="16" t="s">
        <v>4809</v>
      </c>
      <c r="B8" s="189" t="n">
        <f aca="false">DC_Cost!J58</f>
        <v>2.55178761329595</v>
      </c>
      <c r="C8" s="189" t="n">
        <f aca="false">SRC_DC_013</f>
        <v>2.65</v>
      </c>
      <c r="D8" s="17" t="s">
        <v>1049</v>
      </c>
      <c r="E8" s="22" t="str">
        <f aca="false">IF(B8&gt;C8,"高於參照（參照假設未知）","低於參照")</f>
        <v>低於參照</v>
      </c>
      <c r="F8" s="20" t="s">
        <v>4810</v>
      </c>
      <c r="G8" s="21" t="s">
        <v>4803</v>
      </c>
    </row>
    <row r="9" customFormat="false" ht="15" hidden="false" customHeight="true" outlineLevel="0" collapsed="false">
      <c r="A9" s="16" t="s">
        <v>4811</v>
      </c>
      <c r="B9" s="189" t="n">
        <f aca="false">DC_Cost!G58</f>
        <v>2.00846099652078</v>
      </c>
      <c r="C9" s="189" t="n">
        <f aca="false">L1!$M$30</f>
        <v>10.5</v>
      </c>
      <c r="D9" s="17" t="s">
        <v>1049</v>
      </c>
      <c r="E9" s="22" t="str">
        <f aca="false">"牌價 ÷ 持有成本＝"&amp;TEXT(C9/B9,"0.0")&amp;" 倍"</f>
        <v>牌價 ÷ 持有成本＝5.2 倍</v>
      </c>
      <c r="F9" s="6" t="s">
        <v>4812</v>
      </c>
      <c r="G9" s="21" t="s">
        <v>4803</v>
      </c>
    </row>
    <row r="10" customFormat="false" ht="15" hidden="false" customHeight="true" outlineLevel="0" collapsed="false">
      <c r="A10" s="22" t="s">
        <v>4813</v>
      </c>
      <c r="B10" s="189" t="n">
        <f aca="false">DC_Cost!J58</f>
        <v>2.55178761329595</v>
      </c>
      <c r="C10" s="189" t="n">
        <f aca="false">L1!$M$31</f>
        <v>3.57</v>
      </c>
      <c r="D10" s="17" t="s">
        <v>1049</v>
      </c>
      <c r="E10" s="22" t="str">
        <f aca="false">"參照 ÷ 本模型＝"&amp;TEXT(C10/B10,"0.00")</f>
        <v>參照 ÷ 本模型＝1.40</v>
      </c>
      <c r="F10" s="20" t="s">
        <v>4814</v>
      </c>
      <c r="G10" s="21" t="s">
        <v>4803</v>
      </c>
    </row>
    <row r="12" customFormat="false" ht="15" hidden="false" customHeight="true" outlineLevel="0" collapsed="false">
      <c r="A12" s="43" t="s">
        <v>4815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411</v>
      </c>
      <c r="B13" s="9" t="s">
        <v>4816</v>
      </c>
      <c r="C13" s="9" t="s">
        <v>4799</v>
      </c>
      <c r="D13" s="9" t="s">
        <v>109</v>
      </c>
      <c r="E13" s="9" t="s">
        <v>643</v>
      </c>
      <c r="F13" s="9" t="s">
        <v>512</v>
      </c>
      <c r="G13" s="9" t="s">
        <v>4800</v>
      </c>
    </row>
    <row r="14" customFormat="false" ht="15" hidden="false" customHeight="true" outlineLevel="0" collapsed="false">
      <c r="A14" s="5" t="s">
        <v>4817</v>
      </c>
      <c r="B14" s="208" t="n">
        <f aca="false">Calib!C86</f>
        <v>1</v>
      </c>
      <c r="C14" s="30" t="s">
        <v>4818</v>
      </c>
      <c r="D14" s="30" t="s">
        <v>132</v>
      </c>
      <c r="E14" s="93" t="s">
        <v>4819</v>
      </c>
      <c r="F14" s="45" t="s">
        <v>4820</v>
      </c>
      <c r="G14" s="21" t="s">
        <v>4821</v>
      </c>
    </row>
    <row r="15" customFormat="false" ht="26.25" hidden="false" customHeight="true" outlineLevel="0" collapsed="false">
      <c r="A15" s="5" t="s">
        <v>4822</v>
      </c>
      <c r="B15" s="208" t="n">
        <f aca="false">Calib!E86</f>
        <v>0.99108369917347</v>
      </c>
      <c r="C15" s="49" t="n">
        <f aca="false">SRC_PERF_004</f>
        <v>11200</v>
      </c>
      <c r="D15" s="44" t="s">
        <v>4823</v>
      </c>
      <c r="E15" s="88" t="s">
        <v>4824</v>
      </c>
      <c r="F15" s="45" t="s">
        <v>4825</v>
      </c>
      <c r="G15" s="9" t="s">
        <v>4826</v>
      </c>
    </row>
    <row r="16" customFormat="false" ht="26.25" hidden="false" customHeight="true" outlineLevel="0" collapsed="false">
      <c r="A16" s="5" t="s">
        <v>4827</v>
      </c>
      <c r="B16" s="208" t="n">
        <f aca="false">Calib!F86</f>
        <v>2.18428412747673</v>
      </c>
      <c r="C16" s="49" t="n">
        <f aca="false">SRC_PERF_001</f>
        <v>6182</v>
      </c>
      <c r="D16" s="44" t="s">
        <v>4823</v>
      </c>
      <c r="E16" s="93" t="s">
        <v>4828</v>
      </c>
      <c r="F16" s="45" t="s">
        <v>4829</v>
      </c>
      <c r="G16" s="9" t="s">
        <v>4826</v>
      </c>
    </row>
    <row r="17" customFormat="false" ht="26.25" hidden="false" customHeight="true" outlineLevel="0" collapsed="false">
      <c r="A17" s="5" t="s">
        <v>4830</v>
      </c>
      <c r="B17" s="208" t="n">
        <f aca="false">Calib!G86</f>
        <v>4.1124545381639</v>
      </c>
      <c r="C17" s="49" t="n">
        <f aca="false">SRC_PERF_002</f>
        <v>2189</v>
      </c>
      <c r="D17" s="44" t="s">
        <v>4823</v>
      </c>
      <c r="E17" s="93" t="s">
        <v>4831</v>
      </c>
      <c r="F17" s="45" t="s">
        <v>4832</v>
      </c>
      <c r="G17" s="9" t="s">
        <v>4826</v>
      </c>
    </row>
    <row r="18" customFormat="false" ht="15" hidden="false" customHeight="true" outlineLevel="0" collapsed="false">
      <c r="A18" s="5" t="s">
        <v>4833</v>
      </c>
      <c r="B18" s="208" t="n">
        <f aca="false">Calib!H86</f>
        <v>1.00253190991747</v>
      </c>
      <c r="C18" s="49" t="n">
        <f aca="false">SRC_PERF_014</f>
        <v>3795.5</v>
      </c>
      <c r="D18" s="44" t="s">
        <v>4823</v>
      </c>
      <c r="E18" s="93" t="s">
        <v>4834</v>
      </c>
      <c r="F18" s="45" t="s">
        <v>4835</v>
      </c>
      <c r="G18" s="21" t="s">
        <v>4803</v>
      </c>
    </row>
    <row r="19" customFormat="false" ht="29.25" hidden="false" customHeight="true" outlineLevel="0" collapsed="false">
      <c r="A19" s="6" t="s">
        <v>4836</v>
      </c>
      <c r="B19" s="208" t="n">
        <f aca="false">DC_Cost!J58/(Calib!C17*3600)*1000000</f>
        <v>0.0758747918114994</v>
      </c>
      <c r="C19" s="186" t="n">
        <f aca="false">SRC_PERF_011</f>
        <v>0.078</v>
      </c>
      <c r="D19" s="30" t="s">
        <v>3932</v>
      </c>
      <c r="E19" s="93" t="s">
        <v>4837</v>
      </c>
      <c r="F19" s="45" t="s">
        <v>4838</v>
      </c>
      <c r="G19" s="21" t="s">
        <v>4803</v>
      </c>
    </row>
    <row r="20" customFormat="false" ht="39" hidden="false" customHeight="true" outlineLevel="0" collapsed="false">
      <c r="A20" s="6" t="s">
        <v>4839</v>
      </c>
      <c r="B20" s="208" t="n">
        <f aca="false">Sens_Perf!C120</f>
        <v>1.50227667238619</v>
      </c>
      <c r="C20" s="186" t="n">
        <f aca="false">DC_Cost!M55/DC_Cost!J55</f>
        <v>1.12300288885056</v>
      </c>
      <c r="D20" s="30" t="s">
        <v>132</v>
      </c>
      <c r="E20" s="93" t="s">
        <v>4840</v>
      </c>
      <c r="F20" s="45" t="s">
        <v>4841</v>
      </c>
      <c r="G20" s="21" t="s">
        <v>4803</v>
      </c>
    </row>
    <row r="21" customFormat="false" ht="39" hidden="false" customHeight="true" outlineLevel="0" collapsed="false">
      <c r="A21" s="6" t="s">
        <v>4842</v>
      </c>
      <c r="B21" s="208" t="n">
        <f aca="false">DC_Cost!J11*Inputs!$E$10/72</f>
        <v>1.51111111111111</v>
      </c>
      <c r="C21" s="30" t="s">
        <v>4843</v>
      </c>
      <c r="D21" s="30" t="s">
        <v>4844</v>
      </c>
      <c r="E21" s="88" t="s">
        <v>4845</v>
      </c>
      <c r="F21" s="45" t="s">
        <v>513</v>
      </c>
      <c r="G21" s="21" t="s">
        <v>4803</v>
      </c>
    </row>
    <row r="22" customFormat="false" ht="29.25" hidden="false" customHeight="true" outlineLevel="0" collapsed="false">
      <c r="A22" s="6" t="s">
        <v>4846</v>
      </c>
      <c r="B22" s="208" t="n">
        <f aca="false">Sens_Perf!C121</f>
        <v>0.736636921680274</v>
      </c>
      <c r="C22" s="30" t="s">
        <v>4847</v>
      </c>
      <c r="D22" s="30" t="s">
        <v>132</v>
      </c>
      <c r="E22" s="93"/>
      <c r="F22" s="45" t="s">
        <v>4841</v>
      </c>
      <c r="G22" s="21" t="s">
        <v>4803</v>
      </c>
    </row>
    <row r="23" customFormat="false" ht="15" hidden="false" customHeight="true" outlineLevel="0" collapsed="false">
      <c r="A23" s="5" t="s">
        <v>4848</v>
      </c>
      <c r="B23" s="208" t="n">
        <f aca="false">Calib!C149</f>
        <v>0.702796711119185</v>
      </c>
      <c r="C23" s="30" t="s">
        <v>4818</v>
      </c>
      <c r="D23" s="30" t="s">
        <v>132</v>
      </c>
      <c r="E23" s="88" t="s">
        <v>4849</v>
      </c>
      <c r="F23" s="45" t="s">
        <v>4850</v>
      </c>
      <c r="G23" s="9" t="s">
        <v>4826</v>
      </c>
    </row>
    <row r="24" customFormat="false" ht="15" hidden="false" customHeight="true" outlineLevel="0" collapsed="false">
      <c r="A24" s="5" t="s">
        <v>4851</v>
      </c>
      <c r="B24" s="208" t="n">
        <f aca="false">Calib!C150</f>
        <v>2.5251262330147</v>
      </c>
      <c r="C24" s="194" t="n">
        <f aca="false">Calib!C151</f>
        <v>2.5748897461993</v>
      </c>
      <c r="D24" s="30" t="s">
        <v>132</v>
      </c>
      <c r="E24" s="93" t="s">
        <v>4852</v>
      </c>
      <c r="F24" s="45" t="s">
        <v>4853</v>
      </c>
      <c r="G24" s="21" t="s">
        <v>4803</v>
      </c>
    </row>
    <row r="25" customFormat="false" ht="39" hidden="false" customHeight="true" outlineLevel="0" collapsed="false">
      <c r="A25" s="5" t="s">
        <v>4854</v>
      </c>
      <c r="B25" s="208" t="n">
        <f aca="false">Calib!C152</f>
        <v>1.5</v>
      </c>
      <c r="C25" s="194" t="n">
        <f aca="false">Calib!D152</f>
        <v>1.05487728759394</v>
      </c>
      <c r="D25" s="30" t="s">
        <v>132</v>
      </c>
      <c r="E25" s="88" t="s">
        <v>4855</v>
      </c>
      <c r="F25" s="45" t="s">
        <v>4856</v>
      </c>
      <c r="G25" s="21" t="s">
        <v>4803</v>
      </c>
    </row>
    <row r="26" customFormat="false" ht="15" hidden="false" customHeight="true" outlineLevel="0" collapsed="false">
      <c r="A26" s="5" t="s">
        <v>4857</v>
      </c>
      <c r="B26" s="231" t="n">
        <f aca="false">MAX(Perf!C116:Q116)</f>
        <v>0.0852702650102943</v>
      </c>
      <c r="C26" s="30" t="s">
        <v>4858</v>
      </c>
      <c r="D26" s="30" t="s">
        <v>127</v>
      </c>
      <c r="E26" s="93" t="s">
        <v>4859</v>
      </c>
      <c r="F26" s="45" t="s">
        <v>4860</v>
      </c>
      <c r="G26" s="9" t="s">
        <v>4826</v>
      </c>
    </row>
    <row r="27" customFormat="false" ht="15" hidden="false" customHeight="true" outlineLevel="0" collapsed="false">
      <c r="A27" s="6" t="s">
        <v>4861</v>
      </c>
      <c r="B27" s="208" t="n">
        <f aca="false">COUNTIF(Perf!C90:Q90,"SLO 不可達")+COUNTIF(Perf!C90:Q90,"TTFT 不可達")</f>
        <v>0</v>
      </c>
      <c r="C27" s="30" t="s">
        <v>809</v>
      </c>
      <c r="D27" s="44" t="s">
        <v>4862</v>
      </c>
      <c r="E27" s="88" t="s">
        <v>4863</v>
      </c>
      <c r="F27" s="45" t="s">
        <v>4864</v>
      </c>
      <c r="G27" s="21" t="s">
        <v>4803</v>
      </c>
    </row>
    <row r="28" customFormat="false" ht="39" hidden="false" customHeight="true" outlineLevel="0" collapsed="false">
      <c r="A28" s="5" t="s">
        <v>4865</v>
      </c>
      <c r="B28" s="208" t="n">
        <f aca="false">((8*1.32+3.96)/9)/((8*Unit_Cost!J32+Unit_Cost!J34)/9)</f>
        <v>15.740792564158</v>
      </c>
      <c r="C28" s="30" t="s">
        <v>809</v>
      </c>
      <c r="D28" s="30" t="s">
        <v>132</v>
      </c>
      <c r="E28" s="88" t="s">
        <v>4866</v>
      </c>
      <c r="F28" s="45" t="s">
        <v>4867</v>
      </c>
      <c r="G28" s="21" t="s">
        <v>4803</v>
      </c>
    </row>
    <row r="30" customFormat="false" ht="15" hidden="false" customHeight="true" outlineLevel="0" collapsed="false">
      <c r="A30" s="43" t="s">
        <v>4868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411</v>
      </c>
      <c r="B31" s="9" t="s">
        <v>4816</v>
      </c>
      <c r="C31" s="9" t="s">
        <v>4799</v>
      </c>
      <c r="D31" s="9" t="s">
        <v>109</v>
      </c>
      <c r="E31" s="9" t="s">
        <v>643</v>
      </c>
      <c r="F31" s="9" t="s">
        <v>512</v>
      </c>
      <c r="G31" s="9" t="s">
        <v>4800</v>
      </c>
    </row>
    <row r="32" customFormat="false" ht="39" hidden="false" customHeight="true" outlineLevel="0" collapsed="false">
      <c r="A32" s="6" t="s">
        <v>4869</v>
      </c>
      <c r="B32" s="199" t="n">
        <f aca="false">3*(2*Calib!$C$101*1000000000+Calib!$C$109*Train_In!$C$43/2)*Train_In!$C$41*1000000000000/(Train_In!$C$42*1000000*3600*Spec_Rack!$C$40*1000000000000000)</f>
        <v>0.197055428667677</v>
      </c>
      <c r="C32" s="198" t="n">
        <f aca="false">Training!C16</f>
        <v>0.25</v>
      </c>
      <c r="D32" s="30" t="s">
        <v>127</v>
      </c>
      <c r="E32" s="93" t="s">
        <v>4870</v>
      </c>
      <c r="F32" s="45" t="s">
        <v>1206</v>
      </c>
      <c r="G32" s="21" t="s">
        <v>4803</v>
      </c>
    </row>
    <row r="33" customFormat="false" ht="26.25" hidden="false" customHeight="true" outlineLevel="0" collapsed="false">
      <c r="A33" s="6" t="s">
        <v>4871</v>
      </c>
      <c r="B33" s="208" t="n">
        <f aca="false">Training!N78</f>
        <v>1.12717162997901</v>
      </c>
      <c r="C33" s="51" t="n">
        <f aca="false">L1!$M$33</f>
        <v>1</v>
      </c>
      <c r="D33" s="30" t="s">
        <v>132</v>
      </c>
      <c r="E33" s="88" t="s">
        <v>4872</v>
      </c>
      <c r="F33" s="45" t="s">
        <v>4873</v>
      </c>
      <c r="G33" s="21" t="s">
        <v>4803</v>
      </c>
    </row>
    <row r="34" customFormat="false" ht="26.25" hidden="false" customHeight="true" outlineLevel="0" collapsed="false">
      <c r="A34" s="6" t="s">
        <v>4874</v>
      </c>
      <c r="B34" s="208" t="n">
        <f aca="false">Training!M78</f>
        <v>0.371397626434424</v>
      </c>
      <c r="C34" s="51" t="n">
        <f aca="false">L1!$M$32</f>
        <v>0.0551801801801802</v>
      </c>
      <c r="D34" s="30" t="s">
        <v>132</v>
      </c>
      <c r="E34" s="88" t="s">
        <v>4875</v>
      </c>
      <c r="F34" s="45" t="s">
        <v>4876</v>
      </c>
      <c r="G34" s="21" t="s">
        <v>4803</v>
      </c>
    </row>
    <row r="35" customFormat="false" ht="15" hidden="false" customHeight="true" outlineLevel="0" collapsed="false">
      <c r="A35" s="6" t="s">
        <v>4877</v>
      </c>
      <c r="B35" s="199" t="n">
        <f aca="false">Training!N77</f>
        <v>0.0679835504547044</v>
      </c>
      <c r="C35" s="214" t="s">
        <v>4878</v>
      </c>
      <c r="D35" s="30" t="s">
        <v>127</v>
      </c>
      <c r="E35" s="93" t="s">
        <v>4879</v>
      </c>
      <c r="F35" s="21" t="s">
        <v>4880</v>
      </c>
      <c r="G35" s="21" t="s">
        <v>4803</v>
      </c>
    </row>
    <row r="36" customFormat="false" ht="29.25" hidden="false" customHeight="true" outlineLevel="0" collapsed="false">
      <c r="A36" s="5" t="s">
        <v>4881</v>
      </c>
      <c r="B36" s="199" t="n">
        <f aca="false">IF(AND(ISNUMBER(Training!N111),ISNUMBER(Training!N110)),Training!N111-Training!N110,Training!N111)</f>
        <v>0.252262860133895</v>
      </c>
      <c r="C36" s="214" t="s">
        <v>4882</v>
      </c>
      <c r="D36" s="30" t="s">
        <v>127</v>
      </c>
      <c r="E36" s="88" t="s">
        <v>4883</v>
      </c>
      <c r="F36" s="45" t="s">
        <v>4884</v>
      </c>
      <c r="G36" s="9" t="s">
        <v>4826</v>
      </c>
    </row>
    <row r="37" customFormat="false" ht="15" hidden="false" customHeight="true" outlineLevel="0" collapsed="false">
      <c r="A37" s="5" t="s">
        <v>4885</v>
      </c>
      <c r="B37" s="199" t="n">
        <f aca="false">1/Train_In!$C$13</f>
        <v>0.125</v>
      </c>
      <c r="C37" s="198" t="str">
        <f aca="false">TEXT(L1!$M$34*100,"0.0")&amp;"%–"&amp;TEXT(L1!$N$34*100,"0.0")&amp;"%"</f>
        <v>9.6%–22.6%</v>
      </c>
      <c r="D37" s="30" t="s">
        <v>127</v>
      </c>
      <c r="E37" s="88" t="s">
        <v>4886</v>
      </c>
      <c r="F37" s="45" t="s">
        <v>4887</v>
      </c>
      <c r="G37" s="21" t="s">
        <v>4803</v>
      </c>
    </row>
    <row r="38" customFormat="false" ht="36.75" hidden="false" customHeight="true" outlineLevel="0" collapsed="false">
      <c r="A38" s="5" t="s">
        <v>4888</v>
      </c>
      <c r="B38" s="208" t="n">
        <f aca="false">Train_In!$C$47/(Training!N34*1000000000)/1000000000000</f>
        <v>438.443429242364</v>
      </c>
      <c r="C38" s="51" t="n">
        <f aca="false">Training!N31</f>
        <v>60</v>
      </c>
      <c r="D38" s="30" t="s">
        <v>1175</v>
      </c>
      <c r="E38" s="88" t="s">
        <v>4889</v>
      </c>
      <c r="F38" s="45" t="s">
        <v>4890</v>
      </c>
      <c r="G38" s="21" t="s">
        <v>4803</v>
      </c>
    </row>
    <row r="39" customFormat="false" ht="29.25" hidden="false" customHeight="true" outlineLevel="0" collapsed="false">
      <c r="A39" s="6" t="s">
        <v>4891</v>
      </c>
      <c r="B39" s="199" t="n">
        <f aca="false">Training!N117</f>
        <v>0.00500223043232874</v>
      </c>
      <c r="C39" s="198" t="n">
        <f aca="false">Training!K117</f>
        <v>0.00819830093710954</v>
      </c>
      <c r="D39" s="30" t="s">
        <v>127</v>
      </c>
      <c r="E39" s="93" t="s">
        <v>4892</v>
      </c>
      <c r="F39" s="45" t="s">
        <v>3334</v>
      </c>
      <c r="G39" s="21" t="s">
        <v>4803</v>
      </c>
    </row>
    <row r="41" customFormat="false" ht="15" hidden="false" customHeight="true" outlineLevel="0" collapsed="false">
      <c r="A41" s="43" t="s">
        <v>4893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411</v>
      </c>
      <c r="B42" s="9" t="s">
        <v>4816</v>
      </c>
      <c r="C42" s="9" t="s">
        <v>4799</v>
      </c>
      <c r="D42" s="9" t="s">
        <v>109</v>
      </c>
      <c r="E42" s="9" t="s">
        <v>643</v>
      </c>
      <c r="F42" s="9" t="s">
        <v>512</v>
      </c>
      <c r="G42" s="9" t="s">
        <v>4800</v>
      </c>
      <c r="H42" s="9" t="s">
        <v>4894</v>
      </c>
    </row>
    <row r="43" customFormat="false" ht="51.75" hidden="false" customHeight="true" outlineLevel="0" collapsed="false">
      <c r="A43" s="6" t="s">
        <v>4895</v>
      </c>
      <c r="B43" s="208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4896</v>
      </c>
      <c r="E43" s="93" t="s">
        <v>4897</v>
      </c>
      <c r="F43" s="45" t="s">
        <v>4898</v>
      </c>
      <c r="G43" s="21" t="s">
        <v>4803</v>
      </c>
      <c r="H43" s="45" t="s">
        <v>4899</v>
      </c>
      <c r="I43" s="194" t="n">
        <f aca="false">SRC_DEM_007</f>
        <v>13.07</v>
      </c>
    </row>
    <row r="44" customFormat="false" ht="43.5" hidden="false" customHeight="true" outlineLevel="0" collapsed="false">
      <c r="A44" s="6" t="s">
        <v>4900</v>
      </c>
      <c r="B44" s="208" t="n">
        <f aca="false">IF(ISNUMBER(Unit_Cost!D34),INDEX(B4_MktOut,8,1)/Unit_Cost!D34,"SLO 不可達")</f>
        <v>1.24663255293038</v>
      </c>
      <c r="C44" s="232" t="str">
        <f aca="false">"約 "&amp;TEXT(MIN(B44:B46),"0.0")&amp;"–"&amp;TEXT(MAX(B44:B46),"0.0")&amp;"（對照，無通過條件）"</f>
        <v>約 1.0–1.2（對照，無通過條件）</v>
      </c>
      <c r="D44" s="30" t="s">
        <v>132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4901</v>
      </c>
      <c r="G44" s="21" t="s">
        <v>4803</v>
      </c>
      <c r="H44" s="45" t="s">
        <v>4902</v>
      </c>
      <c r="I44" s="194" t="n">
        <f aca="false">SRC_DEM_008</f>
        <v>0.6</v>
      </c>
    </row>
    <row r="45" customFormat="false" ht="29.25" hidden="false" customHeight="true" outlineLevel="0" collapsed="false">
      <c r="A45" s="6" t="s">
        <v>4903</v>
      </c>
      <c r="B45" s="208" t="n">
        <f aca="false">IF(ISNUMBER(Unit_Cost!D31),INDEX(B4_MktOut,8,1)*B4_OffPeak/Unit_Cost!D31,"SLO 不可達")</f>
        <v>1.03886046077532</v>
      </c>
      <c r="C45" s="232" t="str">
        <f aca="false">"約 "&amp;TEXT(MIN(B44:B46),"0.0")&amp;"–"&amp;TEXT(MAX(B44:B46),"0.0")&amp;"（對照，無通過條件）"</f>
        <v>約 1.0–1.2（對照，無通過條件）</v>
      </c>
      <c r="D45" s="30" t="s">
        <v>132</v>
      </c>
      <c r="E45" s="93"/>
      <c r="F45" s="45" t="s">
        <v>4904</v>
      </c>
      <c r="G45" s="21" t="s">
        <v>4803</v>
      </c>
      <c r="H45" s="45" t="s">
        <v>4905</v>
      </c>
      <c r="I45" s="194" t="n">
        <f aca="false">SRC_DEM_009</f>
        <v>1.9</v>
      </c>
    </row>
    <row r="46" customFormat="false" ht="43.5" hidden="false" customHeight="true" outlineLevel="0" collapsed="false">
      <c r="A46" s="6" t="s">
        <v>4906</v>
      </c>
      <c r="B46" s="208" t="n">
        <f aca="false">IF(ISNUMBER(Unit_Cost!D21),INDEX(B4_MktOut,7,1)/Unit_Cost!D21,"SLO 不可達")</f>
        <v>1.24307888854465</v>
      </c>
      <c r="C46" s="232" t="str">
        <f aca="false">"約 "&amp;TEXT(MIN(B44:B46),"0.0")&amp;"–"&amp;TEXT(MAX(B44:B46),"0.0")&amp;"（對照，無通過條件）"</f>
        <v>約 1.0–1.2（對照，無通過條件）</v>
      </c>
      <c r="D46" s="30" t="s">
        <v>132</v>
      </c>
      <c r="E46" s="88" t="s">
        <v>4907</v>
      </c>
      <c r="F46" s="45" t="s">
        <v>4904</v>
      </c>
      <c r="G46" s="21" t="s">
        <v>4803</v>
      </c>
      <c r="H46" s="45" t="s">
        <v>4908</v>
      </c>
      <c r="I46" s="54" t="n">
        <v>0.57</v>
      </c>
      <c r="J46" s="45" t="s">
        <v>4909</v>
      </c>
    </row>
    <row r="47" customFormat="false" ht="15" hidden="false" customHeight="true" outlineLevel="0" collapsed="false">
      <c r="A47" s="5" t="s">
        <v>4910</v>
      </c>
      <c r="B47" s="208" t="str">
        <f aca="false">Price_Frontier!C26</f>
        <v>GPT-6 Luna</v>
      </c>
      <c r="C47" s="232" t="s">
        <v>809</v>
      </c>
      <c r="D47" s="44"/>
      <c r="E47" s="88" t="s">
        <v>4911</v>
      </c>
      <c r="F47" s="45" t="s">
        <v>4912</v>
      </c>
      <c r="G47" s="21" t="s">
        <v>4803</v>
      </c>
    </row>
    <row r="48" customFormat="false" ht="15" hidden="false" customHeight="true" outlineLevel="0" collapsed="false">
      <c r="A48" s="5" t="s">
        <v>4913</v>
      </c>
      <c r="B48" s="208" t="str">
        <f aca="false">Price_Frontier!D26</f>
        <v>GPT-6 Sol</v>
      </c>
      <c r="C48" s="232" t="s">
        <v>809</v>
      </c>
      <c r="D48" s="44"/>
      <c r="E48" s="93"/>
      <c r="F48" s="45" t="s">
        <v>4912</v>
      </c>
      <c r="G48" s="21" t="s">
        <v>4803</v>
      </c>
    </row>
    <row r="49" customFormat="false" ht="39" hidden="false" customHeight="true" outlineLevel="0" collapsed="false">
      <c r="A49" s="5" t="s">
        <v>4914</v>
      </c>
      <c r="B49" s="208" t="str">
        <f aca="false">Price_Frontier!E26</f>
        <v>Claude Fable 5.1</v>
      </c>
      <c r="C49" s="232" t="s">
        <v>809</v>
      </c>
      <c r="D49" s="44"/>
      <c r="E49" s="88" t="s">
        <v>4915</v>
      </c>
      <c r="F49" s="45" t="s">
        <v>4912</v>
      </c>
      <c r="G49" s="21" t="s">
        <v>4803</v>
      </c>
    </row>
    <row r="50" customFormat="false" ht="26.25" hidden="false" customHeight="true" outlineLevel="0" collapsed="false">
      <c r="A50" s="5" t="s">
        <v>4916</v>
      </c>
      <c r="B50" s="208" t="n">
        <f aca="false">Price_Frontier!C33</f>
        <v>1.29646017699115</v>
      </c>
      <c r="C50" s="232" t="s">
        <v>4917</v>
      </c>
      <c r="D50" s="30" t="s">
        <v>132</v>
      </c>
      <c r="E50" s="88" t="s">
        <v>4918</v>
      </c>
      <c r="F50" s="45" t="s">
        <v>4912</v>
      </c>
      <c r="G50" s="21" t="s">
        <v>4803</v>
      </c>
    </row>
    <row r="51" customFormat="false" ht="29.25" hidden="false" customHeight="true" outlineLevel="0" collapsed="false">
      <c r="A51" s="5" t="s">
        <v>4919</v>
      </c>
      <c r="B51" s="208" t="n">
        <f aca="false">Fleet_1GW!M34</f>
        <v>12.1291102743968</v>
      </c>
      <c r="C51" s="232" t="s">
        <v>4920</v>
      </c>
      <c r="D51" s="44" t="s">
        <v>370</v>
      </c>
      <c r="E51" s="93" t="s">
        <v>4921</v>
      </c>
      <c r="F51" s="45" t="s">
        <v>3341</v>
      </c>
      <c r="G51" s="21" t="s">
        <v>4803</v>
      </c>
    </row>
    <row r="52" customFormat="false" ht="29.25" hidden="false" customHeight="true" outlineLevel="0" collapsed="false">
      <c r="A52" s="6" t="s">
        <v>4922</v>
      </c>
      <c r="B52" s="208" t="n">
        <f aca="false">Fleet_1GW!M30</f>
        <v>0</v>
      </c>
      <c r="C52" s="232" t="s">
        <v>4923</v>
      </c>
      <c r="D52" s="30" t="s">
        <v>117</v>
      </c>
      <c r="E52" s="93"/>
      <c r="F52" s="45" t="s">
        <v>3341</v>
      </c>
      <c r="G52" s="21" t="s">
        <v>4821</v>
      </c>
    </row>
    <row r="53" customFormat="false" ht="29.25" hidden="false" customHeight="true" outlineLevel="0" collapsed="false">
      <c r="A53" s="5" t="s">
        <v>4924</v>
      </c>
      <c r="B53" s="200" t="n">
        <f aca="false">IF(ISNUMBER(Amortize!M22),Amortize!M22/INDEX(B4_EffRef,1,2),Amortize!M22)</f>
        <v>0.00322644622893335</v>
      </c>
      <c r="C53" s="232" t="s">
        <v>809</v>
      </c>
      <c r="D53" s="30" t="s">
        <v>127</v>
      </c>
      <c r="E53" s="93" t="s">
        <v>4925</v>
      </c>
      <c r="F53" s="45" t="s">
        <v>3342</v>
      </c>
      <c r="G53" s="21" t="s">
        <v>4803</v>
      </c>
    </row>
    <row r="54" customFormat="false" ht="39" hidden="false" customHeight="true" outlineLevel="0" collapsed="false">
      <c r="A54" s="6" t="s">
        <v>4926</v>
      </c>
      <c r="B54" s="208" t="n">
        <f aca="false">Amortize!M41</f>
        <v>9.53746747046569</v>
      </c>
      <c r="C54" s="232" t="s">
        <v>4927</v>
      </c>
      <c r="D54" s="30" t="s">
        <v>132</v>
      </c>
      <c r="E54" s="93" t="s">
        <v>4928</v>
      </c>
      <c r="F54" s="45" t="s">
        <v>3342</v>
      </c>
      <c r="G54" s="21" t="s">
        <v>4803</v>
      </c>
    </row>
    <row r="55" customFormat="false" ht="29.25" hidden="false" customHeight="true" outlineLevel="0" collapsed="false">
      <c r="A55" s="6" t="s">
        <v>4929</v>
      </c>
      <c r="B55" s="200" t="n">
        <f aca="false">IF(ISNUMBER(Amortize!M47),Amortize!M47/INDEX(B4_EffRef,1,3),Amortize!M47)</f>
        <v>0.153422945244743</v>
      </c>
      <c r="C55" s="232" t="s">
        <v>809</v>
      </c>
      <c r="D55" s="30" t="s">
        <v>127</v>
      </c>
      <c r="E55" s="93" t="s">
        <v>4930</v>
      </c>
      <c r="F55" s="45" t="s">
        <v>3342</v>
      </c>
      <c r="G55" s="21" t="s">
        <v>4803</v>
      </c>
    </row>
    <row r="56" customFormat="false" ht="29.25" hidden="false" customHeight="true" outlineLevel="0" collapsed="false">
      <c r="A56" s="5" t="s">
        <v>4931</v>
      </c>
      <c r="B56" s="208" t="n">
        <f aca="false">Theory_Rev!M64+Theory_Rev!M65+Theory_Rev!M66-Theory_Rev!M67</f>
        <v>0</v>
      </c>
      <c r="C56" s="232" t="s">
        <v>4923</v>
      </c>
      <c r="D56" s="30" t="s">
        <v>2255</v>
      </c>
      <c r="E56" s="93"/>
      <c r="F56" s="45" t="s">
        <v>4932</v>
      </c>
      <c r="G56" s="21" t="s">
        <v>4821</v>
      </c>
    </row>
    <row r="58" customFormat="false" ht="15" hidden="false" customHeight="true" outlineLevel="0" collapsed="false">
      <c r="A58" s="43" t="s">
        <v>4933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411</v>
      </c>
      <c r="B59" s="9" t="s">
        <v>4816</v>
      </c>
      <c r="C59" s="9" t="s">
        <v>4799</v>
      </c>
      <c r="D59" s="9" t="s">
        <v>109</v>
      </c>
      <c r="E59" s="9" t="s">
        <v>643</v>
      </c>
      <c r="F59" s="9" t="s">
        <v>512</v>
      </c>
      <c r="G59" s="9" t="s">
        <v>4800</v>
      </c>
    </row>
    <row r="60" customFormat="false" ht="39" hidden="false" customHeight="true" outlineLevel="0" collapsed="false">
      <c r="A60" s="5" t="s">
        <v>4934</v>
      </c>
      <c r="B60" s="233" t="n">
        <f aca="false">B5_W</f>
        <v>0</v>
      </c>
      <c r="C60" s="232" t="s">
        <v>4923</v>
      </c>
      <c r="D60" s="30" t="s">
        <v>132</v>
      </c>
      <c r="E60" s="88" t="s">
        <v>4935</v>
      </c>
      <c r="F60" s="45" t="s">
        <v>4936</v>
      </c>
      <c r="G60" s="21" t="s">
        <v>4821</v>
      </c>
    </row>
    <row r="61" customFormat="false" ht="29.25" hidden="false" customHeight="true" outlineLevel="0" collapsed="false">
      <c r="A61" s="6" t="s">
        <v>4937</v>
      </c>
      <c r="B61" s="208" t="n">
        <f aca="false">ABS(Workload!C35-Harness!C21)+ABS(Workload!D35-Harness!D21)+ABS(Workload!E35-Harness!E21)+ABS(Workload!F35-Harness!F21)+ABS(Workload!G35-Harness!G21)</f>
        <v>0</v>
      </c>
      <c r="C61" s="232" t="s">
        <v>4938</v>
      </c>
      <c r="D61" s="30" t="s">
        <v>333</v>
      </c>
      <c r="E61" s="88" t="s">
        <v>4939</v>
      </c>
      <c r="F61" s="45" t="s">
        <v>4940</v>
      </c>
      <c r="G61" s="21" t="s">
        <v>4821</v>
      </c>
    </row>
    <row r="62" customFormat="false" ht="39" hidden="false" customHeight="true" outlineLevel="0" collapsed="false">
      <c r="A62" s="6" t="s">
        <v>4941</v>
      </c>
      <c r="B62" s="208" t="n">
        <f aca="false">Harness!G45</f>
        <v>0.492530120481928</v>
      </c>
      <c r="C62" s="51" t="n">
        <f aca="false">Har_In!E72</f>
        <v>0.51</v>
      </c>
      <c r="D62" s="30" t="s">
        <v>132</v>
      </c>
      <c r="E62" s="93" t="s">
        <v>4942</v>
      </c>
      <c r="F62" s="45" t="s">
        <v>2450</v>
      </c>
      <c r="G62" s="21" t="s">
        <v>4803</v>
      </c>
    </row>
    <row r="63" customFormat="false" ht="39" hidden="false" customHeight="true" outlineLevel="0" collapsed="false">
      <c r="A63" s="6" t="s">
        <v>4943</v>
      </c>
      <c r="B63" s="208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132</v>
      </c>
      <c r="E63" s="93" t="s">
        <v>4944</v>
      </c>
      <c r="F63" s="45" t="s">
        <v>2450</v>
      </c>
      <c r="G63" s="21" t="s">
        <v>4803</v>
      </c>
    </row>
    <row r="64" customFormat="false" ht="39" hidden="false" customHeight="true" outlineLevel="0" collapsed="false">
      <c r="A64" s="6" t="s">
        <v>4945</v>
      </c>
      <c r="B64" s="208" t="n">
        <f aca="false">((1/Har_In!C70-1)/(1/Har_In!C71-1))^(1/B5_Beta)</f>
        <v>145.519176037217</v>
      </c>
      <c r="C64" s="232" t="s">
        <v>4946</v>
      </c>
      <c r="D64" s="30" t="s">
        <v>132</v>
      </c>
      <c r="E64" s="93" t="s">
        <v>4947</v>
      </c>
      <c r="F64" s="45" t="s">
        <v>4948</v>
      </c>
      <c r="G64" s="21" t="s">
        <v>4803</v>
      </c>
    </row>
    <row r="65" customFormat="false" ht="15" hidden="false" customHeight="true" outlineLevel="0" collapsed="false">
      <c r="A65" s="6" t="s">
        <v>4949</v>
      </c>
      <c r="B65" s="208" t="n">
        <f aca="false">AVERAGE(Har_In!F77:F80)</f>
        <v>0.80134078201291</v>
      </c>
      <c r="C65" s="232" t="n">
        <f aca="false">B5_Beta</f>
        <v>0.75</v>
      </c>
      <c r="D65" s="30" t="s">
        <v>132</v>
      </c>
      <c r="E65" s="93" t="s">
        <v>4950</v>
      </c>
      <c r="F65" s="45" t="s">
        <v>2473</v>
      </c>
      <c r="G65" s="21" t="s">
        <v>4803</v>
      </c>
    </row>
    <row r="66" customFormat="false" ht="29.25" hidden="false" customHeight="true" outlineLevel="0" collapsed="false">
      <c r="A66" s="6" t="s">
        <v>4951</v>
      </c>
      <c r="B66" s="199" t="n">
        <f aca="false">Harness!G62</f>
        <v>0.627115119175411</v>
      </c>
      <c r="C66" s="232" t="s">
        <v>809</v>
      </c>
      <c r="D66" s="30" t="s">
        <v>127</v>
      </c>
      <c r="E66" s="93" t="s">
        <v>4952</v>
      </c>
      <c r="F66" s="45" t="s">
        <v>4953</v>
      </c>
      <c r="G66" s="21" t="s">
        <v>4803</v>
      </c>
    </row>
    <row r="67" customFormat="false" ht="29.25" hidden="false" customHeight="true" outlineLevel="0" collapsed="false">
      <c r="A67" s="5" t="s">
        <v>4954</v>
      </c>
      <c r="B67" s="208" t="str">
        <f aca="false">Harness!G152</f>
        <v>Sol｜選定</v>
      </c>
      <c r="C67" s="51" t="str">
        <f aca="false">Harness!G148</f>
        <v>Luna｜選定</v>
      </c>
      <c r="D67" s="44"/>
      <c r="E67" s="93" t="s">
        <v>4955</v>
      </c>
      <c r="F67" s="45" t="s">
        <v>4956</v>
      </c>
      <c r="G67" s="21" t="s">
        <v>4803</v>
      </c>
    </row>
    <row r="68" customFormat="false" ht="29.25" hidden="false" customHeight="true" outlineLevel="0" collapsed="false">
      <c r="A68" s="6" t="s">
        <v>4957</v>
      </c>
      <c r="B68" s="208" t="n">
        <f aca="false">MIN(Sens_Har!C37:Z37)</f>
        <v>0.46224248549693</v>
      </c>
      <c r="C68" s="51" t="n">
        <f aca="false">MAX(Sens_Har!C37:Z37)</f>
        <v>1.44258441630667</v>
      </c>
      <c r="D68" s="30" t="s">
        <v>132</v>
      </c>
      <c r="E68" s="93" t="s">
        <v>4958</v>
      </c>
      <c r="F68" s="45" t="s">
        <v>4959</v>
      </c>
      <c r="G68" s="21" t="s">
        <v>4803</v>
      </c>
    </row>
    <row r="69" customFormat="false" ht="26.25" hidden="false" customHeight="true" outlineLevel="0" collapsed="false">
      <c r="A69" s="5" t="s">
        <v>4960</v>
      </c>
      <c r="B69" s="213" t="n">
        <f aca="false">B5_PFloor</f>
        <v>0.5</v>
      </c>
      <c r="C69" s="232" t="s">
        <v>4961</v>
      </c>
      <c r="D69" s="30" t="s">
        <v>127</v>
      </c>
      <c r="E69" s="93" t="s">
        <v>4962</v>
      </c>
      <c r="F69" s="45" t="s">
        <v>4963</v>
      </c>
      <c r="G69" s="21" t="s">
        <v>4803</v>
      </c>
    </row>
    <row r="70" customFormat="false" ht="29.25" hidden="false" customHeight="true" outlineLevel="0" collapsed="false">
      <c r="A70" s="5" t="s">
        <v>4964</v>
      </c>
      <c r="B70" s="208" t="n">
        <f aca="false">COUNTIF(Harness!C152:G152,"無合格")</f>
        <v>0</v>
      </c>
      <c r="C70" s="232" t="s">
        <v>4965</v>
      </c>
      <c r="D70" s="44"/>
      <c r="E70" s="88" t="s">
        <v>4966</v>
      </c>
      <c r="F70" s="45" t="s">
        <v>4956</v>
      </c>
      <c r="G70" s="21" t="s">
        <v>4803</v>
      </c>
    </row>
    <row r="72" customFormat="false" ht="15" hidden="false" customHeight="true" outlineLevel="0" collapsed="false">
      <c r="A72" s="43" t="s">
        <v>4967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4968</v>
      </c>
      <c r="B73" s="9" t="s">
        <v>4969</v>
      </c>
      <c r="C73" s="9" t="s">
        <v>4970</v>
      </c>
      <c r="D73" s="9" t="s">
        <v>4971</v>
      </c>
      <c r="E73" s="9" t="s">
        <v>4972</v>
      </c>
      <c r="G73" s="9" t="s">
        <v>4800</v>
      </c>
    </row>
    <row r="74" customFormat="false" ht="15" hidden="false" customHeight="true" outlineLevel="0" collapsed="false">
      <c r="A74" s="30" t="s">
        <v>4973</v>
      </c>
      <c r="B74" s="44" t="s">
        <v>4974</v>
      </c>
      <c r="C74" s="8" t="s">
        <v>4975</v>
      </c>
      <c r="D74" s="32" t="n">
        <f aca="false">COUNTIF(Gov_Map!$V$5:$V$700,1)</f>
        <v>0</v>
      </c>
      <c r="E74" s="45" t="s">
        <v>4976</v>
      </c>
      <c r="G74" s="21" t="s">
        <v>4977</v>
      </c>
    </row>
    <row r="75" customFormat="false" ht="15" hidden="false" customHeight="true" outlineLevel="0" collapsed="false">
      <c r="A75" s="30" t="s">
        <v>4978</v>
      </c>
      <c r="B75" s="30" t="s">
        <v>4979</v>
      </c>
      <c r="C75" s="8" t="s">
        <v>4975</v>
      </c>
      <c r="D75" s="32" t="n">
        <f aca="false">COUNTIF(Gov_Map!$W$5:$W$700,1)</f>
        <v>0</v>
      </c>
      <c r="E75" s="45" t="s">
        <v>4980</v>
      </c>
      <c r="G75" s="21" t="s">
        <v>4977</v>
      </c>
    </row>
    <row r="76" customFormat="false" ht="15" hidden="false" customHeight="true" outlineLevel="0" collapsed="false">
      <c r="A76" s="30" t="s">
        <v>4981</v>
      </c>
      <c r="B76" s="30" t="s">
        <v>4982</v>
      </c>
      <c r="C76" s="8" t="s">
        <v>4975</v>
      </c>
      <c r="D76" s="32" t="n">
        <f aca="false">COUNTIF(Gov_Map!$X$5:$X$700,1)</f>
        <v>0</v>
      </c>
      <c r="E76" s="45" t="s">
        <v>4983</v>
      </c>
      <c r="G76" s="21" t="s">
        <v>4977</v>
      </c>
    </row>
    <row r="77" customFormat="false" ht="15" hidden="false" customHeight="true" outlineLevel="0" collapsed="false">
      <c r="A77" s="30" t="s">
        <v>4984</v>
      </c>
      <c r="B77" s="30" t="s">
        <v>4985</v>
      </c>
      <c r="C77" s="8" t="s">
        <v>4975</v>
      </c>
      <c r="D77" s="32" t="n">
        <f aca="false">COUNTIF(Gov_Map!$Y$5:$Y$700,1)</f>
        <v>0</v>
      </c>
      <c r="E77" s="45" t="s">
        <v>4980</v>
      </c>
      <c r="G77" s="21" t="s">
        <v>4977</v>
      </c>
    </row>
    <row r="78" customFormat="false" ht="15" hidden="false" customHeight="true" outlineLevel="0" collapsed="false">
      <c r="A78" s="30" t="s">
        <v>3108</v>
      </c>
      <c r="B78" s="30" t="s">
        <v>4986</v>
      </c>
      <c r="C78" s="8" t="s">
        <v>4975</v>
      </c>
      <c r="D78" s="32" t="n">
        <f aca="false">COUNTIF(Gov_Map!$Z$5:$Z$700,1)</f>
        <v>0</v>
      </c>
      <c r="E78" s="45" t="s">
        <v>4980</v>
      </c>
      <c r="G78" s="21" t="s">
        <v>4977</v>
      </c>
    </row>
    <row r="79" customFormat="false" ht="15" hidden="false" customHeight="true" outlineLevel="0" collapsed="false">
      <c r="A79" s="30" t="s">
        <v>3109</v>
      </c>
      <c r="B79" s="44" t="s">
        <v>4987</v>
      </c>
      <c r="C79" s="8" t="s">
        <v>4975</v>
      </c>
      <c r="D79" s="32" t="n">
        <f aca="false">COUNTIF(Gov_Map!$AA$5:$AA$700,1)</f>
        <v>0</v>
      </c>
      <c r="E79" s="45" t="s">
        <v>4988</v>
      </c>
      <c r="G79" s="21" t="s">
        <v>4977</v>
      </c>
    </row>
    <row r="80" customFormat="false" ht="15" hidden="false" customHeight="true" outlineLevel="0" collapsed="false">
      <c r="A80" s="30" t="s">
        <v>3209</v>
      </c>
      <c r="B80" s="44" t="s">
        <v>4989</v>
      </c>
      <c r="C80" s="8" t="s">
        <v>4975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4990</v>
      </c>
      <c r="G80" s="21" t="s">
        <v>4977</v>
      </c>
    </row>
    <row r="81" customFormat="false" ht="15" hidden="false" customHeight="true" outlineLevel="0" collapsed="false">
      <c r="A81" s="30" t="s">
        <v>3110</v>
      </c>
      <c r="B81" s="30" t="s">
        <v>4991</v>
      </c>
      <c r="C81" s="8" t="s">
        <v>4975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4992</v>
      </c>
      <c r="G81" s="21" t="s">
        <v>4977</v>
      </c>
    </row>
    <row r="82" customFormat="false" ht="15" hidden="false" customHeight="true" outlineLevel="0" collapsed="false">
      <c r="A82" s="30" t="s">
        <v>3112</v>
      </c>
      <c r="B82" s="44" t="s">
        <v>4993</v>
      </c>
      <c r="C82" s="8" t="s">
        <v>4975</v>
      </c>
      <c r="D82" s="32" t="n">
        <f aca="false">COUNTIF(Gov_Map!$AB$5:$AB$700,1)</f>
        <v>0</v>
      </c>
      <c r="E82" s="45" t="s">
        <v>4994</v>
      </c>
      <c r="G82" s="21" t="s">
        <v>4977</v>
      </c>
    </row>
    <row r="83" customFormat="false" ht="15" hidden="false" customHeight="true" outlineLevel="0" collapsed="false">
      <c r="A83" s="30" t="s">
        <v>3115</v>
      </c>
      <c r="B83" s="44" t="s">
        <v>4995</v>
      </c>
      <c r="C83" s="8" t="s">
        <v>4975</v>
      </c>
      <c r="D83" s="32" t="n">
        <f aca="false">COUNTIF(Gov_Map!$AC$5:$AC$700,1)</f>
        <v>0</v>
      </c>
      <c r="E83" s="45" t="s">
        <v>4996</v>
      </c>
      <c r="G83" s="21" t="s">
        <v>4977</v>
      </c>
    </row>
    <row r="84" customFormat="false" ht="15" hidden="false" customHeight="true" outlineLevel="0" collapsed="false">
      <c r="A84" s="30" t="s">
        <v>3118</v>
      </c>
      <c r="B84" s="30" t="s">
        <v>4997</v>
      </c>
      <c r="C84" s="8" t="s">
        <v>4975</v>
      </c>
      <c r="D84" s="32" t="n">
        <v>0</v>
      </c>
      <c r="E84" s="21" t="s">
        <v>4998</v>
      </c>
      <c r="G84" s="21" t="s">
        <v>4977</v>
      </c>
    </row>
    <row r="85" customFormat="false" ht="15" hidden="false" customHeight="true" outlineLevel="0" collapsed="false">
      <c r="A85" s="30" t="s">
        <v>3182</v>
      </c>
      <c r="B85" s="44" t="s">
        <v>4999</v>
      </c>
      <c r="C85" s="8" t="s">
        <v>4975</v>
      </c>
      <c r="D85" s="32" t="n">
        <f aca="false">COUNTIF(Gov_Map!$AE$5:$AE$700,1)</f>
        <v>0</v>
      </c>
      <c r="E85" s="45" t="s">
        <v>4980</v>
      </c>
      <c r="G85" s="21" t="s">
        <v>4977</v>
      </c>
    </row>
    <row r="86" customFormat="false" ht="15" hidden="false" customHeight="true" outlineLevel="0" collapsed="false">
      <c r="A86" s="30" t="s">
        <v>3121</v>
      </c>
      <c r="B86" s="30" t="s">
        <v>5000</v>
      </c>
      <c r="C86" s="8" t="s">
        <v>4975</v>
      </c>
      <c r="D86" s="32" t="n">
        <f aca="false">COUNTIF(SRC_HW!$A$125:$A$400,"&lt;&gt;—")-COUNTIF(SRC_HW!$A$125:$A$400,"")+COUNTIF(SRC_DC!$A$74:$A$400,"&lt;&gt;—")-COUNTIF(SRC_DC!$A$74:$A$400,"")+COUNTIF(SRC_Model!$A$116:$A$400,"&lt;&gt;—")-COUNTIF(SRC_Model!$A$116:$A$400,"")+COUNTIF(SRC_Perf!$A$138:$A$400,"&lt;&gt;—")-COUNTIF(SRC_Perf!$A$138:$A$400,"")+COUNTIF(SRC_Price!$A$101:$A$400,"&lt;&gt;—")-COUNTIF(SRC_Price!$A$101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5001</v>
      </c>
      <c r="G86" s="21" t="s">
        <v>4977</v>
      </c>
    </row>
    <row r="87" customFormat="false" ht="15" hidden="false" customHeight="true" outlineLevel="0" collapsed="false">
      <c r="A87" s="30" t="s">
        <v>5002</v>
      </c>
      <c r="B87" s="44" t="s">
        <v>5003</v>
      </c>
      <c r="C87" s="30" t="s">
        <v>5004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278</v>
      </c>
      <c r="E87" s="45" t="s">
        <v>5005</v>
      </c>
      <c r="G87" s="21" t="s">
        <v>4977</v>
      </c>
    </row>
    <row r="88" customFormat="false" ht="15" hidden="false" customHeight="true" outlineLevel="0" collapsed="false">
      <c r="A88" s="30" t="s">
        <v>5006</v>
      </c>
      <c r="B88" s="30" t="s">
        <v>5007</v>
      </c>
      <c r="C88" s="30" t="s">
        <v>5004</v>
      </c>
      <c r="D88" s="32" t="n">
        <f aca="false">COUNTIF(Gov_Map!$AD$5:$AD$700,1)</f>
        <v>0</v>
      </c>
      <c r="E88" s="45" t="s">
        <v>5008</v>
      </c>
      <c r="G88" s="21" t="s">
        <v>4977</v>
      </c>
    </row>
    <row r="89" customFormat="false" ht="15" hidden="false" customHeight="true" outlineLevel="0" collapsed="false">
      <c r="A89" s="30" t="s">
        <v>5009</v>
      </c>
      <c r="B89" s="30" t="s">
        <v>5010</v>
      </c>
      <c r="C89" s="30" t="s">
        <v>5011</v>
      </c>
      <c r="D89" s="32" t="n">
        <f aca="false">COUNTIF(DB_Evidence!$L$5:$L$500,"待判定")</f>
        <v>6</v>
      </c>
      <c r="E89" s="45" t="s">
        <v>5012</v>
      </c>
      <c r="G89" s="21" t="s">
        <v>4977</v>
      </c>
    </row>
    <row r="90" customFormat="false" ht="15" hidden="false" customHeight="true" outlineLevel="0" collapsed="false">
      <c r="A90" s="30" t="s">
        <v>5013</v>
      </c>
      <c r="B90" s="30" t="s">
        <v>5014</v>
      </c>
      <c r="C90" s="30" t="s">
        <v>5011</v>
      </c>
      <c r="D90" s="32" t="n">
        <f aca="false">COUNTIF(DB_Evidence!$L$5:$L$500,"待 Andy")</f>
        <v>0</v>
      </c>
      <c r="E90" s="45" t="s">
        <v>5012</v>
      </c>
      <c r="G90" s="21" t="s">
        <v>4977</v>
      </c>
    </row>
    <row r="91" customFormat="false" ht="15" hidden="false" customHeight="true" outlineLevel="0" collapsed="false">
      <c r="A91" s="30" t="s">
        <v>5015</v>
      </c>
      <c r="B91" s="30" t="s">
        <v>5016</v>
      </c>
      <c r="C91" s="30" t="s">
        <v>5011</v>
      </c>
      <c r="D91" s="32" t="n">
        <f aca="false">COUNTIF(L1!$P$5:$P$200,"低於外部區間")+COUNTIF(L1!$P$5:$P$200,"高於外部區間")+COUNTIF(L1!$P$5:$P$200,"差距 &gt;"&amp;TEXT(L1_JudgeTol,"0%"))</f>
        <v>20</v>
      </c>
      <c r="E91" s="45" t="s">
        <v>5017</v>
      </c>
      <c r="G91" s="21" t="s">
        <v>4977</v>
      </c>
    </row>
    <row r="92" customFormat="false" ht="15" hidden="false" customHeight="true" outlineLevel="0" collapsed="false">
      <c r="A92" s="30" t="s">
        <v>5018</v>
      </c>
      <c r="B92" s="44" t="s">
        <v>5019</v>
      </c>
      <c r="C92" s="30" t="s">
        <v>5011</v>
      </c>
      <c r="D92" s="32" t="n">
        <f aca="false">COUNTIF(Gov_Map!$F$5:$F$700,"原始數據（G0-2 保留）")</f>
        <v>14</v>
      </c>
      <c r="E92" s="45" t="s">
        <v>4980</v>
      </c>
      <c r="G92" s="21" t="s">
        <v>4977</v>
      </c>
    </row>
    <row r="93" customFormat="false" ht="15" hidden="false" customHeight="true" outlineLevel="0" collapsed="false">
      <c r="A93" s="30" t="s">
        <v>5020</v>
      </c>
      <c r="B93" s="30" t="s">
        <v>5021</v>
      </c>
      <c r="C93" s="30" t="s">
        <v>5011</v>
      </c>
      <c r="D93" s="32" t="n">
        <f aca="false">COUNTIF(Gov_Map!$F$5:$F$700,"Derived（待改公式）")</f>
        <v>0</v>
      </c>
      <c r="E93" s="45" t="s">
        <v>5022</v>
      </c>
      <c r="G93" s="21" t="s">
        <v>4977</v>
      </c>
    </row>
    <row r="94" customFormat="false" ht="15" hidden="false" customHeight="true" outlineLevel="0" collapsed="false">
      <c r="A94" s="30" t="s">
        <v>3301</v>
      </c>
      <c r="B94" s="44" t="s">
        <v>5023</v>
      </c>
      <c r="C94" s="30" t="s">
        <v>5011</v>
      </c>
      <c r="D94" s="32" t="n">
        <f aca="false">COUNTIF(Gov_Map!$M$5:$M$700,"結構選擇（無數值區間）")</f>
        <v>26</v>
      </c>
      <c r="E94" s="45" t="s">
        <v>4980</v>
      </c>
      <c r="G94" s="21" t="s">
        <v>4977</v>
      </c>
    </row>
    <row r="95" customFormat="false" ht="15" hidden="false" customHeight="true" outlineLevel="0" collapsed="false">
      <c r="A95" s="30" t="s">
        <v>3310</v>
      </c>
      <c r="B95" s="44" t="s">
        <v>5024</v>
      </c>
      <c r="C95" s="30" t="s">
        <v>5011</v>
      </c>
      <c r="D95" s="32" t="n">
        <f aca="false">COUNTIF(Gov_Map!$F$5:$F$700,"原始數據（切片二）")</f>
        <v>3</v>
      </c>
      <c r="E95" s="45" t="s">
        <v>5025</v>
      </c>
      <c r="G95" s="21" t="s">
        <v>4977</v>
      </c>
    </row>
    <row r="96" customFormat="false" ht="15" hidden="false" customHeight="true" outlineLevel="0" collapsed="false">
      <c r="A96" s="30" t="s">
        <v>5026</v>
      </c>
      <c r="B96" s="44" t="s">
        <v>5027</v>
      </c>
      <c r="C96" s="30" t="s">
        <v>5011</v>
      </c>
      <c r="D96" s="32" t="n">
        <f aca="false">COUNTIF(Gov_Map!$O$5:$O$700,"&lt;&gt;—")-COUNTIF(Gov_Map!$O$5:$O$700,"")</f>
        <v>58</v>
      </c>
      <c r="E96" s="45" t="s">
        <v>5028</v>
      </c>
      <c r="G96" s="21" t="s">
        <v>4977</v>
      </c>
    </row>
    <row r="97" customFormat="false" ht="15" hidden="false" customHeight="true" outlineLevel="0" collapsed="false">
      <c r="B97" s="8" t="s">
        <v>5029</v>
      </c>
      <c r="D97" s="234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5030</v>
      </c>
      <c r="D98" s="32" t="n">
        <f aca="false">D87+D88+D106+D118+D128+D129+D130+D131+D178+MAX(D179,D180)</f>
        <v>280</v>
      </c>
    </row>
    <row r="99" customFormat="false" ht="15" hidden="false" customHeight="true" outlineLevel="0" collapsed="false">
      <c r="B99" s="8" t="s">
        <v>5031</v>
      </c>
      <c r="D99" s="32" t="n">
        <f aca="false">D89+D90+D91+D92+D93+D94+D95+D96+D121+D122+D123+D124+D132</f>
        <v>184</v>
      </c>
    </row>
    <row r="100" customFormat="false" ht="15" hidden="false" customHeight="true" outlineLevel="0" collapsed="false">
      <c r="B100" s="21" t="s">
        <v>5032</v>
      </c>
    </row>
    <row r="102" customFormat="false" ht="15" hidden="false" customHeight="true" outlineLevel="0" collapsed="false">
      <c r="A102" s="43" t="s">
        <v>5033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4968</v>
      </c>
      <c r="B103" s="9" t="s">
        <v>4969</v>
      </c>
      <c r="C103" s="9" t="s">
        <v>4970</v>
      </c>
      <c r="D103" s="9" t="s">
        <v>4971</v>
      </c>
      <c r="E103" s="9" t="s">
        <v>4972</v>
      </c>
      <c r="G103" s="9" t="s">
        <v>4800</v>
      </c>
    </row>
    <row r="104" customFormat="false" ht="15" hidden="false" customHeight="true" outlineLevel="0" collapsed="false">
      <c r="A104" s="30" t="s">
        <v>5034</v>
      </c>
      <c r="B104" s="44" t="s">
        <v>5035</v>
      </c>
      <c r="C104" s="8" t="s">
        <v>4975</v>
      </c>
      <c r="D104" s="32" t="n">
        <f aca="false">IF(ABS(Alloc_In!$C$18-1)&gt;0.000000001,1,0)</f>
        <v>0</v>
      </c>
      <c r="E104" s="45" t="s">
        <v>5036</v>
      </c>
      <c r="G104" s="21" t="s">
        <v>4821</v>
      </c>
    </row>
    <row r="105" customFormat="false" ht="15" hidden="false" customHeight="true" outlineLevel="0" collapsed="false">
      <c r="A105" s="30" t="s">
        <v>5037</v>
      </c>
      <c r="B105" s="30" t="s">
        <v>5038</v>
      </c>
      <c r="C105" s="8" t="s">
        <v>4975</v>
      </c>
      <c r="D105" s="32" t="n">
        <f aca="false">SUM(AL_SensCheck)</f>
        <v>0</v>
      </c>
      <c r="E105" s="45" t="s">
        <v>5039</v>
      </c>
      <c r="G105" s="21" t="s">
        <v>4821</v>
      </c>
    </row>
    <row r="106" customFormat="false" ht="15" hidden="false" customHeight="true" outlineLevel="0" collapsed="false">
      <c r="A106" s="30" t="s">
        <v>5040</v>
      </c>
      <c r="B106" s="30" t="s">
        <v>5041</v>
      </c>
      <c r="C106" s="8" t="s">
        <v>5004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5042</v>
      </c>
      <c r="G106" s="21" t="s">
        <v>4977</v>
      </c>
    </row>
    <row r="108" customFormat="false" ht="15" hidden="false" customHeight="true" outlineLevel="0" collapsed="false">
      <c r="A108" s="43" t="s">
        <v>5043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4968</v>
      </c>
      <c r="B109" s="9" t="s">
        <v>4969</v>
      </c>
      <c r="C109" s="9" t="s">
        <v>4970</v>
      </c>
      <c r="D109" s="9" t="s">
        <v>4971</v>
      </c>
      <c r="E109" s="9" t="s">
        <v>4972</v>
      </c>
      <c r="G109" s="9" t="s">
        <v>4800</v>
      </c>
    </row>
    <row r="110" customFormat="false" ht="15" hidden="false" customHeight="true" outlineLevel="0" collapsed="false">
      <c r="A110" s="30" t="s">
        <v>5044</v>
      </c>
      <c r="B110" s="44" t="s">
        <v>5045</v>
      </c>
      <c r="C110" s="8" t="s">
        <v>4975</v>
      </c>
      <c r="D110" s="33" t="n">
        <f aca="false">SUM(Theory_Rev_Prod!C90:Q96)</f>
        <v>0</v>
      </c>
      <c r="E110" s="45" t="s">
        <v>5046</v>
      </c>
      <c r="G110" s="21" t="s">
        <v>4821</v>
      </c>
    </row>
    <row r="112" customFormat="false" ht="15" hidden="false" customHeight="true" outlineLevel="0" collapsed="false">
      <c r="A112" s="43" t="s">
        <v>5047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4968</v>
      </c>
      <c r="B113" s="9" t="s">
        <v>4969</v>
      </c>
      <c r="C113" s="9" t="s">
        <v>4970</v>
      </c>
      <c r="D113" s="9" t="s">
        <v>4971</v>
      </c>
      <c r="E113" s="9" t="s">
        <v>4972</v>
      </c>
      <c r="G113" s="9" t="s">
        <v>4800</v>
      </c>
    </row>
    <row r="114" customFormat="false" ht="15" hidden="false" customHeight="true" outlineLevel="0" collapsed="false">
      <c r="A114" s="30" t="s">
        <v>5048</v>
      </c>
      <c r="B114" s="44" t="s">
        <v>5049</v>
      </c>
      <c r="C114" s="8" t="s">
        <v>4975</v>
      </c>
      <c r="D114" s="33" t="n">
        <f aca="false">SUM(Theory_Rev!C96:Q99)</f>
        <v>0</v>
      </c>
      <c r="E114" s="45" t="s">
        <v>5050</v>
      </c>
      <c r="G114" s="21" t="s">
        <v>4821</v>
      </c>
    </row>
    <row r="116" customFormat="false" ht="15" hidden="false" customHeight="true" outlineLevel="0" collapsed="false">
      <c r="A116" s="43" t="s">
        <v>5051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4968</v>
      </c>
      <c r="B117" s="9" t="s">
        <v>4969</v>
      </c>
      <c r="C117" s="9" t="s">
        <v>4970</v>
      </c>
      <c r="D117" s="9" t="s">
        <v>4971</v>
      </c>
      <c r="E117" s="9" t="s">
        <v>4972</v>
      </c>
      <c r="G117" s="9" t="s">
        <v>4800</v>
      </c>
    </row>
    <row r="118" customFormat="false" ht="57.75" hidden="false" customHeight="true" outlineLevel="0" collapsed="false">
      <c r="A118" s="30" t="s">
        <v>5052</v>
      </c>
      <c r="B118" s="6" t="s">
        <v>5053</v>
      </c>
      <c r="C118" s="30" t="s">
        <v>5004</v>
      </c>
      <c r="D118" s="32" t="n">
        <f aca="false">COUNTIF(Interface!$R$6:$R$344,"—")</f>
        <v>0</v>
      </c>
      <c r="E118" s="45" t="s">
        <v>5054</v>
      </c>
      <c r="G118" s="21" t="s">
        <v>4977</v>
      </c>
    </row>
    <row r="119" customFormat="false" ht="72" hidden="false" customHeight="true" outlineLevel="0" collapsed="false">
      <c r="A119" s="30" t="s">
        <v>5055</v>
      </c>
      <c r="B119" s="6" t="s">
        <v>5056</v>
      </c>
      <c r="C119" s="8" t="s">
        <v>4975</v>
      </c>
      <c r="D119" s="32" t="n">
        <f aca="false">SUMPRODUCT((Interface!$R$6:$R$344="A")*(Interface!$Y$6:$Y$344=1)*(Interface!$X$6:$X$344=0))</f>
        <v>0</v>
      </c>
      <c r="E119" s="45" t="s">
        <v>5057</v>
      </c>
      <c r="G119" s="21" t="s">
        <v>4977</v>
      </c>
    </row>
    <row r="120" customFormat="false" ht="86.25" hidden="false" customHeight="true" outlineLevel="0" collapsed="false">
      <c r="A120" s="30" t="s">
        <v>5058</v>
      </c>
      <c r="B120" s="5" t="s">
        <v>5059</v>
      </c>
      <c r="C120" s="8" t="s">
        <v>4975</v>
      </c>
      <c r="D120" s="32" t="n">
        <f aca="false">SUM(Interface!C289:Q310)</f>
        <v>0</v>
      </c>
      <c r="E120" s="45" t="s">
        <v>5060</v>
      </c>
      <c r="G120" s="21" t="s">
        <v>4821</v>
      </c>
    </row>
    <row r="121" customFormat="false" ht="170.25" hidden="false" customHeight="true" outlineLevel="0" collapsed="false">
      <c r="A121" s="30" t="s">
        <v>5061</v>
      </c>
      <c r="B121" s="6" t="s">
        <v>5062</v>
      </c>
      <c r="C121" s="30" t="s">
        <v>5011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5063</v>
      </c>
      <c r="G121" s="21" t="s">
        <v>4821</v>
      </c>
    </row>
    <row r="122" customFormat="false" ht="108.75" hidden="false" customHeight="true" outlineLevel="0" collapsed="false">
      <c r="A122" s="30" t="s">
        <v>5064</v>
      </c>
      <c r="B122" s="6" t="s">
        <v>5065</v>
      </c>
      <c r="C122" s="30" t="s">
        <v>5011</v>
      </c>
      <c r="D122" s="32" t="n">
        <f aca="false">LB_LiveCount</f>
        <v>57</v>
      </c>
      <c r="E122" s="45" t="s">
        <v>5066</v>
      </c>
      <c r="G122" s="21" t="s">
        <v>4977</v>
      </c>
    </row>
    <row r="123" customFormat="false" ht="54.75" hidden="false" customHeight="true" outlineLevel="0" collapsed="false">
      <c r="A123" s="30" t="s">
        <v>3303</v>
      </c>
      <c r="B123" s="6" t="s">
        <v>5067</v>
      </c>
      <c r="C123" s="30" t="s">
        <v>5011</v>
      </c>
      <c r="D123" s="32" t="n">
        <f aca="false">COUNTIF(LB_Days,"&gt;90")</f>
        <v>0</v>
      </c>
      <c r="E123" s="45" t="s">
        <v>5068</v>
      </c>
      <c r="G123" s="21" t="s">
        <v>4977</v>
      </c>
    </row>
    <row r="124" customFormat="false" ht="69" hidden="false" customHeight="true" outlineLevel="0" collapsed="false">
      <c r="A124" s="30" t="s">
        <v>3312</v>
      </c>
      <c r="B124" s="6" t="s">
        <v>5069</v>
      </c>
      <c r="C124" s="30" t="s">
        <v>5011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5070</v>
      </c>
      <c r="G124" s="21" t="s">
        <v>4803</v>
      </c>
    </row>
    <row r="126" customFormat="false" ht="15" hidden="false" customHeight="true" outlineLevel="0" collapsed="false">
      <c r="A126" s="43" t="s">
        <v>5071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4968</v>
      </c>
      <c r="B127" s="9" t="s">
        <v>4969</v>
      </c>
      <c r="C127" s="9" t="s">
        <v>4970</v>
      </c>
      <c r="D127" s="9" t="s">
        <v>4971</v>
      </c>
      <c r="E127" s="9" t="s">
        <v>4972</v>
      </c>
      <c r="G127" s="9" t="s">
        <v>4800</v>
      </c>
    </row>
    <row r="128" customFormat="false" ht="111.75" hidden="false" customHeight="true" outlineLevel="0" collapsed="false">
      <c r="A128" s="30" t="s">
        <v>5072</v>
      </c>
      <c r="B128" s="6" t="s">
        <v>5073</v>
      </c>
      <c r="C128" s="30" t="s">
        <v>5004</v>
      </c>
      <c r="D128" s="32" t="n">
        <f aca="false">IF(ISNUMBER(L1_MImplied),IF(OR(L1_MImplied&lt;Gov_Map!$K$598,L1_MImplied&gt;Gov_Map!$L$598),1,0),0)</f>
        <v>1</v>
      </c>
      <c r="E128" s="45" t="s">
        <v>5074</v>
      </c>
      <c r="G128" s="21" t="s">
        <v>5075</v>
      </c>
    </row>
    <row r="129" customFormat="false" ht="97.5" hidden="false" customHeight="true" outlineLevel="0" collapsed="false">
      <c r="A129" s="30" t="s">
        <v>5076</v>
      </c>
      <c r="B129" s="5" t="s">
        <v>5077</v>
      </c>
      <c r="C129" s="30" t="s">
        <v>5004</v>
      </c>
      <c r="D129" s="32" t="n">
        <f aca="false">IF(AND(ISNUMBER(AL_DPaid),ISNUMBER(L1_TokCeiling)),IF(AL_DPaid&gt;L1_TokCeiling,1,0),0)</f>
        <v>0</v>
      </c>
      <c r="E129" s="45" t="s">
        <v>5078</v>
      </c>
      <c r="G129" s="21" t="s">
        <v>5075</v>
      </c>
    </row>
    <row r="130" customFormat="false" ht="97.5" hidden="false" customHeight="true" outlineLevel="0" collapsed="false">
      <c r="A130" s="30" t="s">
        <v>5079</v>
      </c>
      <c r="B130" s="6" t="s">
        <v>5080</v>
      </c>
      <c r="C130" s="30" t="s">
        <v>5004</v>
      </c>
      <c r="D130" s="32" t="n">
        <f aca="false">IF(ISNUMBER(L1_MFleet),IF(OR(L1_MFleet&lt;Gov_Map!$K$598,L1_MFleet&gt;Gov_Map!$L$598),1,0),0)</f>
        <v>0</v>
      </c>
      <c r="E130" s="45" t="s">
        <v>5081</v>
      </c>
      <c r="G130" s="21" t="s">
        <v>5075</v>
      </c>
    </row>
    <row r="131" customFormat="false" ht="86.25" hidden="false" customHeight="true" outlineLevel="0" collapsed="false">
      <c r="A131" s="30" t="s">
        <v>5082</v>
      </c>
      <c r="B131" s="5" t="s">
        <v>5083</v>
      </c>
      <c r="C131" s="30" t="s">
        <v>5004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5075</v>
      </c>
    </row>
    <row r="132" customFormat="false" ht="143.25" hidden="false" customHeight="true" outlineLevel="0" collapsed="false">
      <c r="A132" s="30" t="s">
        <v>5084</v>
      </c>
      <c r="B132" s="5" t="s">
        <v>5085</v>
      </c>
      <c r="C132" s="30" t="s">
        <v>5011</v>
      </c>
      <c r="D132" s="32" t="n">
        <f aca="false">IF(ISNUMBER(Cap_In!$C$256),IF(ABS(Cap_In!$C$256)&gt;0.000000001,1,0),0)</f>
        <v>0</v>
      </c>
      <c r="E132" s="45" t="s">
        <v>5086</v>
      </c>
      <c r="G132" s="21" t="s">
        <v>4821</v>
      </c>
    </row>
    <row r="134" customFormat="false" ht="15" hidden="false" customHeight="true" outlineLevel="0" collapsed="false">
      <c r="A134" s="43" t="s">
        <v>5087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4968</v>
      </c>
      <c r="B135" s="9" t="s">
        <v>4969</v>
      </c>
      <c r="C135" s="9" t="s">
        <v>4970</v>
      </c>
      <c r="D135" s="9" t="s">
        <v>4971</v>
      </c>
      <c r="E135" s="9" t="s">
        <v>4972</v>
      </c>
      <c r="G135" s="9" t="s">
        <v>4800</v>
      </c>
    </row>
    <row r="136" customFormat="false" ht="15" hidden="false" customHeight="true" outlineLevel="0" collapsed="false">
      <c r="A136" s="30" t="s">
        <v>5088</v>
      </c>
      <c r="B136" s="30" t="s">
        <v>5089</v>
      </c>
      <c r="C136" s="8" t="s">
        <v>4975</v>
      </c>
      <c r="D136" s="33" t="n">
        <f aca="false">SUM(Theory_Rev!C102:Q107)</f>
        <v>0</v>
      </c>
      <c r="E136" s="45" t="s">
        <v>5090</v>
      </c>
      <c r="G136" s="21" t="s">
        <v>4821</v>
      </c>
    </row>
    <row r="138" customFormat="false" ht="15" hidden="false" customHeight="true" outlineLevel="0" collapsed="false">
      <c r="A138" s="43" t="s">
        <v>5091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4968</v>
      </c>
      <c r="B139" s="9" t="s">
        <v>4969</v>
      </c>
      <c r="C139" s="9" t="s">
        <v>4970</v>
      </c>
      <c r="D139" s="9" t="s">
        <v>4971</v>
      </c>
      <c r="E139" s="9" t="s">
        <v>4972</v>
      </c>
      <c r="G139" s="235" t="s">
        <v>5092</v>
      </c>
    </row>
    <row r="140" customFormat="false" ht="15" hidden="false" customHeight="true" outlineLevel="0" collapsed="false">
      <c r="A140" s="30" t="s">
        <v>5093</v>
      </c>
      <c r="B140" s="44" t="s">
        <v>5094</v>
      </c>
      <c r="C140" s="8" t="s">
        <v>4975</v>
      </c>
      <c r="D140" s="32" t="n">
        <f aca="false">IF(ABS(Alloc_In!$C$33-1)&gt;0.000000001,1,0)</f>
        <v>0</v>
      </c>
      <c r="E140" s="45" t="s">
        <v>5095</v>
      </c>
      <c r="G140" s="21" t="s">
        <v>4821</v>
      </c>
    </row>
    <row r="142" customFormat="false" ht="15" hidden="false" customHeight="true" outlineLevel="0" collapsed="false">
      <c r="A142" s="43" t="s">
        <v>5096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5097</v>
      </c>
    </row>
    <row r="144" customFormat="false" ht="15" hidden="false" customHeight="true" outlineLevel="0" collapsed="false">
      <c r="A144" s="30" t="s">
        <v>5098</v>
      </c>
      <c r="B144" s="9" t="s">
        <v>5099</v>
      </c>
      <c r="F144" s="236" t="n">
        <f aca="false">COUNT(F149:F174)+COUNTIF(F149:F174,"警示")</f>
        <v>22</v>
      </c>
    </row>
    <row r="145" customFormat="false" ht="15" hidden="false" customHeight="true" outlineLevel="0" collapsed="false">
      <c r="A145" s="30" t="s">
        <v>5100</v>
      </c>
      <c r="B145" s="9" t="s">
        <v>5101</v>
      </c>
      <c r="F145" s="236" t="n">
        <f aca="false">SUM(F149:F174)</f>
        <v>14</v>
      </c>
    </row>
    <row r="146" customFormat="false" ht="15" hidden="false" customHeight="true" outlineLevel="0" collapsed="false">
      <c r="A146" s="30" t="s">
        <v>5102</v>
      </c>
      <c r="B146" s="9" t="s">
        <v>5103</v>
      </c>
      <c r="F146" s="236" t="n">
        <f aca="false">COUNT(F149:F174)-F145</f>
        <v>7</v>
      </c>
    </row>
    <row r="147" customFormat="false" ht="29.25" hidden="false" customHeight="true" outlineLevel="0" collapsed="false">
      <c r="A147" s="6" t="s">
        <v>5104</v>
      </c>
      <c r="B147" s="84" t="s">
        <v>5105</v>
      </c>
      <c r="C147" s="237"/>
      <c r="D147" s="237"/>
      <c r="E147" s="237"/>
      <c r="F147" s="238" t="n">
        <f aca="false">COUNTIF(F149:F174,"警示")</f>
        <v>1</v>
      </c>
      <c r="G147" s="237"/>
      <c r="H147" s="237"/>
      <c r="I147" s="237"/>
      <c r="J147" s="237"/>
    </row>
    <row r="148" customFormat="false" ht="258.75" hidden="false" customHeight="true" outlineLevel="0" collapsed="false">
      <c r="A148" s="84" t="s">
        <v>4968</v>
      </c>
      <c r="B148" s="84" t="s">
        <v>5106</v>
      </c>
      <c r="C148" s="239" t="s">
        <v>5107</v>
      </c>
      <c r="D148" s="239" t="s">
        <v>5108</v>
      </c>
      <c r="E148" s="240" t="s">
        <v>5109</v>
      </c>
      <c r="F148" s="241" t="s">
        <v>5110</v>
      </c>
      <c r="G148" s="84" t="s">
        <v>5111</v>
      </c>
      <c r="H148" s="242" t="s">
        <v>5112</v>
      </c>
      <c r="I148" s="242" t="s">
        <v>5113</v>
      </c>
      <c r="J148" s="84" t="s">
        <v>5114</v>
      </c>
    </row>
    <row r="149" customFormat="false" ht="96" hidden="false" customHeight="true" outlineLevel="0" collapsed="false">
      <c r="A149" s="30" t="s">
        <v>5115</v>
      </c>
      <c r="B149" s="6" t="s">
        <v>5116</v>
      </c>
      <c r="C149" s="46" t="n">
        <f aca="false">Calib!G148</f>
        <v>677.028015156497</v>
      </c>
      <c r="D149" s="46" t="n">
        <f aca="false">Calib!G120</f>
        <v>556</v>
      </c>
      <c r="E149" s="243" t="n">
        <f aca="false">IF(AND(ISNUMBER(C149),ISNUMBER(D149)),IF(D149&gt;0,C149/D149,"—"),"—")</f>
        <v>1.21767628625269</v>
      </c>
      <c r="F149" s="236" t="str">
        <f aca="false">IF(AND(ISNUMBER(E149),ISNUMBER(H149)),IF(E149&lt;H149,0,IF(IF(ISNUMBER(I149),E149&lt;=I149,TRUE()),1,IF(E149&gt;CHK_SoftCapFail,0,"警示"))),"—")</f>
        <v>警示</v>
      </c>
      <c r="G149" s="21" t="s">
        <v>491</v>
      </c>
      <c r="H149" s="210" t="n">
        <v>0</v>
      </c>
      <c r="I149" s="210" t="n">
        <v>1</v>
      </c>
      <c r="J149" s="88" t="s">
        <v>5117</v>
      </c>
    </row>
    <row r="150" customFormat="false" ht="108.75" hidden="false" customHeight="true" outlineLevel="0" collapsed="false">
      <c r="A150" s="30" t="s">
        <v>5118</v>
      </c>
      <c r="B150" s="6" t="s">
        <v>5119</v>
      </c>
      <c r="C150" s="46" t="n">
        <f aca="false">Calib!H148</f>
        <v>3353.7046978872</v>
      </c>
      <c r="D150" s="46" t="n">
        <f aca="false">Calib!H120</f>
        <v>4668.1</v>
      </c>
      <c r="E150" s="243" t="n">
        <f aca="false">IF(AND(ISNUMBER(C150),ISNUMBER(D150)),IF(D150&gt;0,C150/D150,"—"),"—")</f>
        <v>0.718430345941003</v>
      </c>
      <c r="F150" s="236" t="n">
        <f aca="false">IF(AND(ISNUMBER(E150),ISNUMBER(H150)),IF(E150&lt;H150,0,IF(IF(ISNUMBER(I150),E150&lt;=I150,TRUE()),1,IF(E150&gt;CHK_SoftCapFail,0,"警示"))),"—")</f>
        <v>1</v>
      </c>
      <c r="G150" s="21" t="s">
        <v>491</v>
      </c>
      <c r="H150" s="210" t="n">
        <v>0</v>
      </c>
      <c r="I150" s="210" t="n">
        <v>1</v>
      </c>
      <c r="J150" s="88" t="s">
        <v>5120</v>
      </c>
    </row>
    <row r="151" customFormat="false" ht="121.5" hidden="false" customHeight="true" outlineLevel="0" collapsed="false">
      <c r="A151" s="30" t="s">
        <v>5121</v>
      </c>
      <c r="B151" s="6" t="s">
        <v>5122</v>
      </c>
      <c r="C151" s="46" t="n">
        <f aca="false">Calib!F148</f>
        <v>5030.5570468308</v>
      </c>
      <c r="D151" s="46" t="n">
        <f aca="false">Calib!F120</f>
        <v>5561.6</v>
      </c>
      <c r="E151" s="243" t="n">
        <f aca="false">IF(AND(ISNUMBER(C151),ISNUMBER(D151)),IF(D151&gt;0,C151/D151,"—"),"—")</f>
        <v>0.904516154853064</v>
      </c>
      <c r="F151" s="236" t="n">
        <f aca="false">IF(AND(ISNUMBER(E151),ISNUMBER(H151)),IF(E151&lt;H151,0,IF(IF(ISNUMBER(I151),E151&lt;=I151,TRUE()),1,IF(E151&gt;CHK_SoftCapFail,0,"警示"))),"—")</f>
        <v>1</v>
      </c>
      <c r="G151" s="21" t="s">
        <v>491</v>
      </c>
      <c r="H151" s="210" t="n">
        <v>0</v>
      </c>
      <c r="I151" s="210" t="n">
        <v>1</v>
      </c>
      <c r="J151" s="88" t="s">
        <v>5123</v>
      </c>
    </row>
    <row r="152" customFormat="false" ht="121.5" hidden="false" customHeight="true" outlineLevel="0" collapsed="false">
      <c r="A152" s="30" t="s">
        <v>5124</v>
      </c>
      <c r="B152" s="6" t="s">
        <v>5125</v>
      </c>
      <c r="C152" s="46" t="n">
        <f aca="false">Calib!C148</f>
        <v>2474.48865345806</v>
      </c>
      <c r="D152" s="46" t="n">
        <f aca="false">Calib!C120</f>
        <v>3520.91666666667</v>
      </c>
      <c r="E152" s="243" t="n">
        <f aca="false">IF(AND(ISNUMBER(C152),ISNUMBER(D152)),IF(D152&gt;0,C152/D152,"—"),"—")</f>
        <v>0.702796711119185</v>
      </c>
      <c r="F152" s="236" t="n">
        <f aca="false">IF(AND(ISNUMBER(E152),ISNUMBER(H152)),IF(AND(E152&gt;=H152,IF(ISNUMBER(I152),E152&lt;=I152,TRUE())),1,0),"—")</f>
        <v>1</v>
      </c>
      <c r="G152" s="21" t="s">
        <v>491</v>
      </c>
      <c r="H152" s="210" t="n">
        <v>0</v>
      </c>
      <c r="I152" s="210" t="n">
        <v>1</v>
      </c>
      <c r="J152" s="88" t="s">
        <v>5126</v>
      </c>
    </row>
    <row r="153" customFormat="false" ht="134.25" hidden="false" customHeight="true" outlineLevel="0" collapsed="false">
      <c r="A153" s="30" t="s">
        <v>5127</v>
      </c>
      <c r="B153" s="6" t="s">
        <v>5128</v>
      </c>
      <c r="C153" s="46" t="n">
        <f aca="false">Calib!D148</f>
        <v>1649.65910230537</v>
      </c>
      <c r="D153" s="46" t="n">
        <f aca="false">Calib!D120</f>
        <v>3337.75</v>
      </c>
      <c r="E153" s="243" t="n">
        <f aca="false">IF(AND(ISNUMBER(C153),ISNUMBER(D153)),IF(D153&gt;0,C153/D153,"—"),"—")</f>
        <v>0.494242858903564</v>
      </c>
      <c r="F153" s="236" t="n">
        <f aca="false">IF(AND(ISNUMBER(E153),ISNUMBER(H153)),IF(AND(E153&gt;=H153,IF(ISNUMBER(I153),E153&lt;=I153,TRUE())),1,0),"—")</f>
        <v>1</v>
      </c>
      <c r="G153" s="21" t="s">
        <v>491</v>
      </c>
      <c r="H153" s="210" t="n">
        <v>0</v>
      </c>
      <c r="I153" s="210" t="n">
        <v>1</v>
      </c>
      <c r="J153" s="88" t="s">
        <v>5129</v>
      </c>
    </row>
    <row r="154" customFormat="false" ht="271.5" hidden="false" customHeight="true" outlineLevel="0" collapsed="false">
      <c r="A154" s="30" t="s">
        <v>5130</v>
      </c>
      <c r="B154" s="6" t="s">
        <v>5131</v>
      </c>
      <c r="C154" s="46" t="n">
        <f aca="false">Calib!E148</f>
        <v>6248.39621214415</v>
      </c>
      <c r="D154" s="46" t="n">
        <f aca="false">Calib!E120</f>
        <v>9065.97222222222</v>
      </c>
      <c r="E154" s="243" t="n">
        <f aca="false">IF(AND(ISNUMBER(C154),ISNUMBER(D154)),IF(D154&gt;0,C154/D154,"—"),"—")</f>
        <v>0.689214136000581</v>
      </c>
      <c r="F154" s="236" t="n">
        <f aca="false">IF(AND(ISNUMBER(E154),ISNUMBER(H154)),IF(AND(E154&gt;=H154,IF(ISNUMBER(I154),E154&lt;=I154,TRUE())),1,0),"—")</f>
        <v>1</v>
      </c>
      <c r="G154" s="21" t="s">
        <v>491</v>
      </c>
      <c r="H154" s="210" t="n">
        <v>0</v>
      </c>
      <c r="I154" s="210" t="n">
        <v>1</v>
      </c>
      <c r="J154" s="88" t="s">
        <v>5132</v>
      </c>
    </row>
    <row r="155" customFormat="false" ht="256.5" hidden="false" customHeight="true" outlineLevel="0" collapsed="false">
      <c r="A155" s="30" t="s">
        <v>5133</v>
      </c>
      <c r="B155" s="6" t="s">
        <v>5134</v>
      </c>
      <c r="C155" s="46" t="n">
        <f aca="false">Calib!F194</f>
        <v>744.336162908493</v>
      </c>
      <c r="D155" s="48" t="n">
        <f aca="false">SRC_PERF_062</f>
        <v>2785</v>
      </c>
      <c r="E155" s="243" t="n">
        <f aca="false">IF(AND(ISNUMBER(C155),ISNUMBER(D155)),IF(D155&gt;0,C155/D155,"—"),"—")</f>
        <v>0.267266126717592</v>
      </c>
      <c r="F155" s="236" t="n">
        <f aca="false">IF(AND(ISNUMBER(E155),ISNUMBER(H155)),IF(AND(E155&gt;=H155,IF(ISNUMBER(I155),E155&lt;=I155,TRUE())),1,0),"—")</f>
        <v>0</v>
      </c>
      <c r="G155" s="21" t="s">
        <v>491</v>
      </c>
      <c r="H155" s="210" t="n">
        <v>0.5</v>
      </c>
      <c r="I155" s="210" t="n">
        <v>2</v>
      </c>
      <c r="J155" s="88" t="s">
        <v>5135</v>
      </c>
    </row>
    <row r="156" customFormat="false" ht="292.5" hidden="false" customHeight="true" outlineLevel="0" collapsed="false">
      <c r="A156" s="30" t="s">
        <v>5136</v>
      </c>
      <c r="B156" s="6" t="s">
        <v>5137</v>
      </c>
      <c r="C156" s="46" t="n">
        <f aca="false">Calib!G194</f>
        <v>3494.49310816584</v>
      </c>
      <c r="D156" s="48" t="n">
        <f aca="false">SRC_PERF_063</f>
        <v>13386</v>
      </c>
      <c r="E156" s="243" t="n">
        <f aca="false">IF(AND(ISNUMBER(C156),ISNUMBER(D156)),IF(D156&gt;0,C156/D156,"—"),"—")</f>
        <v>0.261055812652461</v>
      </c>
      <c r="F156" s="236" t="n">
        <f aca="false">IF(AND(ISNUMBER(E156),ISNUMBER(H156)),IF(AND(E156&gt;=H156,IF(ISNUMBER(I156),E156&lt;=I156,TRUE())),1,0),"—")</f>
        <v>0</v>
      </c>
      <c r="G156" s="21" t="s">
        <v>491</v>
      </c>
      <c r="H156" s="210" t="n">
        <v>0.5</v>
      </c>
      <c r="I156" s="210" t="n">
        <v>2</v>
      </c>
      <c r="J156" s="88" t="s">
        <v>5138</v>
      </c>
    </row>
    <row r="157" customFormat="false" ht="69" hidden="false" customHeight="true" outlineLevel="0" collapsed="false">
      <c r="A157" s="30" t="s">
        <v>5139</v>
      </c>
      <c r="B157" s="6" t="s">
        <v>5140</v>
      </c>
      <c r="C157" s="48" t="n">
        <f aca="false">INDEX(TRN_RLRatioH,1,10)</f>
        <v>0.379829822080908</v>
      </c>
      <c r="D157" s="48" t="n">
        <f aca="false">SRC_PERF_064</f>
        <v>0.11</v>
      </c>
      <c r="E157" s="243" t="n">
        <f aca="false">C157</f>
        <v>0.379829822080908</v>
      </c>
      <c r="F157" s="236" t="n">
        <f aca="false">IF(AND(ISNUMBER(E157),ISNUMBER(H157)),IF(AND(E157&gt;=H157,IF(ISNUMBER(I157),E157&lt;=I157,TRUE())),1,0),"—")</f>
        <v>0</v>
      </c>
      <c r="G157" s="21" t="s">
        <v>491</v>
      </c>
      <c r="H157" s="210" t="n">
        <v>0.1</v>
      </c>
      <c r="I157" s="210" t="n">
        <v>0.3</v>
      </c>
      <c r="J157" s="93" t="s">
        <v>5141</v>
      </c>
    </row>
    <row r="158" customFormat="false" ht="294.75" hidden="false" customHeight="true" outlineLevel="0" collapsed="false">
      <c r="A158" s="30" t="s">
        <v>5142</v>
      </c>
      <c r="B158" s="6" t="s">
        <v>5143</v>
      </c>
      <c r="C158" s="48" t="n">
        <f aca="false">INDEX(TRN_RLRatioH,1,11)</f>
        <v>0.371397626434424</v>
      </c>
      <c r="D158" s="48" t="n">
        <f aca="false">SRC_PERF_064</f>
        <v>0.11</v>
      </c>
      <c r="E158" s="243" t="n">
        <f aca="false">C158</f>
        <v>0.371397626434424</v>
      </c>
      <c r="F158" s="236" t="n">
        <f aca="false">IF(AND(ISNUMBER(E158),ISNUMBER(H158)),IF(AND(E158&gt;=H158,IF(ISNUMBER(I158),E158&lt;=I158,TRUE())),1,0),"—")</f>
        <v>0</v>
      </c>
      <c r="G158" s="21" t="s">
        <v>491</v>
      </c>
      <c r="H158" s="210" t="n">
        <v>0.1</v>
      </c>
      <c r="I158" s="210" t="n">
        <v>0.3</v>
      </c>
      <c r="J158" s="93" t="s">
        <v>5144</v>
      </c>
    </row>
    <row r="159" customFormat="false" ht="98.25" hidden="false" customHeight="true" outlineLevel="0" collapsed="false">
      <c r="A159" s="30" t="s">
        <v>5145</v>
      </c>
      <c r="B159" s="6" t="s">
        <v>5146</v>
      </c>
      <c r="C159" s="48" t="n">
        <f aca="false">INDEX(B5_SelT,1,5)</f>
        <v>0.7</v>
      </c>
      <c r="D159" s="48" t="n">
        <f aca="false">SRC_HAR_016_Lo</f>
        <v>1.5</v>
      </c>
      <c r="E159" s="243" t="n">
        <f aca="false">C159</f>
        <v>0.7</v>
      </c>
      <c r="F159" s="236" t="n">
        <f aca="false">IF(AND(ISNUMBER(E159),ISNUMBER(H159)),IF(AND(E159&gt;=H159,IF(ISNUMBER(I159),E159&lt;=I159,TRUE())),1,0),"—")</f>
        <v>0</v>
      </c>
      <c r="G159" s="21" t="s">
        <v>491</v>
      </c>
      <c r="H159" s="210" t="n">
        <v>1</v>
      </c>
      <c r="I159" s="210"/>
      <c r="J159" s="88" t="s">
        <v>5147</v>
      </c>
    </row>
    <row r="160" customFormat="false" ht="86.25" hidden="false" customHeight="true" outlineLevel="0" collapsed="false">
      <c r="A160" s="30" t="s">
        <v>5148</v>
      </c>
      <c r="B160" s="5" t="s">
        <v>5149</v>
      </c>
      <c r="C160" s="48" t="s">
        <v>809</v>
      </c>
      <c r="D160" s="46" t="n">
        <f aca="false">Checks!C15</f>
        <v>11200</v>
      </c>
      <c r="E160" s="216" t="n">
        <f aca="false">Checks!B15</f>
        <v>0.99108369917347</v>
      </c>
      <c r="F160" s="236" t="n">
        <f aca="false">IF(AND(ISNUMBER(E160),ISNUMBER(H160)),IF(AND(E160&gt;=H160,IF(ISNUMBER(I160),E160&lt;=I160,TRUE())),1,0),"—")</f>
        <v>1</v>
      </c>
      <c r="G160" s="21" t="s">
        <v>491</v>
      </c>
      <c r="H160" s="210" t="n">
        <v>0.9</v>
      </c>
      <c r="I160" s="210" t="n">
        <v>1.1</v>
      </c>
      <c r="J160" s="88" t="s">
        <v>5150</v>
      </c>
    </row>
    <row r="161" customFormat="false" ht="111" hidden="false" customHeight="true" outlineLevel="0" collapsed="false">
      <c r="A161" s="30" t="s">
        <v>5151</v>
      </c>
      <c r="B161" s="5" t="s">
        <v>5152</v>
      </c>
      <c r="C161" s="48" t="s">
        <v>809</v>
      </c>
      <c r="D161" s="46" t="n">
        <f aca="false">Checks!C16</f>
        <v>6182</v>
      </c>
      <c r="E161" s="216" t="n">
        <f aca="false">Checks!B16</f>
        <v>2.18428412747673</v>
      </c>
      <c r="F161" s="236" t="n">
        <f aca="false">IF(AND(ISNUMBER(E161),ISNUMBER(H161)),IF(AND(E161&gt;=H161,IF(ISNUMBER(I161),E161&lt;=I161,TRUE())),1,0),"—")</f>
        <v>1</v>
      </c>
      <c r="G161" s="21" t="s">
        <v>491</v>
      </c>
      <c r="H161" s="210" t="n">
        <v>1</v>
      </c>
      <c r="I161" s="210" t="n">
        <v>3</v>
      </c>
      <c r="J161" s="88" t="s">
        <v>5153</v>
      </c>
    </row>
    <row r="162" customFormat="false" ht="243.75" hidden="false" customHeight="true" outlineLevel="0" collapsed="false">
      <c r="A162" s="30" t="s">
        <v>5154</v>
      </c>
      <c r="B162" s="5" t="s">
        <v>5155</v>
      </c>
      <c r="C162" s="48" t="s">
        <v>809</v>
      </c>
      <c r="D162" s="46" t="n">
        <f aca="false">Checks!C17</f>
        <v>2189</v>
      </c>
      <c r="E162" s="216" t="n">
        <f aca="false">Checks!B17</f>
        <v>4.1124545381639</v>
      </c>
      <c r="F162" s="236" t="n">
        <f aca="false">IF(AND(ISNUMBER(E162),ISNUMBER(H162)),IF(AND(E162&gt;=H162,IF(ISNUMBER(I162),E162&lt;=I162,TRUE())),1,0),"—")</f>
        <v>0</v>
      </c>
      <c r="G162" s="21" t="s">
        <v>491</v>
      </c>
      <c r="H162" s="210" t="n">
        <v>1</v>
      </c>
      <c r="I162" s="210" t="n">
        <v>3</v>
      </c>
      <c r="J162" s="88" t="s">
        <v>5156</v>
      </c>
    </row>
    <row r="163" customFormat="false" ht="128.25" hidden="false" customHeight="true" outlineLevel="0" collapsed="false">
      <c r="A163" s="30" t="s">
        <v>5157</v>
      </c>
      <c r="B163" s="6" t="s">
        <v>5158</v>
      </c>
      <c r="C163" s="46" t="n">
        <f aca="false">Calib!E194</f>
        <v>492.632569994785</v>
      </c>
      <c r="D163" s="48" t="n">
        <f aca="false">SRC_PERF_073</f>
        <v>1850</v>
      </c>
      <c r="E163" s="243" t="n">
        <f aca="false">IF(AND(ISNUMBER(C163),ISNUMBER(D163)),IF(D163&gt;0,C163/D163,"—"),"—")</f>
        <v>0.266287875672857</v>
      </c>
      <c r="F163" s="236" t="n">
        <f aca="false">IF(AND(ISNUMBER(E163),ISNUMBER(H163)),IF(AND(E163&gt;=H163,IF(ISNUMBER(I163),E163&lt;=I163,TRUE())),1,0),"—")</f>
        <v>0</v>
      </c>
      <c r="G163" s="21" t="s">
        <v>491</v>
      </c>
      <c r="H163" s="210" t="n">
        <v>0.5</v>
      </c>
      <c r="I163" s="210" t="n">
        <v>2</v>
      </c>
      <c r="J163" s="88" t="s">
        <v>5159</v>
      </c>
    </row>
    <row r="164" customFormat="false" ht="128.25" hidden="false" customHeight="true" outlineLevel="0" collapsed="false">
      <c r="A164" s="30" t="s">
        <v>5160</v>
      </c>
      <c r="B164" s="5" t="s">
        <v>5161</v>
      </c>
      <c r="C164" s="48" t="s">
        <v>809</v>
      </c>
      <c r="D164" s="48" t="s">
        <v>809</v>
      </c>
      <c r="E164" s="216" t="n">
        <f aca="false">Checks!B26</f>
        <v>0.0852702650102943</v>
      </c>
      <c r="F164" s="236" t="n">
        <f aca="false">IF(AND(ISNUMBER(E164),ISNUMBER(H164)),IF(AND(E164&gt;=H164,IF(ISNUMBER(I164),E164&lt;=I164,TRUE())),1,0),"—")</f>
        <v>1</v>
      </c>
      <c r="G164" s="21" t="s">
        <v>491</v>
      </c>
      <c r="H164" s="210" t="n">
        <v>0</v>
      </c>
      <c r="I164" s="210" t="n">
        <v>1</v>
      </c>
      <c r="J164" s="93" t="s">
        <v>5162</v>
      </c>
    </row>
    <row r="165" customFormat="false" ht="432.75" hidden="false" customHeight="true" outlineLevel="0" collapsed="false">
      <c r="A165" s="30" t="s">
        <v>5163</v>
      </c>
      <c r="B165" s="5" t="s">
        <v>5164</v>
      </c>
      <c r="C165" s="48" t="s">
        <v>809</v>
      </c>
      <c r="D165" s="48" t="s">
        <v>809</v>
      </c>
      <c r="E165" s="216" t="n">
        <f aca="false">Checks!B36</f>
        <v>0.252262860133895</v>
      </c>
      <c r="F165" s="236" t="n">
        <f aca="false">IF(AND(ISNUMBER(E165),ISNUMBER(H165)),IF(AND(E165&gt;=H165,IF(ISNUMBER(I165),E165&lt;=I165,TRUE())),1,0),"—")</f>
        <v>1</v>
      </c>
      <c r="G165" s="21" t="s">
        <v>491</v>
      </c>
      <c r="H165" s="210" t="n">
        <v>0</v>
      </c>
      <c r="I165" s="210"/>
      <c r="J165" s="93" t="s">
        <v>5162</v>
      </c>
    </row>
    <row r="166" customFormat="false" ht="318" hidden="false" customHeight="true" outlineLevel="0" collapsed="false">
      <c r="A166" s="30" t="s">
        <v>5165</v>
      </c>
      <c r="B166" s="6" t="s">
        <v>5166</v>
      </c>
      <c r="C166" s="46" t="n">
        <f aca="false">COUNTIF(Tech_Registry!$K$5:$K$16,"主流")</f>
        <v>7</v>
      </c>
      <c r="D166" s="46" t="n">
        <f aca="false">COUNTIF(Tech_Registry!$J$5:$J$16,"&gt;="&amp;CST_MainMin)</f>
        <v>7</v>
      </c>
      <c r="E166" s="216" t="n">
        <f aca="false">IF(AND(ISNUMBER(C166),ISNUMBER(D166)),SUMPRODUCT(--((Tech_Registry!$K$5:$K$16="主流")&lt;&gt;(Tech_Registry!$J$5:$J$16&gt;=CST_MainMin))),"—")</f>
        <v>0</v>
      </c>
      <c r="F166" s="236" t="str">
        <f aca="false">IF(ISNUMBER(E166),IF(E166=0,"恆等式（非驗證）","恆等式不成立（K 被改寫）"),"—")</f>
        <v>恆等式（非驗證）</v>
      </c>
      <c r="G166" s="21" t="s">
        <v>4821</v>
      </c>
      <c r="H166" s="210" t="n">
        <v>0</v>
      </c>
      <c r="I166" s="210" t="n">
        <v>0</v>
      </c>
      <c r="J166" s="88" t="s">
        <v>5167</v>
      </c>
    </row>
    <row r="167" customFormat="false" ht="318" hidden="false" customHeight="true" outlineLevel="0" collapsed="false">
      <c r="A167" s="30" t="s">
        <v>5168</v>
      </c>
      <c r="B167" s="6" t="s">
        <v>5169</v>
      </c>
      <c r="C167" s="46" t="n">
        <f aca="false">SUMPRODUCT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</f>
        <v>0</v>
      </c>
      <c r="D167" s="46" t="n">
        <f aca="false">SUMPRODUCT(--(Tech_Registry!$T$5:$T$16&lt;&gt;"一致"))</f>
        <v>0</v>
      </c>
      <c r="E167" s="216" t="n">
        <f aca="false">IF(AND(ISNUMBER(C167),ISNUMBER(D167)),SUMPRODUCT(--((Tech_Registry!$T$5:$T$16&lt;&gt;"一致")&lt;&gt;(((((Tech_Registry!$L$5:$L$16="")*(Tech_Registry!$J$5:$J$16&gt;=CST_MainMin)+(Tech_Registry!$L$5:$L$16&lt;&gt;"")*(Tech_Registry!$L$5:$L$16="主流"))*(Tech_Registry!$M$5:$M$16="否"))+(((Tech_Registry!$L$5:$L$16="")*(Tech_Registry!$J$5:$J$16&lt;CST_MainMin)+(Tech_Registry!$L$5:$L$16&lt;&gt;"")*(Tech_Registry!$L$5:$L$16="非主流"))*(Tech_Registry!$M$5:$M$16="是")*(Tech_Registry!$I$5:$I$16&lt;&gt;"早期採用")))&gt;0)))+C167,"—")</f>
        <v>0</v>
      </c>
      <c r="F167" s="236" t="n">
        <f aca="false">IF(AND(ISNUMBER(E167),ISNUMBER(H167)),IF(AND(E167&gt;=H167,IF(ISNUMBER(I167),E167&lt;=I167,TRUE())),1,0),"—")</f>
        <v>1</v>
      </c>
      <c r="G167" s="21" t="s">
        <v>491</v>
      </c>
      <c r="H167" s="210" t="n">
        <v>0</v>
      </c>
      <c r="I167" s="210" t="n">
        <v>0</v>
      </c>
      <c r="J167" s="88" t="s">
        <v>5170</v>
      </c>
    </row>
    <row r="168" customFormat="false" ht="446.25" hidden="false" customHeight="true" outlineLevel="0" collapsed="false">
      <c r="A168" s="30" t="s">
        <v>5171</v>
      </c>
      <c r="B168" s="6" t="s">
        <v>5172</v>
      </c>
      <c r="C168" s="46" t="n">
        <f aca="false">Calib!C248</f>
        <v>8475.6133196664</v>
      </c>
      <c r="D168" s="48" t="n">
        <f aca="false">SRC_PERF_079</f>
        <v>6752</v>
      </c>
      <c r="E168" s="243" t="n">
        <f aca="false">IF(AND(ISNUMBER(C168),ISNUMBER(D168)),IF(D168&gt;0,C168/D168,"—"),"—")</f>
        <v>1.25527448454775</v>
      </c>
      <c r="F168" s="236" t="str">
        <f aca="false">IF(AND(ISNUMBER(E168),ISNUMBER(H168)),"校準相關（非獨立）："&amp;IF(AND(E168&gt;=H168,IF(ISNUMBER(I168),E168&lt;=I168,TRUE())),"帶內","帶外"),"—")</f>
        <v>校準相關（非獨立）：帶內</v>
      </c>
      <c r="G168" s="21" t="s">
        <v>5173</v>
      </c>
      <c r="H168" s="210" t="n">
        <v>0.5</v>
      </c>
      <c r="I168" s="210" t="n">
        <v>2</v>
      </c>
      <c r="J168" s="88" t="s">
        <v>5174</v>
      </c>
    </row>
    <row r="169" customFormat="false" ht="241.5" hidden="false" customHeight="true" outlineLevel="0" collapsed="false">
      <c r="A169" s="30" t="s">
        <v>5175</v>
      </c>
      <c r="B169" s="6" t="s">
        <v>5176</v>
      </c>
      <c r="C169" s="46" t="n">
        <f aca="false">Calib!D248</f>
        <v>5802.00777128097</v>
      </c>
      <c r="D169" s="48" t="n">
        <f aca="false">SRC_PERF_080</f>
        <v>8987.2</v>
      </c>
      <c r="E169" s="243" t="n">
        <f aca="false">IF(AND(ISNUMBER(C169),ISNUMBER(D169)),IF(D169&gt;0,C169/D169,"—"),"—")</f>
        <v>0.645585696466193</v>
      </c>
      <c r="F169" s="236" t="n">
        <f aca="false">IF(AND(ISNUMBER(E169),ISNUMBER(H169)),IF(AND(E169&gt;=H169,IF(ISNUMBER(I169),E169&lt;=I169,TRUE())),1,0),"—")</f>
        <v>1</v>
      </c>
      <c r="G169" s="21" t="s">
        <v>491</v>
      </c>
      <c r="H169" s="210" t="n">
        <v>0.5</v>
      </c>
      <c r="I169" s="210" t="n">
        <v>2</v>
      </c>
      <c r="J169" s="88" t="s">
        <v>5177</v>
      </c>
    </row>
    <row r="170" customFormat="false" ht="450" hidden="false" customHeight="true" outlineLevel="0" collapsed="false">
      <c r="A170" s="30" t="s">
        <v>5178</v>
      </c>
      <c r="B170" s="6" t="s">
        <v>5179</v>
      </c>
      <c r="C170" s="46" t="n">
        <f aca="false">Calib!E248</f>
        <v>719.536983133322</v>
      </c>
      <c r="D170" s="48" t="n">
        <f aca="false">SRC_PERF_081</f>
        <v>1436.2</v>
      </c>
      <c r="E170" s="243" t="n">
        <f aca="false">IF(AND(ISNUMBER(C170),ISNUMBER(D170)),IF(D170&gt;0,C170/D170,"—"),"—")</f>
        <v>0.501000545281522</v>
      </c>
      <c r="F170" s="236" t="n">
        <f aca="false">IF(AND(ISNUMBER(E170),ISNUMBER(H170)),IF(AND(E170&gt;=H170,IF(ISNUMBER(I170),E170&lt;=I170,TRUE())),1,0),"—")</f>
        <v>1</v>
      </c>
      <c r="G170" s="21" t="s">
        <v>491</v>
      </c>
      <c r="H170" s="210" t="n">
        <v>0.5</v>
      </c>
      <c r="I170" s="210" t="n">
        <v>2</v>
      </c>
      <c r="J170" s="88" t="s">
        <v>5180</v>
      </c>
    </row>
    <row r="171" customFormat="false" ht="476.25" hidden="false" customHeight="true" outlineLevel="0" collapsed="false">
      <c r="A171" s="30" t="s">
        <v>5181</v>
      </c>
      <c r="B171" s="5" t="s">
        <v>5182</v>
      </c>
      <c r="C171" s="46" t="n">
        <f aca="false">IFERROR(SUMPRODUCT((Perf!$C$87:$Q$87&gt;0)*(Perf!$C$89:$Q$89&lt;Perf!$C$41:$Q$41*(1-0.000000001)))+SUMPRODUCT((Perf_Batch!$C$87:$S$87&gt;0)*(Perf_Batch!$C$89:$S$89&lt;Perf_Batch!$C$41:$S$41*(1-0.000000001))),1)</f>
        <v>0</v>
      </c>
      <c r="D171" s="46" t="n">
        <f aca="false">SUMPRODUCT(--(Perf!$C$87:$Q$87&gt;0))+SUMPRODUCT(--(Perf_Batch!$C$87:$S$87&gt;0))</f>
        <v>32</v>
      </c>
      <c r="E171" s="243" t="n">
        <f aca="false">IF(AND(ISNUMBER(C171),ISNUMBER(D171)),IF(D171&gt;0,C171,1),"—")</f>
        <v>0</v>
      </c>
      <c r="F171" s="236" t="str">
        <f aca="false">IF(AND(ISNUMBER(E171),ISNUMBER(H171)),IF(AND(E171&gt;=H171,IF(ISNUMBER(I171),E171&lt;=I171,TRUE())),"恆等式（非驗證）","恆等式不成立"),"—")</f>
        <v>恆等式（非驗證）</v>
      </c>
      <c r="G171" s="21" t="s">
        <v>4821</v>
      </c>
      <c r="H171" s="32" t="n">
        <v>0</v>
      </c>
      <c r="I171" s="32" t="n">
        <v>0</v>
      </c>
      <c r="J171" s="88" t="s">
        <v>5183</v>
      </c>
    </row>
    <row r="172" customFormat="false" ht="15" hidden="false" customHeight="true" outlineLevel="0" collapsed="false">
      <c r="A172" s="30" t="s">
        <v>5184</v>
      </c>
      <c r="B172" s="6" t="s">
        <v>5185</v>
      </c>
      <c r="C172" s="46" t="n">
        <f aca="false">IFERROR(MAX(ABS(Cap_In!$C$147-L1_MImplied),ABS(Cap_In!$D$147-L1_MImplied_Lo),ABS(Cap_In!$E$147-L1_MImplied_Hi)),1)</f>
        <v>0</v>
      </c>
      <c r="D172" s="47" t="n">
        <v>0</v>
      </c>
      <c r="E172" s="243" t="n">
        <f aca="false">IF(ISNUMBER(C172),C172,"—")</f>
        <v>0</v>
      </c>
      <c r="F172" s="236" t="str">
        <f aca="false">IF(AND(ISNUMBER(E172),ISNUMBER(H172)),IF(AND(E172&gt;=H172,IF(ISNUMBER(I172),E172&lt;=I172,TRUE())),"恆等式（非驗證）","恆等式不成立"),"—")</f>
        <v>恆等式（非驗證）</v>
      </c>
      <c r="G172" s="21" t="s">
        <v>4821</v>
      </c>
      <c r="H172" s="244" t="n">
        <v>0</v>
      </c>
      <c r="I172" s="244" t="n">
        <v>1E-009</v>
      </c>
      <c r="J172" s="88" t="s">
        <v>5186</v>
      </c>
    </row>
    <row r="173" customFormat="false" ht="15" hidden="false" customHeight="true" outlineLevel="0" collapsed="false">
      <c r="A173" s="30" t="s">
        <v>5187</v>
      </c>
      <c r="B173" s="5" t="s">
        <v>5188</v>
      </c>
      <c r="C173" s="46" t="n">
        <f aca="false">IF(COUNT(Cap_In!$C$175:$E$175)=3,MAX(Cap_In!$C$175:$E$175),"—")</f>
        <v>0.245362088692091</v>
      </c>
      <c r="D173" s="47" t="n">
        <v>1</v>
      </c>
      <c r="E173" s="243" t="n">
        <f aca="false">IF(AND(ISNUMBER(C173),ISNUMBER(D173)),IF(D173&gt;0,C173/D173,"—"),"—")</f>
        <v>0.245362088692091</v>
      </c>
      <c r="F173" s="236" t="n">
        <f aca="false">IF(AND(ISNUMBER(E173),ISNUMBER(H173)),IF(AND(E173&gt;=H173,IF(ISNUMBER(I173),E173&lt;=I173,TRUE())),1,0),"—")</f>
        <v>1</v>
      </c>
      <c r="G173" s="21" t="s">
        <v>491</v>
      </c>
      <c r="H173" s="210" t="n">
        <v>0</v>
      </c>
      <c r="I173" s="210" t="n">
        <v>1</v>
      </c>
      <c r="J173" s="88" t="s">
        <v>5189</v>
      </c>
    </row>
    <row r="174" customFormat="false" ht="114.75" hidden="false" customHeight="true" outlineLevel="0" collapsed="false">
      <c r="A174" s="30" t="s">
        <v>5190</v>
      </c>
      <c r="B174" s="6" t="s">
        <v>5191</v>
      </c>
      <c r="C174" s="46" t="n">
        <f aca="false">IFERROR(MAX(ABS(Cap_In!$C$215-1),ABS(Cap_In!$D$215-1),ABS(Cap_In!$E$215-1),ABS(Cap_In!$F$215-1)),1)</f>
        <v>0</v>
      </c>
      <c r="D174" s="47" t="n">
        <v>0</v>
      </c>
      <c r="E174" s="243" t="n">
        <f aca="false">IF(ISNUMBER(C174),C174,"—")</f>
        <v>0</v>
      </c>
      <c r="F174" s="236" t="n">
        <f aca="false">IF(AND(ISNUMBER(E174),ISNUMBER(H174)),IF(AND(E174&gt;=H174,IF(ISNUMBER(I174),E174&lt;=I174,TRUE())),1,0),"—")</f>
        <v>1</v>
      </c>
      <c r="G174" s="21" t="s">
        <v>491</v>
      </c>
      <c r="H174" s="244" t="n">
        <v>0</v>
      </c>
      <c r="I174" s="244" t="n">
        <v>1E-009</v>
      </c>
      <c r="J174" s="88" t="s">
        <v>5192</v>
      </c>
    </row>
    <row r="175" customFormat="false" ht="165" hidden="false" customHeight="true" outlineLevel="0" collapsed="false">
      <c r="A175" s="207"/>
      <c r="B175" s="245"/>
      <c r="C175" s="207"/>
      <c r="D175" s="32"/>
      <c r="E175" s="246"/>
    </row>
    <row r="176" customFormat="false" ht="168" hidden="false" customHeight="true" outlineLevel="0" collapsed="false">
      <c r="A176" s="43" t="s">
        <v>5193</v>
      </c>
      <c r="B176" s="247"/>
      <c r="C176" s="248"/>
      <c r="D176" s="249"/>
      <c r="E176" s="250"/>
      <c r="F176" s="15"/>
    </row>
    <row r="177" customFormat="false" ht="15" hidden="false" customHeight="true" outlineLevel="0" collapsed="false">
      <c r="A177" s="9" t="s">
        <v>4968</v>
      </c>
      <c r="B177" s="9" t="s">
        <v>4969</v>
      </c>
      <c r="C177" s="9" t="s">
        <v>4970</v>
      </c>
      <c r="D177" s="9" t="s">
        <v>4971</v>
      </c>
      <c r="E177" s="9" t="s">
        <v>4972</v>
      </c>
    </row>
    <row r="178" customFormat="false" ht="114.75" hidden="false" customHeight="true" outlineLevel="0" collapsed="false">
      <c r="A178" s="30" t="s">
        <v>5194</v>
      </c>
      <c r="B178" s="5" t="s">
        <v>5195</v>
      </c>
      <c r="C178" s="30" t="s">
        <v>5004</v>
      </c>
      <c r="D178" s="32" t="n">
        <f aca="false">IF(RNG_Version=RNG_Current,0,1)</f>
        <v>0</v>
      </c>
      <c r="E178" s="45" t="s">
        <v>5196</v>
      </c>
    </row>
    <row r="179" customFormat="false" ht="165" hidden="false" customHeight="true" outlineLevel="0" collapsed="false">
      <c r="A179" s="30" t="s">
        <v>5197</v>
      </c>
      <c r="B179" s="5" t="s">
        <v>5198</v>
      </c>
      <c r="C179" s="30" t="s">
        <v>5004</v>
      </c>
      <c r="D179" s="32" t="n">
        <f aca="false">IF(RNG_OutCount&gt;0,1,0)</f>
        <v>0</v>
      </c>
      <c r="E179" s="45" t="s">
        <v>5199</v>
      </c>
    </row>
    <row r="180" customFormat="false" ht="168" hidden="false" customHeight="true" outlineLevel="0" collapsed="false">
      <c r="A180" s="30" t="s">
        <v>5200</v>
      </c>
      <c r="B180" s="5" t="s">
        <v>5201</v>
      </c>
      <c r="C180" s="30" t="s">
        <v>5004</v>
      </c>
      <c r="D180" s="32" t="n">
        <f aca="false">IF(Alloc!$C$368&gt;0,1,0)</f>
        <v>0</v>
      </c>
      <c r="E180" s="45" t="s">
        <v>5202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  <col collapsed="false" customWidth="true" hidden="false" outlineLevel="0" max="38" min="38" style="1" width="46"/>
  </cols>
  <sheetData>
    <row r="1" customFormat="false" ht="19.5" hidden="false" customHeight="true" outlineLevel="0" collapsed="false">
      <c r="A1" s="251" t="s">
        <v>5203</v>
      </c>
    </row>
    <row r="2" customFormat="false" ht="15" hidden="false" customHeight="true" outlineLevel="0" collapsed="false">
      <c r="A2" s="45" t="s">
        <v>5204</v>
      </c>
    </row>
    <row r="4" customFormat="false" ht="43.5" hidden="false" customHeight="true" outlineLevel="0" collapsed="false">
      <c r="A4" s="85" t="s">
        <v>4627</v>
      </c>
      <c r="B4" s="252" t="s">
        <v>5205</v>
      </c>
      <c r="C4" s="252" t="s">
        <v>12</v>
      </c>
      <c r="D4" s="252" t="s">
        <v>4628</v>
      </c>
      <c r="E4" s="252" t="s">
        <v>4629</v>
      </c>
      <c r="F4" s="252" t="s">
        <v>4630</v>
      </c>
      <c r="G4" s="252" t="s">
        <v>5206</v>
      </c>
      <c r="H4" s="85" t="s">
        <v>5207</v>
      </c>
      <c r="I4" s="252" t="s">
        <v>5208</v>
      </c>
      <c r="J4" s="252" t="s">
        <v>5209</v>
      </c>
      <c r="K4" s="252" t="s">
        <v>1433</v>
      </c>
      <c r="L4" s="252" t="s">
        <v>1434</v>
      </c>
      <c r="M4" s="252" t="s">
        <v>5210</v>
      </c>
      <c r="N4" s="252" t="s">
        <v>5211</v>
      </c>
      <c r="O4" s="252" t="s">
        <v>5212</v>
      </c>
      <c r="P4" s="85" t="s">
        <v>4631</v>
      </c>
      <c r="Q4" s="252" t="s">
        <v>5107</v>
      </c>
      <c r="R4" s="85" t="s">
        <v>5213</v>
      </c>
      <c r="S4" s="85" t="s">
        <v>5214</v>
      </c>
      <c r="T4" s="85" t="s">
        <v>4632</v>
      </c>
      <c r="U4" s="252" t="s">
        <v>5215</v>
      </c>
      <c r="V4" s="85" t="s">
        <v>5216</v>
      </c>
      <c r="W4" s="85" t="s">
        <v>5217</v>
      </c>
      <c r="X4" s="85" t="s">
        <v>5218</v>
      </c>
      <c r="Y4" s="85" t="s">
        <v>5219</v>
      </c>
      <c r="Z4" s="85" t="s">
        <v>5220</v>
      </c>
      <c r="AA4" s="85" t="s">
        <v>5221</v>
      </c>
      <c r="AB4" s="85" t="s">
        <v>5222</v>
      </c>
      <c r="AC4" s="85" t="s">
        <v>5223</v>
      </c>
      <c r="AD4" s="85" t="s">
        <v>5224</v>
      </c>
      <c r="AE4" s="85" t="s">
        <v>5225</v>
      </c>
      <c r="AF4" s="85" t="s">
        <v>5226</v>
      </c>
      <c r="AG4" s="85" t="s">
        <v>5227</v>
      </c>
      <c r="AH4" s="85" t="s">
        <v>5228</v>
      </c>
      <c r="AI4" s="85" t="s">
        <v>5229</v>
      </c>
      <c r="AJ4" s="85" t="s">
        <v>5230</v>
      </c>
      <c r="AK4" s="237" t="s">
        <v>5231</v>
      </c>
      <c r="AL4" s="237" t="s">
        <v>5232</v>
      </c>
    </row>
    <row r="5" customFormat="false" ht="15" hidden="false" customHeight="true" outlineLevel="0" collapsed="false">
      <c r="A5" s="30" t="s">
        <v>5233</v>
      </c>
      <c r="B5" s="253" t="s">
        <v>5234</v>
      </c>
      <c r="C5" s="30" t="s">
        <v>3107</v>
      </c>
      <c r="D5" s="30" t="s">
        <v>3108</v>
      </c>
      <c r="E5" s="6" t="s">
        <v>116</v>
      </c>
      <c r="F5" s="30" t="s">
        <v>118</v>
      </c>
      <c r="G5" s="253" t="s">
        <v>5235</v>
      </c>
      <c r="H5" s="30" t="s">
        <v>809</v>
      </c>
      <c r="I5" s="6" t="s">
        <v>809</v>
      </c>
      <c r="J5" s="30" t="s">
        <v>5236</v>
      </c>
      <c r="K5" s="253"/>
      <c r="L5" s="253"/>
      <c r="M5" s="30" t="s">
        <v>809</v>
      </c>
      <c r="N5" s="6" t="s">
        <v>5237</v>
      </c>
      <c r="O5" s="6" t="s">
        <v>809</v>
      </c>
      <c r="P5" s="253" t="s">
        <v>5238</v>
      </c>
      <c r="Q5" s="49" t="n">
        <f aca="false">Inputs!E5</f>
        <v>1</v>
      </c>
      <c r="R5" s="30" t="s">
        <v>809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5239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5240</v>
      </c>
      <c r="B6" s="253" t="s">
        <v>5234</v>
      </c>
      <c r="C6" s="30" t="s">
        <v>3107</v>
      </c>
      <c r="D6" s="30" t="s">
        <v>3109</v>
      </c>
      <c r="E6" s="20" t="s">
        <v>121</v>
      </c>
      <c r="F6" s="30" t="s">
        <v>118</v>
      </c>
      <c r="G6" s="253" t="s">
        <v>5235</v>
      </c>
      <c r="H6" s="30" t="s">
        <v>809</v>
      </c>
      <c r="I6" s="6" t="s">
        <v>809</v>
      </c>
      <c r="J6" s="30" t="s">
        <v>5241</v>
      </c>
      <c r="K6" s="253"/>
      <c r="L6" s="253"/>
      <c r="M6" s="30" t="s">
        <v>809</v>
      </c>
      <c r="N6" s="6" t="s">
        <v>5242</v>
      </c>
      <c r="O6" s="6" t="s">
        <v>809</v>
      </c>
      <c r="P6" s="253" t="s">
        <v>5238</v>
      </c>
      <c r="Q6" s="49" t="n">
        <f aca="false">Inputs!E6</f>
        <v>2</v>
      </c>
      <c r="R6" s="30" t="s">
        <v>809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5239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5243</v>
      </c>
      <c r="B7" s="253" t="s">
        <v>5234</v>
      </c>
      <c r="C7" s="30" t="s">
        <v>3107</v>
      </c>
      <c r="D7" s="30" t="s">
        <v>3110</v>
      </c>
      <c r="E7" s="20" t="s">
        <v>126</v>
      </c>
      <c r="F7" s="30" t="s">
        <v>128</v>
      </c>
      <c r="G7" s="253" t="s">
        <v>111</v>
      </c>
      <c r="H7" s="30" t="s">
        <v>809</v>
      </c>
      <c r="I7" s="6" t="s">
        <v>809</v>
      </c>
      <c r="J7" s="30" t="s">
        <v>5236</v>
      </c>
      <c r="K7" s="198" t="n">
        <f aca="false">Sensitivity!$X$8</f>
        <v>0.05</v>
      </c>
      <c r="L7" s="198" t="n">
        <f aca="false">Sensitivity!$Y$8</f>
        <v>0.12</v>
      </c>
      <c r="M7" s="30" t="s">
        <v>5244</v>
      </c>
      <c r="N7" s="254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809</v>
      </c>
      <c r="P7" s="253" t="s">
        <v>1433</v>
      </c>
      <c r="Q7" s="198" t="n">
        <f aca="false">Inputs!E8</f>
        <v>0.08</v>
      </c>
      <c r="R7" s="30" t="s">
        <v>809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5239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5245</v>
      </c>
      <c r="B8" s="253" t="s">
        <v>5234</v>
      </c>
      <c r="C8" s="30" t="s">
        <v>3107</v>
      </c>
      <c r="D8" s="30" t="s">
        <v>3112</v>
      </c>
      <c r="E8" s="6" t="s">
        <v>131</v>
      </c>
      <c r="F8" s="30" t="s">
        <v>128</v>
      </c>
      <c r="G8" s="253" t="s">
        <v>111</v>
      </c>
      <c r="H8" s="30" t="s">
        <v>5246</v>
      </c>
      <c r="I8" s="245" t="s">
        <v>5247</v>
      </c>
      <c r="J8" s="30" t="s">
        <v>5248</v>
      </c>
      <c r="K8" s="194" t="n">
        <f aca="false">Inputs!$D$9</f>
        <v>1.1</v>
      </c>
      <c r="L8" s="194" t="n">
        <f aca="false">Inputs!$F$9</f>
        <v>1.3</v>
      </c>
      <c r="M8" s="30" t="s">
        <v>809</v>
      </c>
      <c r="N8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8" s="6" t="s">
        <v>5249</v>
      </c>
      <c r="P8" s="253" t="s">
        <v>1433</v>
      </c>
      <c r="Q8" s="194" t="n">
        <f aca="false">Inputs!E9</f>
        <v>1.2</v>
      </c>
      <c r="R8" s="186" t="n">
        <f aca="false">SRC_DC_018</f>
        <v>1.09</v>
      </c>
      <c r="S8" s="44" t="str">
        <f aca="false">IF(ISNUMBER($AF8),INDEX(IDX_SrcStat,$AF8),"—")</f>
        <v>Active</v>
      </c>
      <c r="T8" s="44" t="n">
        <f aca="false">IF(ISNUMBER($AF8),INDEX(IDX_SrcGrade,$AF8),"—")</f>
        <v>1</v>
      </c>
      <c r="U8" s="44" t="s">
        <v>5239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n">
        <f aca="false">IF(OR($H8="—",$H8=""),"—",MATCH($H8,IDX_SrcID,0))</f>
        <v>138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5250</v>
      </c>
      <c r="B9" s="253" t="s">
        <v>5234</v>
      </c>
      <c r="C9" s="30" t="s">
        <v>3107</v>
      </c>
      <c r="D9" s="30" t="s">
        <v>3111</v>
      </c>
      <c r="E9" s="6" t="s">
        <v>131</v>
      </c>
      <c r="F9" s="30" t="s">
        <v>128</v>
      </c>
      <c r="G9" s="253" t="s">
        <v>1433</v>
      </c>
      <c r="H9" s="30" t="s">
        <v>5246</v>
      </c>
      <c r="I9" s="245" t="s">
        <v>5247</v>
      </c>
      <c r="J9" s="30" t="s">
        <v>5248</v>
      </c>
      <c r="K9" s="253"/>
      <c r="L9" s="253"/>
      <c r="M9" s="30" t="s">
        <v>809</v>
      </c>
      <c r="N9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9" s="6" t="s">
        <v>5249</v>
      </c>
      <c r="P9" s="253" t="s">
        <v>1433</v>
      </c>
      <c r="Q9" s="194" t="n">
        <f aca="false">Inputs!D9</f>
        <v>1.1</v>
      </c>
      <c r="R9" s="186" t="n">
        <f aca="false">SRC_DC_018</f>
        <v>1.09</v>
      </c>
      <c r="S9" s="44" t="str">
        <f aca="false">IF(ISNUMBER($AF9),INDEX(IDX_SrcStat,$AF9),"—")</f>
        <v>Active</v>
      </c>
      <c r="T9" s="44" t="n">
        <f aca="false">IF(ISNUMBER($AF9),INDEX(IDX_SrcGrade,$AF9),"—")</f>
        <v>1</v>
      </c>
      <c r="U9" s="44" t="s">
        <v>5239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n">
        <f aca="false">IF(OR($H9="—",$H9=""),"—",MATCH($H9,IDX_SrcID,0))</f>
        <v>138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5251</v>
      </c>
      <c r="B10" s="253" t="s">
        <v>5234</v>
      </c>
      <c r="C10" s="30" t="s">
        <v>3107</v>
      </c>
      <c r="D10" s="30" t="s">
        <v>3113</v>
      </c>
      <c r="E10" s="6" t="s">
        <v>131</v>
      </c>
      <c r="F10" s="30" t="s">
        <v>128</v>
      </c>
      <c r="G10" s="253" t="s">
        <v>1434</v>
      </c>
      <c r="H10" s="30" t="s">
        <v>5246</v>
      </c>
      <c r="I10" s="245" t="s">
        <v>5247</v>
      </c>
      <c r="J10" s="30" t="s">
        <v>5248</v>
      </c>
      <c r="K10" s="253"/>
      <c r="L10" s="253"/>
      <c r="M10" s="30" t="s">
        <v>809</v>
      </c>
      <c r="N10" s="254" t="str">
        <f aca="false">Inputs!$H$9&amp;" ｜補充旗標（IF 全欄分段，非分段依據）：高"&amp;"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未讀）。決策：AF3B-Q6"</f>
        <v>液冷 AI 設施；v4＝1.2。S14 ｜全機型共用；未分氣冷 Hopper。3A Q6a：超大規模業者 1.10–1.17、colo 1.4–1.6；影響 m_fleet ≤ ±1.3%（稽核 2，Y4）。 ｜補充旗標（IF 全欄分段，非分段依據）：高 ｜v13.1 D15 補登（原 J／H 欄為『—』）：SRC 新增建議：Google 2025 全機隊年均 PUE 1.09（datacenters.google/efficiency）；Uptime Institute 2025 全球調查平均 1.54、超大規模 1.10–1.15（mgrid 2025-10-01 轉述，原 PDF 未讀）。決策：AF3B-Q6</v>
      </c>
      <c r="O10" s="6" t="s">
        <v>5249</v>
      </c>
      <c r="P10" s="253" t="s">
        <v>1433</v>
      </c>
      <c r="Q10" s="194" t="n">
        <f aca="false">Inputs!F9</f>
        <v>1.3</v>
      </c>
      <c r="R10" s="186" t="n">
        <f aca="false">SRC_DC_018</f>
        <v>1.09</v>
      </c>
      <c r="S10" s="44" t="str">
        <f aca="false">IF(ISNUMBER($AF10),INDEX(IDX_SrcStat,$AF10),"—")</f>
        <v>Active</v>
      </c>
      <c r="T10" s="44" t="n">
        <f aca="false">IF(ISNUMBER($AF10),INDEX(IDX_SrcGrade,$AF10),"—")</f>
        <v>1</v>
      </c>
      <c r="U10" s="44" t="s">
        <v>5239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n">
        <f aca="false">IF(OR($H10="—",$H10=""),"—",MATCH($H10,IDX_SrcID,0))</f>
        <v>138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5252</v>
      </c>
      <c r="B11" s="253" t="s">
        <v>5234</v>
      </c>
      <c r="C11" s="30" t="s">
        <v>3107</v>
      </c>
      <c r="D11" s="30" t="s">
        <v>3115</v>
      </c>
      <c r="E11" s="20" t="s">
        <v>135</v>
      </c>
      <c r="F11" s="30" t="s">
        <v>128</v>
      </c>
      <c r="G11" s="253" t="s">
        <v>111</v>
      </c>
      <c r="H11" s="30" t="s">
        <v>809</v>
      </c>
      <c r="I11" s="6" t="s">
        <v>809</v>
      </c>
      <c r="J11" s="30" t="s">
        <v>5241</v>
      </c>
      <c r="K11" s="198" t="n">
        <f aca="false">Inputs!$D$10</f>
        <v>0.7</v>
      </c>
      <c r="L11" s="198" t="n">
        <f aca="false">Inputs!$F$10</f>
        <v>0.9</v>
      </c>
      <c r="M11" s="30" t="s">
        <v>809</v>
      </c>
      <c r="N11" s="254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809</v>
      </c>
      <c r="P11" s="253" t="s">
        <v>1433</v>
      </c>
      <c r="Q11" s="198" t="n">
        <f aca="false">Inputs!E10</f>
        <v>0.8</v>
      </c>
      <c r="R11" s="30" t="s">
        <v>809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5239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5253</v>
      </c>
      <c r="B12" s="253" t="s">
        <v>5234</v>
      </c>
      <c r="C12" s="30" t="s">
        <v>3107</v>
      </c>
      <c r="D12" s="30" t="s">
        <v>3114</v>
      </c>
      <c r="E12" s="20" t="s">
        <v>135</v>
      </c>
      <c r="F12" s="30" t="s">
        <v>128</v>
      </c>
      <c r="G12" s="253" t="s">
        <v>1433</v>
      </c>
      <c r="H12" s="30" t="s">
        <v>809</v>
      </c>
      <c r="I12" s="6" t="s">
        <v>809</v>
      </c>
      <c r="J12" s="30" t="s">
        <v>5241</v>
      </c>
      <c r="K12" s="253"/>
      <c r="L12" s="253"/>
      <c r="M12" s="30" t="s">
        <v>809</v>
      </c>
      <c r="N12" s="254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809</v>
      </c>
      <c r="P12" s="253" t="s">
        <v>1433</v>
      </c>
      <c r="Q12" s="198" t="n">
        <f aca="false">Inputs!D10</f>
        <v>0.7</v>
      </c>
      <c r="R12" s="30" t="s">
        <v>809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5239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5254</v>
      </c>
      <c r="B13" s="253" t="s">
        <v>5234</v>
      </c>
      <c r="C13" s="30" t="s">
        <v>3107</v>
      </c>
      <c r="D13" s="30" t="s">
        <v>3116</v>
      </c>
      <c r="E13" s="20" t="s">
        <v>135</v>
      </c>
      <c r="F13" s="30" t="s">
        <v>128</v>
      </c>
      <c r="G13" s="253" t="s">
        <v>1434</v>
      </c>
      <c r="H13" s="30" t="s">
        <v>809</v>
      </c>
      <c r="I13" s="6" t="s">
        <v>809</v>
      </c>
      <c r="J13" s="30" t="s">
        <v>5241</v>
      </c>
      <c r="K13" s="253"/>
      <c r="L13" s="253"/>
      <c r="M13" s="30" t="s">
        <v>809</v>
      </c>
      <c r="N13" s="254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809</v>
      </c>
      <c r="P13" s="253" t="s">
        <v>1433</v>
      </c>
      <c r="Q13" s="198" t="n">
        <f aca="false">Inputs!F10</f>
        <v>0.9</v>
      </c>
      <c r="R13" s="30" t="s">
        <v>809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5239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5255</v>
      </c>
      <c r="B14" s="253" t="s">
        <v>5234</v>
      </c>
      <c r="C14" s="30" t="s">
        <v>3107</v>
      </c>
      <c r="D14" s="30" t="s">
        <v>3118</v>
      </c>
      <c r="E14" s="20" t="s">
        <v>137</v>
      </c>
      <c r="F14" s="30" t="s">
        <v>133</v>
      </c>
      <c r="G14" s="253" t="s">
        <v>111</v>
      </c>
      <c r="H14" s="30" t="s">
        <v>5256</v>
      </c>
      <c r="I14" s="20" t="s">
        <v>5257</v>
      </c>
      <c r="J14" s="30" t="s">
        <v>809</v>
      </c>
      <c r="K14" s="194" t="n">
        <f aca="false">Inputs!$D$11</f>
        <v>0.06</v>
      </c>
      <c r="L14" s="194" t="n">
        <f aca="false">Inputs!$F$11</f>
        <v>0.1</v>
      </c>
      <c r="M14" s="30" t="s">
        <v>809</v>
      </c>
      <c r="N14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809</v>
      </c>
      <c r="P14" s="253" t="s">
        <v>1433</v>
      </c>
      <c r="Q14" s="194" t="n">
        <f aca="false">Inputs!E11</f>
        <v>0.08</v>
      </c>
      <c r="R14" s="186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5239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126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5258</v>
      </c>
      <c r="B15" s="253" t="s">
        <v>5234</v>
      </c>
      <c r="C15" s="30" t="s">
        <v>3107</v>
      </c>
      <c r="D15" s="30" t="s">
        <v>3117</v>
      </c>
      <c r="E15" s="20" t="s">
        <v>137</v>
      </c>
      <c r="F15" s="30" t="s">
        <v>133</v>
      </c>
      <c r="G15" s="253" t="s">
        <v>1433</v>
      </c>
      <c r="H15" s="30" t="s">
        <v>5256</v>
      </c>
      <c r="I15" s="20" t="s">
        <v>5257</v>
      </c>
      <c r="J15" s="30" t="s">
        <v>809</v>
      </c>
      <c r="K15" s="253"/>
      <c r="L15" s="253"/>
      <c r="M15" s="30" t="s">
        <v>809</v>
      </c>
      <c r="N15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809</v>
      </c>
      <c r="P15" s="253" t="s">
        <v>1433</v>
      </c>
      <c r="Q15" s="194" t="n">
        <f aca="false">Inputs!D11</f>
        <v>0.06</v>
      </c>
      <c r="R15" s="186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5239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126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5259</v>
      </c>
      <c r="B16" s="253" t="s">
        <v>5234</v>
      </c>
      <c r="C16" s="30" t="s">
        <v>3107</v>
      </c>
      <c r="D16" s="30" t="s">
        <v>3119</v>
      </c>
      <c r="E16" s="20" t="s">
        <v>137</v>
      </c>
      <c r="F16" s="30" t="s">
        <v>133</v>
      </c>
      <c r="G16" s="253" t="s">
        <v>1434</v>
      </c>
      <c r="H16" s="30" t="s">
        <v>5256</v>
      </c>
      <c r="I16" s="20" t="s">
        <v>5257</v>
      </c>
      <c r="J16" s="30" t="s">
        <v>809</v>
      </c>
      <c r="K16" s="253"/>
      <c r="L16" s="253"/>
      <c r="M16" s="30" t="s">
        <v>809</v>
      </c>
      <c r="N16" s="254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809</v>
      </c>
      <c r="P16" s="253" t="s">
        <v>1433</v>
      </c>
      <c r="Q16" s="194" t="n">
        <f aca="false">Inputs!F11</f>
        <v>0.1</v>
      </c>
      <c r="R16" s="186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5239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126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5260</v>
      </c>
      <c r="B17" s="253" t="s">
        <v>5234</v>
      </c>
      <c r="C17" s="30" t="s">
        <v>3107</v>
      </c>
      <c r="D17" s="30" t="s">
        <v>3121</v>
      </c>
      <c r="E17" s="6" t="s">
        <v>142</v>
      </c>
      <c r="F17" s="30" t="s">
        <v>133</v>
      </c>
      <c r="G17" s="253" t="s">
        <v>111</v>
      </c>
      <c r="H17" s="30" t="s">
        <v>5261</v>
      </c>
      <c r="I17" s="20" t="s">
        <v>5257</v>
      </c>
      <c r="J17" s="30" t="s">
        <v>809</v>
      </c>
      <c r="K17" s="198" t="n">
        <f aca="false">Inputs!$D$13</f>
        <v>0.05</v>
      </c>
      <c r="L17" s="198" t="n">
        <f aca="false">Inputs!$F$13</f>
        <v>0.15</v>
      </c>
      <c r="M17" s="30" t="s">
        <v>809</v>
      </c>
      <c r="N17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809</v>
      </c>
      <c r="P17" s="253" t="s">
        <v>1433</v>
      </c>
      <c r="Q17" s="198" t="n">
        <f aca="false">Inputs!E13</f>
        <v>0.1</v>
      </c>
      <c r="R17" s="186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5239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121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5262</v>
      </c>
      <c r="B18" s="253" t="s">
        <v>5234</v>
      </c>
      <c r="C18" s="30" t="s">
        <v>3107</v>
      </c>
      <c r="D18" s="30" t="s">
        <v>3120</v>
      </c>
      <c r="E18" s="6" t="s">
        <v>142</v>
      </c>
      <c r="F18" s="30" t="s">
        <v>133</v>
      </c>
      <c r="G18" s="253" t="s">
        <v>1433</v>
      </c>
      <c r="H18" s="30" t="s">
        <v>5261</v>
      </c>
      <c r="I18" s="20" t="s">
        <v>5257</v>
      </c>
      <c r="J18" s="30" t="s">
        <v>809</v>
      </c>
      <c r="K18" s="253"/>
      <c r="L18" s="253"/>
      <c r="M18" s="30" t="s">
        <v>809</v>
      </c>
      <c r="N18" s="254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809</v>
      </c>
      <c r="P18" s="253" t="s">
        <v>1433</v>
      </c>
      <c r="Q18" s="198" t="n">
        <f aca="false">Inputs!D13</f>
        <v>0.05</v>
      </c>
      <c r="R18" s="186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5239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121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5263</v>
      </c>
      <c r="B19" s="253" t="s">
        <v>5234</v>
      </c>
      <c r="C19" s="30" t="s">
        <v>3107</v>
      </c>
      <c r="D19" s="30" t="s">
        <v>3185</v>
      </c>
      <c r="E19" s="6" t="s">
        <v>142</v>
      </c>
      <c r="F19" s="253" t="s">
        <v>373</v>
      </c>
      <c r="G19" s="253" t="s">
        <v>5235</v>
      </c>
      <c r="H19" s="30" t="s">
        <v>5264</v>
      </c>
      <c r="I19" s="20" t="s">
        <v>5265</v>
      </c>
      <c r="J19" s="30" t="s">
        <v>809</v>
      </c>
      <c r="K19" s="253"/>
      <c r="L19" s="253"/>
      <c r="M19" s="30" t="s">
        <v>809</v>
      </c>
      <c r="N19" s="20" t="s">
        <v>5266</v>
      </c>
      <c r="O19" s="6" t="s">
        <v>809</v>
      </c>
      <c r="P19" s="253" t="s">
        <v>1433</v>
      </c>
      <c r="Q19" s="198" t="n">
        <f aca="false">Inputs!F13</f>
        <v>0.15</v>
      </c>
      <c r="R19" s="186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5267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122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5268</v>
      </c>
      <c r="B20" s="253" t="s">
        <v>5234</v>
      </c>
      <c r="C20" s="30" t="s">
        <v>3107</v>
      </c>
      <c r="D20" s="30" t="s">
        <v>3123</v>
      </c>
      <c r="E20" s="20" t="s">
        <v>144</v>
      </c>
      <c r="F20" s="30" t="s">
        <v>128</v>
      </c>
      <c r="G20" s="253" t="s">
        <v>111</v>
      </c>
      <c r="H20" s="30" t="s">
        <v>809</v>
      </c>
      <c r="I20" s="6" t="s">
        <v>809</v>
      </c>
      <c r="J20" s="30" t="s">
        <v>5269</v>
      </c>
      <c r="K20" s="49" t="n">
        <f aca="false">Inputs!$D$14</f>
        <v>300</v>
      </c>
      <c r="L20" s="49" t="n">
        <f aca="false">Inputs!$F$14</f>
        <v>800</v>
      </c>
      <c r="M20" s="30" t="s">
        <v>809</v>
      </c>
      <c r="N20" s="254" t="str">
        <f aca="false">Inputs!$H$14</f>
        <v>v4 約 $350/GPU（$25K/架）</v>
      </c>
      <c r="O20" s="6" t="s">
        <v>809</v>
      </c>
      <c r="P20" s="253" t="s">
        <v>1433</v>
      </c>
      <c r="Q20" s="49" t="n">
        <f aca="false">Inputs!E14</f>
        <v>500</v>
      </c>
      <c r="R20" s="30" t="s">
        <v>809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5239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5270</v>
      </c>
      <c r="B21" s="253" t="s">
        <v>5234</v>
      </c>
      <c r="C21" s="30" t="s">
        <v>3107</v>
      </c>
      <c r="D21" s="30" t="s">
        <v>3122</v>
      </c>
      <c r="E21" s="20" t="s">
        <v>144</v>
      </c>
      <c r="F21" s="30" t="s">
        <v>128</v>
      </c>
      <c r="G21" s="253" t="s">
        <v>1433</v>
      </c>
      <c r="H21" s="30" t="s">
        <v>809</v>
      </c>
      <c r="I21" s="6" t="s">
        <v>809</v>
      </c>
      <c r="J21" s="30" t="s">
        <v>5269</v>
      </c>
      <c r="K21" s="253"/>
      <c r="L21" s="253"/>
      <c r="M21" s="30" t="s">
        <v>809</v>
      </c>
      <c r="N21" s="254" t="str">
        <f aca="false">Inputs!$H$14</f>
        <v>v4 約 $350/GPU（$25K/架）</v>
      </c>
      <c r="O21" s="6" t="s">
        <v>809</v>
      </c>
      <c r="P21" s="253" t="s">
        <v>1433</v>
      </c>
      <c r="Q21" s="49" t="n">
        <f aca="false">Inputs!D14</f>
        <v>300</v>
      </c>
      <c r="R21" s="30" t="s">
        <v>809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5239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5271</v>
      </c>
      <c r="B22" s="253" t="s">
        <v>5234</v>
      </c>
      <c r="C22" s="30" t="s">
        <v>3107</v>
      </c>
      <c r="D22" s="30" t="s">
        <v>3124</v>
      </c>
      <c r="E22" s="20" t="s">
        <v>144</v>
      </c>
      <c r="F22" s="30" t="s">
        <v>128</v>
      </c>
      <c r="G22" s="253" t="s">
        <v>1434</v>
      </c>
      <c r="H22" s="30" t="s">
        <v>809</v>
      </c>
      <c r="I22" s="6" t="s">
        <v>809</v>
      </c>
      <c r="J22" s="30" t="s">
        <v>5269</v>
      </c>
      <c r="K22" s="253"/>
      <c r="L22" s="253"/>
      <c r="M22" s="30" t="s">
        <v>809</v>
      </c>
      <c r="N22" s="254" t="str">
        <f aca="false">Inputs!$H$14</f>
        <v>v4 約 $350/GPU（$25K/架）</v>
      </c>
      <c r="O22" s="6" t="s">
        <v>809</v>
      </c>
      <c r="P22" s="253" t="s">
        <v>1433</v>
      </c>
      <c r="Q22" s="49" t="n">
        <f aca="false">Inputs!F14</f>
        <v>800</v>
      </c>
      <c r="R22" s="30" t="s">
        <v>809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5239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5272</v>
      </c>
      <c r="B23" s="253" t="s">
        <v>5234</v>
      </c>
      <c r="C23" s="30" t="s">
        <v>3107</v>
      </c>
      <c r="D23" s="30" t="s">
        <v>3126</v>
      </c>
      <c r="E23" s="20" t="s">
        <v>148</v>
      </c>
      <c r="F23" s="30" t="s">
        <v>128</v>
      </c>
      <c r="G23" s="253" t="s">
        <v>111</v>
      </c>
      <c r="H23" s="30" t="s">
        <v>809</v>
      </c>
      <c r="I23" s="6" t="s">
        <v>809</v>
      </c>
      <c r="J23" s="30" t="s">
        <v>5269</v>
      </c>
      <c r="K23" s="194" t="n">
        <f aca="false">Inputs!$D$16</f>
        <v>0.02</v>
      </c>
      <c r="L23" s="194" t="n">
        <f aca="false">Inputs!$F$16</f>
        <v>0.02</v>
      </c>
      <c r="M23" s="30" t="s">
        <v>809</v>
      </c>
      <c r="N23" s="254" t="str">
        <f aca="false">Inputs!$H$16</f>
        <v>v4：100 英畝 × $200K／GW</v>
      </c>
      <c r="O23" s="6" t="s">
        <v>809</v>
      </c>
      <c r="P23" s="253" t="s">
        <v>1433</v>
      </c>
      <c r="Q23" s="194" t="n">
        <f aca="false">Inputs!E16</f>
        <v>0.02</v>
      </c>
      <c r="R23" s="30" t="s">
        <v>809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5239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5273</v>
      </c>
      <c r="B24" s="253" t="s">
        <v>5234</v>
      </c>
      <c r="C24" s="30" t="s">
        <v>3107</v>
      </c>
      <c r="D24" s="30" t="s">
        <v>3125</v>
      </c>
      <c r="E24" s="20" t="s">
        <v>148</v>
      </c>
      <c r="F24" s="30" t="s">
        <v>128</v>
      </c>
      <c r="G24" s="253" t="s">
        <v>1433</v>
      </c>
      <c r="H24" s="30" t="s">
        <v>809</v>
      </c>
      <c r="I24" s="6" t="s">
        <v>809</v>
      </c>
      <c r="J24" s="30" t="s">
        <v>5269</v>
      </c>
      <c r="K24" s="253"/>
      <c r="L24" s="253"/>
      <c r="M24" s="30" t="s">
        <v>809</v>
      </c>
      <c r="N24" s="254" t="str">
        <f aca="false">Inputs!$H$16</f>
        <v>v4：100 英畝 × $200K／GW</v>
      </c>
      <c r="O24" s="6" t="s">
        <v>809</v>
      </c>
      <c r="P24" s="253" t="s">
        <v>1433</v>
      </c>
      <c r="Q24" s="194" t="n">
        <f aca="false">Inputs!D16</f>
        <v>0.02</v>
      </c>
      <c r="R24" s="30" t="s">
        <v>809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5239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5274</v>
      </c>
      <c r="B25" s="253" t="s">
        <v>5234</v>
      </c>
      <c r="C25" s="30" t="s">
        <v>3107</v>
      </c>
      <c r="D25" s="30" t="s">
        <v>3127</v>
      </c>
      <c r="E25" s="20" t="s">
        <v>148</v>
      </c>
      <c r="F25" s="30" t="s">
        <v>128</v>
      </c>
      <c r="G25" s="253" t="s">
        <v>1434</v>
      </c>
      <c r="H25" s="30" t="s">
        <v>809</v>
      </c>
      <c r="I25" s="6" t="s">
        <v>809</v>
      </c>
      <c r="J25" s="30" t="s">
        <v>5269</v>
      </c>
      <c r="K25" s="253"/>
      <c r="L25" s="253"/>
      <c r="M25" s="30" t="s">
        <v>809</v>
      </c>
      <c r="N25" s="254" t="str">
        <f aca="false">Inputs!$H$16</f>
        <v>v4：100 英畝 × $200K／GW</v>
      </c>
      <c r="O25" s="6" t="s">
        <v>809</v>
      </c>
      <c r="P25" s="253" t="s">
        <v>1433</v>
      </c>
      <c r="Q25" s="194" t="n">
        <f aca="false">Inputs!F16</f>
        <v>0.02</v>
      </c>
      <c r="R25" s="30" t="s">
        <v>809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5239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5275</v>
      </c>
      <c r="B26" s="253" t="s">
        <v>5234</v>
      </c>
      <c r="C26" s="30" t="s">
        <v>3107</v>
      </c>
      <c r="D26" s="30" t="s">
        <v>3129</v>
      </c>
      <c r="E26" s="20" t="s">
        <v>151</v>
      </c>
      <c r="F26" s="30" t="s">
        <v>128</v>
      </c>
      <c r="G26" s="253" t="s">
        <v>111</v>
      </c>
      <c r="H26" s="30" t="s">
        <v>3876</v>
      </c>
      <c r="I26" s="245" t="s">
        <v>5276</v>
      </c>
      <c r="J26" s="30" t="s">
        <v>5269</v>
      </c>
      <c r="K26" s="194" t="n">
        <f aca="false">Inputs!$D$17</f>
        <v>3</v>
      </c>
      <c r="L26" s="194" t="n">
        <f aca="false">Inputs!$F$17</f>
        <v>4.5</v>
      </c>
      <c r="M26" s="30" t="s">
        <v>809</v>
      </c>
      <c r="N26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809</v>
      </c>
      <c r="P26" s="253" t="s">
        <v>1433</v>
      </c>
      <c r="Q26" s="194" t="n">
        <f aca="false">Inputs!E17</f>
        <v>3.6</v>
      </c>
      <c r="R26" s="186" t="n">
        <f aca="false">SRC_DC_003</f>
        <v>11.3</v>
      </c>
      <c r="S26" s="44" t="str">
        <f aca="false">IF(ISNUMBER($AF26),INDEX(IDX_SrcStat,$AF26),"—")</f>
        <v>Active</v>
      </c>
      <c r="T26" s="44" t="n">
        <f aca="false">IF(ISNUMBER($AF26),INDEX(IDX_SrcGrade,$AF26),"—")</f>
        <v>3</v>
      </c>
      <c r="U26" s="44" t="s">
        <v>5239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n">
        <f aca="false">IF(OR($H26="—",$H26=""),"—",MATCH($H26,IDX_SrcID,0))</f>
        <v>123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5277</v>
      </c>
      <c r="B27" s="253" t="s">
        <v>5234</v>
      </c>
      <c r="C27" s="30" t="s">
        <v>3107</v>
      </c>
      <c r="D27" s="30" t="s">
        <v>3128</v>
      </c>
      <c r="E27" s="20" t="s">
        <v>151</v>
      </c>
      <c r="F27" s="30" t="s">
        <v>128</v>
      </c>
      <c r="G27" s="253" t="s">
        <v>1433</v>
      </c>
      <c r="H27" s="30" t="s">
        <v>3876</v>
      </c>
      <c r="I27" s="245" t="s">
        <v>5276</v>
      </c>
      <c r="J27" s="30" t="s">
        <v>5269</v>
      </c>
      <c r="K27" s="253"/>
      <c r="L27" s="253"/>
      <c r="M27" s="30" t="s">
        <v>809</v>
      </c>
      <c r="N27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809</v>
      </c>
      <c r="P27" s="253" t="s">
        <v>1433</v>
      </c>
      <c r="Q27" s="194" t="n">
        <f aca="false">Inputs!D17</f>
        <v>3</v>
      </c>
      <c r="R27" s="186" t="n">
        <f aca="false">SRC_DC_003</f>
        <v>11.3</v>
      </c>
      <c r="S27" s="44" t="str">
        <f aca="false">IF(ISNUMBER($AF27),INDEX(IDX_SrcStat,$AF27),"—")</f>
        <v>Active</v>
      </c>
      <c r="T27" s="44" t="n">
        <f aca="false">IF(ISNUMBER($AF27),INDEX(IDX_SrcGrade,$AF27),"—")</f>
        <v>3</v>
      </c>
      <c r="U27" s="44" t="s">
        <v>5239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n">
        <f aca="false">IF(OR($H27="—",$H27=""),"—",MATCH($H27,IDX_SrcID,0))</f>
        <v>123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5278</v>
      </c>
      <c r="B28" s="253" t="s">
        <v>5234</v>
      </c>
      <c r="C28" s="30" t="s">
        <v>3107</v>
      </c>
      <c r="D28" s="30" t="s">
        <v>3130</v>
      </c>
      <c r="E28" s="20" t="s">
        <v>151</v>
      </c>
      <c r="F28" s="30" t="s">
        <v>128</v>
      </c>
      <c r="G28" s="253" t="s">
        <v>1434</v>
      </c>
      <c r="H28" s="30" t="s">
        <v>3876</v>
      </c>
      <c r="I28" s="245" t="s">
        <v>5276</v>
      </c>
      <c r="J28" s="30" t="s">
        <v>5269</v>
      </c>
      <c r="K28" s="253"/>
      <c r="L28" s="253"/>
      <c r="M28" s="30" t="s">
        <v>809</v>
      </c>
      <c r="N28" s="254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809</v>
      </c>
      <c r="P28" s="253" t="s">
        <v>1433</v>
      </c>
      <c r="Q28" s="194" t="n">
        <f aca="false">Inputs!F17</f>
        <v>4.5</v>
      </c>
      <c r="R28" s="186" t="n">
        <f aca="false">SRC_DC_003</f>
        <v>11.3</v>
      </c>
      <c r="S28" s="44" t="str">
        <f aca="false">IF(ISNUMBER($AF28),INDEX(IDX_SrcStat,$AF28),"—")</f>
        <v>Active</v>
      </c>
      <c r="T28" s="44" t="n">
        <f aca="false">IF(ISNUMBER($AF28),INDEX(IDX_SrcGrade,$AF28),"—")</f>
        <v>3</v>
      </c>
      <c r="U28" s="44" t="s">
        <v>5239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n">
        <f aca="false">IF(OR($H28="—",$H28=""),"—",MATCH($H28,IDX_SrcID,0))</f>
        <v>123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5279</v>
      </c>
      <c r="B29" s="253" t="s">
        <v>5234</v>
      </c>
      <c r="C29" s="30" t="s">
        <v>3107</v>
      </c>
      <c r="D29" s="30" t="s">
        <v>3132</v>
      </c>
      <c r="E29" s="20" t="s">
        <v>153</v>
      </c>
      <c r="F29" s="30" t="s">
        <v>128</v>
      </c>
      <c r="G29" s="253" t="s">
        <v>111</v>
      </c>
      <c r="H29" s="30" t="s">
        <v>3876</v>
      </c>
      <c r="I29" s="245" t="s">
        <v>5276</v>
      </c>
      <c r="J29" s="30" t="s">
        <v>5269</v>
      </c>
      <c r="K29" s="194" t="n">
        <f aca="false">Inputs!$D$18</f>
        <v>3.8</v>
      </c>
      <c r="L29" s="194" t="n">
        <f aca="false">Inputs!$F$18</f>
        <v>5.5</v>
      </c>
      <c r="M29" s="30" t="s">
        <v>809</v>
      </c>
      <c r="N29" s="20" t="s">
        <v>5280</v>
      </c>
      <c r="O29" s="6" t="s">
        <v>809</v>
      </c>
      <c r="P29" s="253" t="s">
        <v>5281</v>
      </c>
      <c r="Q29" s="194" t="n">
        <f aca="false">Inputs!E18</f>
        <v>4.5</v>
      </c>
      <c r="R29" s="186" t="n">
        <f aca="false">SRC_DC_003</f>
        <v>11.3</v>
      </c>
      <c r="S29" s="44" t="str">
        <f aca="false">IF(ISNUMBER($AF29),INDEX(IDX_SrcStat,$AF29),"—")</f>
        <v>Active</v>
      </c>
      <c r="T29" s="44" t="n">
        <f aca="false">IF(ISNUMBER($AF29),INDEX(IDX_SrcGrade,$AF29),"—")</f>
        <v>3</v>
      </c>
      <c r="U29" s="44" t="s">
        <v>5239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n">
        <f aca="false">IF(OR($H29="—",$H29=""),"—",MATCH($H29,IDX_SrcID,0))</f>
        <v>123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5282</v>
      </c>
      <c r="B30" s="253" t="s">
        <v>5234</v>
      </c>
      <c r="C30" s="30" t="s">
        <v>3107</v>
      </c>
      <c r="D30" s="30" t="s">
        <v>3131</v>
      </c>
      <c r="E30" s="20" t="s">
        <v>153</v>
      </c>
      <c r="F30" s="30" t="s">
        <v>128</v>
      </c>
      <c r="G30" s="253" t="s">
        <v>1433</v>
      </c>
      <c r="H30" s="30" t="s">
        <v>3876</v>
      </c>
      <c r="I30" s="245" t="s">
        <v>5276</v>
      </c>
      <c r="J30" s="30" t="s">
        <v>5269</v>
      </c>
      <c r="K30" s="253"/>
      <c r="L30" s="253"/>
      <c r="M30" s="30" t="s">
        <v>809</v>
      </c>
      <c r="N30" s="20" t="s">
        <v>5280</v>
      </c>
      <c r="O30" s="6" t="s">
        <v>809</v>
      </c>
      <c r="P30" s="253" t="s">
        <v>5281</v>
      </c>
      <c r="Q30" s="194" t="n">
        <f aca="false">Inputs!D18</f>
        <v>3.8</v>
      </c>
      <c r="R30" s="186" t="n">
        <f aca="false">SRC_DC_003</f>
        <v>11.3</v>
      </c>
      <c r="S30" s="44" t="str">
        <f aca="false">IF(ISNUMBER($AF30),INDEX(IDX_SrcStat,$AF30),"—")</f>
        <v>Active</v>
      </c>
      <c r="T30" s="44" t="n">
        <f aca="false">IF(ISNUMBER($AF30),INDEX(IDX_SrcGrade,$AF30),"—")</f>
        <v>3</v>
      </c>
      <c r="U30" s="44" t="s">
        <v>5239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n">
        <f aca="false">IF(OR($H30="—",$H30=""),"—",MATCH($H30,IDX_SrcID,0))</f>
        <v>123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5283</v>
      </c>
      <c r="B31" s="253" t="s">
        <v>5234</v>
      </c>
      <c r="C31" s="30" t="s">
        <v>3107</v>
      </c>
      <c r="D31" s="30" t="s">
        <v>3133</v>
      </c>
      <c r="E31" s="20" t="s">
        <v>153</v>
      </c>
      <c r="F31" s="30" t="s">
        <v>128</v>
      </c>
      <c r="G31" s="253" t="s">
        <v>1434</v>
      </c>
      <c r="H31" s="30" t="s">
        <v>3876</v>
      </c>
      <c r="I31" s="245" t="s">
        <v>5276</v>
      </c>
      <c r="J31" s="30" t="s">
        <v>5269</v>
      </c>
      <c r="K31" s="253"/>
      <c r="L31" s="253"/>
      <c r="M31" s="30" t="s">
        <v>809</v>
      </c>
      <c r="N31" s="20" t="s">
        <v>5280</v>
      </c>
      <c r="O31" s="6" t="s">
        <v>809</v>
      </c>
      <c r="P31" s="253" t="s">
        <v>5281</v>
      </c>
      <c r="Q31" s="194" t="n">
        <f aca="false">Inputs!F18</f>
        <v>5.5</v>
      </c>
      <c r="R31" s="186" t="n">
        <f aca="false">SRC_DC_003</f>
        <v>11.3</v>
      </c>
      <c r="S31" s="44" t="str">
        <f aca="false">IF(ISNUMBER($AF31),INDEX(IDX_SrcStat,$AF31),"—")</f>
        <v>Active</v>
      </c>
      <c r="T31" s="44" t="n">
        <f aca="false">IF(ISNUMBER($AF31),INDEX(IDX_SrcGrade,$AF31),"—")</f>
        <v>3</v>
      </c>
      <c r="U31" s="44" t="s">
        <v>5239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n">
        <f aca="false">IF(OR($H31="—",$H31=""),"—",MATCH($H31,IDX_SrcID,0))</f>
        <v>123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5284</v>
      </c>
      <c r="B32" s="253" t="s">
        <v>5234</v>
      </c>
      <c r="C32" s="30" t="s">
        <v>3107</v>
      </c>
      <c r="D32" s="30" t="s">
        <v>3135</v>
      </c>
      <c r="E32" s="20" t="s">
        <v>155</v>
      </c>
      <c r="F32" s="30" t="s">
        <v>128</v>
      </c>
      <c r="G32" s="253" t="s">
        <v>111</v>
      </c>
      <c r="H32" s="30" t="s">
        <v>809</v>
      </c>
      <c r="I32" s="6" t="s">
        <v>809</v>
      </c>
      <c r="J32" s="30" t="s">
        <v>5248</v>
      </c>
      <c r="K32" s="194" t="n">
        <f aca="false">Inputs!$D$19</f>
        <v>2</v>
      </c>
      <c r="L32" s="194" t="n">
        <f aca="false">Inputs!$F$19</f>
        <v>3.2</v>
      </c>
      <c r="M32" s="30" t="s">
        <v>809</v>
      </c>
      <c r="N32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2" s="6" t="s">
        <v>809</v>
      </c>
      <c r="P32" s="253" t="s">
        <v>1433</v>
      </c>
      <c r="Q32" s="194" t="n">
        <f aca="false">Inputs!E19</f>
        <v>2.5</v>
      </c>
      <c r="R32" s="30" t="s">
        <v>809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5239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5285</v>
      </c>
      <c r="B33" s="253" t="s">
        <v>5234</v>
      </c>
      <c r="C33" s="30" t="s">
        <v>3107</v>
      </c>
      <c r="D33" s="30" t="s">
        <v>3134</v>
      </c>
      <c r="E33" s="20" t="s">
        <v>155</v>
      </c>
      <c r="F33" s="30" t="s">
        <v>128</v>
      </c>
      <c r="G33" s="253" t="s">
        <v>1433</v>
      </c>
      <c r="H33" s="30" t="s">
        <v>809</v>
      </c>
      <c r="I33" s="6" t="s">
        <v>809</v>
      </c>
      <c r="J33" s="30" t="s">
        <v>5248</v>
      </c>
      <c r="K33" s="253"/>
      <c r="L33" s="253"/>
      <c r="M33" s="30" t="s">
        <v>809</v>
      </c>
      <c r="N33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3" s="6" t="s">
        <v>809</v>
      </c>
      <c r="P33" s="253" t="s">
        <v>1433</v>
      </c>
      <c r="Q33" s="194" t="n">
        <f aca="false">Inputs!D19</f>
        <v>2</v>
      </c>
      <c r="R33" s="30" t="s">
        <v>809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5239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5286</v>
      </c>
      <c r="B34" s="253" t="s">
        <v>5234</v>
      </c>
      <c r="C34" s="30" t="s">
        <v>3107</v>
      </c>
      <c r="D34" s="30" t="s">
        <v>3136</v>
      </c>
      <c r="E34" s="20" t="s">
        <v>155</v>
      </c>
      <c r="F34" s="30" t="s">
        <v>128</v>
      </c>
      <c r="G34" s="253" t="s">
        <v>1434</v>
      </c>
      <c r="H34" s="30" t="s">
        <v>809</v>
      </c>
      <c r="I34" s="6" t="s">
        <v>809</v>
      </c>
      <c r="J34" s="30" t="s">
        <v>5248</v>
      </c>
      <c r="K34" s="253"/>
      <c r="L34" s="253"/>
      <c r="M34" s="30" t="s">
        <v>809</v>
      </c>
      <c r="N34" s="254" t="str">
        <f aca="false">Inputs!$H$19&amp;" ｜補充旗標（IF 全欄分段，非分段依據）：中"&amp;" ｜v13.1 D15 補登（原 J／H 欄為『—』）：決策：AF3B-Q6（Hopper 氣冷口徑）＋D15-04（造價分項，總額以 SRC_DC_003 校準）（J 欄放主要決策 AF3B-Q6；全部：AF3B-Q6＋D15-04）"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 ｜v13.1 D15 補登（原 J／H 欄為『—』）：決策：AF3B-Q6（Hopper 氣冷口徑）＋D15-04（造價分項，總額以 SRC_DC_003 校準）（J 欄放主要決策 AF3B-Q6；全部：AF3B-Q6＋D15-04）</v>
      </c>
      <c r="O34" s="6" t="s">
        <v>809</v>
      </c>
      <c r="P34" s="253" t="s">
        <v>1433</v>
      </c>
      <c r="Q34" s="194" t="n">
        <f aca="false">Inputs!F19</f>
        <v>3.2</v>
      </c>
      <c r="R34" s="30" t="s">
        <v>809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5239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5287</v>
      </c>
      <c r="B35" s="253" t="s">
        <v>5234</v>
      </c>
      <c r="C35" s="30" t="s">
        <v>3107</v>
      </c>
      <c r="D35" s="30" t="s">
        <v>3138</v>
      </c>
      <c r="E35" s="20" t="s">
        <v>157</v>
      </c>
      <c r="F35" s="30" t="s">
        <v>128</v>
      </c>
      <c r="G35" s="253" t="s">
        <v>111</v>
      </c>
      <c r="H35" s="30" t="s">
        <v>3876</v>
      </c>
      <c r="I35" s="245" t="s">
        <v>5276</v>
      </c>
      <c r="J35" s="30" t="s">
        <v>5269</v>
      </c>
      <c r="K35" s="194" t="n">
        <f aca="false">Inputs!$D$20</f>
        <v>0.3</v>
      </c>
      <c r="L35" s="194" t="n">
        <f aca="false">Inputs!$F$20</f>
        <v>0.5</v>
      </c>
      <c r="M35" s="30" t="s">
        <v>809</v>
      </c>
      <c r="N35" s="20" t="s">
        <v>5288</v>
      </c>
      <c r="O35" s="6" t="s">
        <v>809</v>
      </c>
      <c r="P35" s="253" t="s">
        <v>1433</v>
      </c>
      <c r="Q35" s="194" t="n">
        <f aca="false">Inputs!E20</f>
        <v>0.4</v>
      </c>
      <c r="R35" s="186" t="n">
        <f aca="false">SRC_DC_003</f>
        <v>11.3</v>
      </c>
      <c r="S35" s="44" t="str">
        <f aca="false">IF(ISNUMBER($AF35),INDEX(IDX_SrcStat,$AF35),"—")</f>
        <v>Active</v>
      </c>
      <c r="T35" s="44" t="n">
        <f aca="false">IF(ISNUMBER($AF35),INDEX(IDX_SrcGrade,$AF35),"—")</f>
        <v>3</v>
      </c>
      <c r="U35" s="44" t="s">
        <v>5239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n">
        <f aca="false">IF(OR($H35="—",$H35=""),"—",MATCH($H35,IDX_SrcID,0))</f>
        <v>123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5289</v>
      </c>
      <c r="B36" s="253" t="s">
        <v>5234</v>
      </c>
      <c r="C36" s="30" t="s">
        <v>3107</v>
      </c>
      <c r="D36" s="30" t="s">
        <v>3137</v>
      </c>
      <c r="E36" s="20" t="s">
        <v>157</v>
      </c>
      <c r="F36" s="30" t="s">
        <v>128</v>
      </c>
      <c r="G36" s="253" t="s">
        <v>1433</v>
      </c>
      <c r="H36" s="30" t="s">
        <v>3876</v>
      </c>
      <c r="I36" s="245" t="s">
        <v>5276</v>
      </c>
      <c r="J36" s="30" t="s">
        <v>5269</v>
      </c>
      <c r="K36" s="253"/>
      <c r="L36" s="253"/>
      <c r="M36" s="30" t="s">
        <v>809</v>
      </c>
      <c r="N36" s="20" t="s">
        <v>5288</v>
      </c>
      <c r="O36" s="6" t="s">
        <v>809</v>
      </c>
      <c r="P36" s="253" t="s">
        <v>1433</v>
      </c>
      <c r="Q36" s="194" t="n">
        <f aca="false">Inputs!D20</f>
        <v>0.3</v>
      </c>
      <c r="R36" s="186" t="n">
        <f aca="false">SRC_DC_003</f>
        <v>11.3</v>
      </c>
      <c r="S36" s="44" t="str">
        <f aca="false">IF(ISNUMBER($AF36),INDEX(IDX_SrcStat,$AF36),"—")</f>
        <v>Active</v>
      </c>
      <c r="T36" s="44" t="n">
        <f aca="false">IF(ISNUMBER($AF36),INDEX(IDX_SrcGrade,$AF36),"—")</f>
        <v>3</v>
      </c>
      <c r="U36" s="44" t="s">
        <v>5239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n">
        <f aca="false">IF(OR($H36="—",$H36=""),"—",MATCH($H36,IDX_SrcID,0))</f>
        <v>123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5290</v>
      </c>
      <c r="B37" s="253" t="s">
        <v>5234</v>
      </c>
      <c r="C37" s="30" t="s">
        <v>3107</v>
      </c>
      <c r="D37" s="30" t="s">
        <v>3139</v>
      </c>
      <c r="E37" s="20" t="s">
        <v>157</v>
      </c>
      <c r="F37" s="30" t="s">
        <v>128</v>
      </c>
      <c r="G37" s="253" t="s">
        <v>1434</v>
      </c>
      <c r="H37" s="30" t="s">
        <v>3876</v>
      </c>
      <c r="I37" s="245" t="s">
        <v>5276</v>
      </c>
      <c r="J37" s="30" t="s">
        <v>5269</v>
      </c>
      <c r="K37" s="253"/>
      <c r="L37" s="253"/>
      <c r="M37" s="30" t="s">
        <v>809</v>
      </c>
      <c r="N37" s="20" t="s">
        <v>5288</v>
      </c>
      <c r="O37" s="6" t="s">
        <v>809</v>
      </c>
      <c r="P37" s="253" t="s">
        <v>1433</v>
      </c>
      <c r="Q37" s="194" t="n">
        <f aca="false">Inputs!F20</f>
        <v>0.5</v>
      </c>
      <c r="R37" s="186" t="n">
        <f aca="false">SRC_DC_003</f>
        <v>11.3</v>
      </c>
      <c r="S37" s="44" t="str">
        <f aca="false">IF(ISNUMBER($AF37),INDEX(IDX_SrcStat,$AF37),"—")</f>
        <v>Active</v>
      </c>
      <c r="T37" s="44" t="n">
        <f aca="false">IF(ISNUMBER($AF37),INDEX(IDX_SrcGrade,$AF37),"—")</f>
        <v>3</v>
      </c>
      <c r="U37" s="44" t="s">
        <v>5239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n">
        <f aca="false">IF(OR($H37="—",$H37=""),"—",MATCH($H37,IDX_SrcID,0))</f>
        <v>123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5291</v>
      </c>
      <c r="B38" s="253" t="s">
        <v>5234</v>
      </c>
      <c r="C38" s="30" t="s">
        <v>3107</v>
      </c>
      <c r="D38" s="30" t="s">
        <v>3141</v>
      </c>
      <c r="E38" s="20" t="s">
        <v>158</v>
      </c>
      <c r="F38" s="30" t="s">
        <v>128</v>
      </c>
      <c r="G38" s="253" t="s">
        <v>111</v>
      </c>
      <c r="H38" s="30" t="s">
        <v>3876</v>
      </c>
      <c r="I38" s="245" t="s">
        <v>5276</v>
      </c>
      <c r="J38" s="30" t="s">
        <v>5269</v>
      </c>
      <c r="K38" s="198" t="n">
        <f aca="false">Inputs!$D$21</f>
        <v>0.12</v>
      </c>
      <c r="L38" s="198" t="n">
        <f aca="false">Inputs!$F$21</f>
        <v>0.18</v>
      </c>
      <c r="M38" s="30" t="s">
        <v>809</v>
      </c>
      <c r="N38" s="6" t="s">
        <v>5292</v>
      </c>
      <c r="O38" s="6" t="s">
        <v>809</v>
      </c>
      <c r="P38" s="253" t="s">
        <v>1433</v>
      </c>
      <c r="Q38" s="198" t="n">
        <f aca="false">Inputs!E21</f>
        <v>0.15</v>
      </c>
      <c r="R38" s="186" t="n">
        <f aca="false">SRC_DC_003</f>
        <v>11.3</v>
      </c>
      <c r="S38" s="44" t="str">
        <f aca="false">IF(ISNUMBER($AF38),INDEX(IDX_SrcStat,$AF38),"—")</f>
        <v>Active</v>
      </c>
      <c r="T38" s="44" t="n">
        <f aca="false">IF(ISNUMBER($AF38),INDEX(IDX_SrcGrade,$AF38),"—")</f>
        <v>3</v>
      </c>
      <c r="U38" s="44" t="s">
        <v>5239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n">
        <f aca="false">IF(OR($H38="—",$H38=""),"—",MATCH($H38,IDX_SrcID,0))</f>
        <v>123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5293</v>
      </c>
      <c r="B39" s="253" t="s">
        <v>5234</v>
      </c>
      <c r="C39" s="30" t="s">
        <v>3107</v>
      </c>
      <c r="D39" s="30" t="s">
        <v>3140</v>
      </c>
      <c r="E39" s="20" t="s">
        <v>158</v>
      </c>
      <c r="F39" s="30" t="s">
        <v>128</v>
      </c>
      <c r="G39" s="253" t="s">
        <v>1433</v>
      </c>
      <c r="H39" s="30" t="s">
        <v>3876</v>
      </c>
      <c r="I39" s="245" t="s">
        <v>5276</v>
      </c>
      <c r="J39" s="30" t="s">
        <v>5269</v>
      </c>
      <c r="K39" s="253"/>
      <c r="L39" s="253"/>
      <c r="M39" s="30" t="s">
        <v>809</v>
      </c>
      <c r="N39" s="6" t="s">
        <v>5292</v>
      </c>
      <c r="O39" s="6" t="s">
        <v>809</v>
      </c>
      <c r="P39" s="253" t="s">
        <v>1433</v>
      </c>
      <c r="Q39" s="198" t="n">
        <f aca="false">Inputs!D21</f>
        <v>0.12</v>
      </c>
      <c r="R39" s="186" t="n">
        <f aca="false">SRC_DC_003</f>
        <v>11.3</v>
      </c>
      <c r="S39" s="44" t="str">
        <f aca="false">IF(ISNUMBER($AF39),INDEX(IDX_SrcStat,$AF39),"—")</f>
        <v>Active</v>
      </c>
      <c r="T39" s="44" t="n">
        <f aca="false">IF(ISNUMBER($AF39),INDEX(IDX_SrcGrade,$AF39),"—")</f>
        <v>3</v>
      </c>
      <c r="U39" s="44" t="s">
        <v>5239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n">
        <f aca="false">IF(OR($H39="—",$H39=""),"—",MATCH($H39,IDX_SrcID,0))</f>
        <v>123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5294</v>
      </c>
      <c r="B40" s="253" t="s">
        <v>5234</v>
      </c>
      <c r="C40" s="30" t="s">
        <v>3107</v>
      </c>
      <c r="D40" s="30" t="s">
        <v>3142</v>
      </c>
      <c r="E40" s="20" t="s">
        <v>158</v>
      </c>
      <c r="F40" s="30" t="s">
        <v>128</v>
      </c>
      <c r="G40" s="253" t="s">
        <v>1434</v>
      </c>
      <c r="H40" s="30" t="s">
        <v>3876</v>
      </c>
      <c r="I40" s="245" t="s">
        <v>5276</v>
      </c>
      <c r="J40" s="30" t="s">
        <v>5269</v>
      </c>
      <c r="K40" s="253"/>
      <c r="L40" s="253"/>
      <c r="M40" s="30" t="s">
        <v>809</v>
      </c>
      <c r="N40" s="6" t="s">
        <v>5292</v>
      </c>
      <c r="O40" s="6" t="s">
        <v>809</v>
      </c>
      <c r="P40" s="253" t="s">
        <v>1433</v>
      </c>
      <c r="Q40" s="198" t="n">
        <f aca="false">Inputs!F21</f>
        <v>0.18</v>
      </c>
      <c r="R40" s="186" t="n">
        <f aca="false">SRC_DC_003</f>
        <v>11.3</v>
      </c>
      <c r="S40" s="44" t="str">
        <f aca="false">IF(ISNUMBER($AF40),INDEX(IDX_SrcStat,$AF40),"—")</f>
        <v>Active</v>
      </c>
      <c r="T40" s="44" t="n">
        <f aca="false">IF(ISNUMBER($AF40),INDEX(IDX_SrcGrade,$AF40),"—")</f>
        <v>3</v>
      </c>
      <c r="U40" s="44" t="s">
        <v>5239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n">
        <f aca="false">IF(OR($H40="—",$H40=""),"—",MATCH($H40,IDX_SrcID,0))</f>
        <v>123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5295</v>
      </c>
      <c r="B41" s="253" t="s">
        <v>5234</v>
      </c>
      <c r="C41" s="30" t="s">
        <v>3107</v>
      </c>
      <c r="D41" s="30" t="s">
        <v>3148</v>
      </c>
      <c r="E41" s="6" t="s">
        <v>171</v>
      </c>
      <c r="F41" s="30" t="s">
        <v>128</v>
      </c>
      <c r="G41" s="253" t="s">
        <v>111</v>
      </c>
      <c r="H41" s="30" t="s">
        <v>809</v>
      </c>
      <c r="I41" s="6" t="s">
        <v>809</v>
      </c>
      <c r="J41" s="30" t="s">
        <v>3114</v>
      </c>
      <c r="K41" s="198" t="n">
        <f aca="false">Inputs!$D$28</f>
        <v>0.08</v>
      </c>
      <c r="L41" s="198" t="n">
        <f aca="false">Inputs!$F$28</f>
        <v>0.13</v>
      </c>
      <c r="M41" s="30" t="s">
        <v>809</v>
      </c>
      <c r="N41" s="254" t="str">
        <f aca="false">Inputs!$H$28</f>
        <v>與擁有者無關的單一假設；下游公司模型以自身 WACC 覆寫（Andy 2026-09-30 決定）</v>
      </c>
      <c r="O41" s="6" t="s">
        <v>809</v>
      </c>
      <c r="P41" s="253" t="s">
        <v>5281</v>
      </c>
      <c r="Q41" s="198" t="n">
        <f aca="false">Inputs!E28</f>
        <v>0.1</v>
      </c>
      <c r="R41" s="30" t="s">
        <v>809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5239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5296</v>
      </c>
      <c r="B42" s="253" t="s">
        <v>5234</v>
      </c>
      <c r="C42" s="30" t="s">
        <v>3107</v>
      </c>
      <c r="D42" s="30" t="s">
        <v>3147</v>
      </c>
      <c r="E42" s="6" t="s">
        <v>171</v>
      </c>
      <c r="F42" s="30" t="s">
        <v>128</v>
      </c>
      <c r="G42" s="253" t="s">
        <v>1433</v>
      </c>
      <c r="H42" s="30" t="s">
        <v>809</v>
      </c>
      <c r="I42" s="6" t="s">
        <v>809</v>
      </c>
      <c r="J42" s="30" t="s">
        <v>3114</v>
      </c>
      <c r="K42" s="253"/>
      <c r="L42" s="253"/>
      <c r="M42" s="30" t="s">
        <v>809</v>
      </c>
      <c r="N42" s="254" t="str">
        <f aca="false">Inputs!$H$28</f>
        <v>與擁有者無關的單一假設；下游公司模型以自身 WACC 覆寫（Andy 2026-09-30 決定）</v>
      </c>
      <c r="O42" s="6" t="s">
        <v>809</v>
      </c>
      <c r="P42" s="253" t="s">
        <v>5281</v>
      </c>
      <c r="Q42" s="198" t="n">
        <f aca="false">Inputs!D28</f>
        <v>0.08</v>
      </c>
      <c r="R42" s="30" t="s">
        <v>809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5239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5297</v>
      </c>
      <c r="B43" s="253" t="s">
        <v>5234</v>
      </c>
      <c r="C43" s="30" t="s">
        <v>3107</v>
      </c>
      <c r="D43" s="30" t="s">
        <v>3149</v>
      </c>
      <c r="E43" s="6" t="s">
        <v>171</v>
      </c>
      <c r="F43" s="30" t="s">
        <v>128</v>
      </c>
      <c r="G43" s="253" t="s">
        <v>1434</v>
      </c>
      <c r="H43" s="30" t="s">
        <v>809</v>
      </c>
      <c r="I43" s="6" t="s">
        <v>809</v>
      </c>
      <c r="J43" s="30" t="s">
        <v>3114</v>
      </c>
      <c r="K43" s="253"/>
      <c r="L43" s="253"/>
      <c r="M43" s="30" t="s">
        <v>809</v>
      </c>
      <c r="N43" s="254" t="str">
        <f aca="false">Inputs!$H$28</f>
        <v>與擁有者無關的單一假設；下游公司模型以自身 WACC 覆寫（Andy 2026-09-30 決定）</v>
      </c>
      <c r="O43" s="6" t="s">
        <v>809</v>
      </c>
      <c r="P43" s="253" t="s">
        <v>5281</v>
      </c>
      <c r="Q43" s="198" t="n">
        <f aca="false">Inputs!F28</f>
        <v>0.13</v>
      </c>
      <c r="R43" s="30" t="s">
        <v>809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5239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5298</v>
      </c>
      <c r="B44" s="253" t="s">
        <v>5234</v>
      </c>
      <c r="C44" s="30" t="s">
        <v>3107</v>
      </c>
      <c r="D44" s="30" t="s">
        <v>3326</v>
      </c>
      <c r="E44" s="6" t="s">
        <v>174</v>
      </c>
      <c r="F44" s="30" t="s">
        <v>5299</v>
      </c>
      <c r="G44" s="253" t="s">
        <v>111</v>
      </c>
      <c r="H44" s="30" t="s">
        <v>809</v>
      </c>
      <c r="I44" s="6" t="s">
        <v>809</v>
      </c>
      <c r="J44" s="30" t="s">
        <v>5300</v>
      </c>
      <c r="K44" s="198" t="n">
        <f aca="false">Inputs!$D$30</f>
        <v>0.0102443497224425</v>
      </c>
      <c r="L44" s="198" t="n">
        <f aca="false">Inputs!$F$30</f>
        <v>0.0182477678962645</v>
      </c>
      <c r="M44" s="30" t="s">
        <v>809</v>
      </c>
      <c r="N44" s="6" t="s">
        <v>5301</v>
      </c>
      <c r="O44" s="6" t="s">
        <v>5302</v>
      </c>
      <c r="P44" s="253" t="s">
        <v>1433</v>
      </c>
      <c r="Q44" s="198" t="n">
        <f aca="false">Inputs!E30</f>
        <v>0.0157250107250107</v>
      </c>
      <c r="R44" s="30" t="s">
        <v>809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5303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5304</v>
      </c>
      <c r="B45" s="253" t="s">
        <v>5234</v>
      </c>
      <c r="C45" s="30" t="s">
        <v>3107</v>
      </c>
      <c r="D45" s="30" t="s">
        <v>3325</v>
      </c>
      <c r="E45" s="6" t="s">
        <v>174</v>
      </c>
      <c r="F45" s="30" t="s">
        <v>5299</v>
      </c>
      <c r="G45" s="253" t="s">
        <v>1433</v>
      </c>
      <c r="H45" s="30" t="s">
        <v>809</v>
      </c>
      <c r="I45" s="6" t="s">
        <v>809</v>
      </c>
      <c r="J45" s="30" t="s">
        <v>5300</v>
      </c>
      <c r="K45" s="253"/>
      <c r="L45" s="253"/>
      <c r="M45" s="30" t="s">
        <v>809</v>
      </c>
      <c r="N45" s="6" t="s">
        <v>5305</v>
      </c>
      <c r="O45" s="6" t="s">
        <v>5302</v>
      </c>
      <c r="P45" s="253" t="s">
        <v>1433</v>
      </c>
      <c r="Q45" s="198" t="n">
        <f aca="false">Inputs!D30</f>
        <v>0.0102443497224425</v>
      </c>
      <c r="R45" s="30" t="s">
        <v>809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5303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5306</v>
      </c>
      <c r="B46" s="253" t="s">
        <v>5234</v>
      </c>
      <c r="C46" s="30" t="s">
        <v>3107</v>
      </c>
      <c r="D46" s="30" t="s">
        <v>5307</v>
      </c>
      <c r="E46" s="6" t="s">
        <v>174</v>
      </c>
      <c r="F46" s="30" t="s">
        <v>5299</v>
      </c>
      <c r="G46" s="253" t="s">
        <v>1434</v>
      </c>
      <c r="H46" s="30" t="s">
        <v>809</v>
      </c>
      <c r="I46" s="6" t="s">
        <v>809</v>
      </c>
      <c r="J46" s="30" t="s">
        <v>5300</v>
      </c>
      <c r="K46" s="253"/>
      <c r="L46" s="253"/>
      <c r="M46" s="30" t="s">
        <v>809</v>
      </c>
      <c r="N46" s="6" t="s">
        <v>5308</v>
      </c>
      <c r="O46" s="6" t="s">
        <v>5302</v>
      </c>
      <c r="P46" s="253" t="s">
        <v>1433</v>
      </c>
      <c r="Q46" s="198" t="n">
        <f aca="false">Inputs!F30</f>
        <v>0.0182477678962645</v>
      </c>
      <c r="R46" s="30" t="s">
        <v>809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5303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5309</v>
      </c>
      <c r="B47" s="253" t="s">
        <v>5234</v>
      </c>
      <c r="C47" s="30" t="s">
        <v>3107</v>
      </c>
      <c r="D47" s="30" t="s">
        <v>3151</v>
      </c>
      <c r="E47" s="20" t="s">
        <v>178</v>
      </c>
      <c r="F47" s="30" t="s">
        <v>128</v>
      </c>
      <c r="G47" s="253" t="s">
        <v>111</v>
      </c>
      <c r="H47" s="30" t="s">
        <v>809</v>
      </c>
      <c r="I47" s="6" t="s">
        <v>809</v>
      </c>
      <c r="J47" s="30" t="s">
        <v>5269</v>
      </c>
      <c r="K47" s="198" t="n">
        <f aca="false">Inputs!$D$31</f>
        <v>0.015</v>
      </c>
      <c r="L47" s="198" t="n">
        <f aca="false">Inputs!$F$31</f>
        <v>0.025</v>
      </c>
      <c r="M47" s="30" t="s">
        <v>809</v>
      </c>
      <c r="N47" s="6" t="s">
        <v>180</v>
      </c>
      <c r="O47" s="6" t="s">
        <v>5310</v>
      </c>
      <c r="P47" s="253" t="s">
        <v>1433</v>
      </c>
      <c r="Q47" s="198" t="n">
        <f aca="false">Inputs!E31</f>
        <v>0.02</v>
      </c>
      <c r="R47" s="30" t="s">
        <v>809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5239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5311</v>
      </c>
      <c r="B48" s="253" t="s">
        <v>5234</v>
      </c>
      <c r="C48" s="30" t="s">
        <v>3107</v>
      </c>
      <c r="D48" s="30" t="s">
        <v>3150</v>
      </c>
      <c r="E48" s="20" t="s">
        <v>178</v>
      </c>
      <c r="F48" s="30" t="s">
        <v>128</v>
      </c>
      <c r="G48" s="253" t="s">
        <v>1433</v>
      </c>
      <c r="H48" s="30" t="s">
        <v>809</v>
      </c>
      <c r="I48" s="6" t="s">
        <v>809</v>
      </c>
      <c r="J48" s="30" t="s">
        <v>5269</v>
      </c>
      <c r="K48" s="253"/>
      <c r="L48" s="253"/>
      <c r="M48" s="30" t="s">
        <v>809</v>
      </c>
      <c r="N48" s="6" t="s">
        <v>180</v>
      </c>
      <c r="O48" s="6" t="s">
        <v>5310</v>
      </c>
      <c r="P48" s="253" t="s">
        <v>1433</v>
      </c>
      <c r="Q48" s="198" t="n">
        <f aca="false">Inputs!D31</f>
        <v>0.015</v>
      </c>
      <c r="R48" s="30" t="s">
        <v>809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5239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5312</v>
      </c>
      <c r="B49" s="253" t="s">
        <v>5234</v>
      </c>
      <c r="C49" s="30" t="s">
        <v>3107</v>
      </c>
      <c r="D49" s="30" t="s">
        <v>3152</v>
      </c>
      <c r="E49" s="20" t="s">
        <v>178</v>
      </c>
      <c r="F49" s="30" t="s">
        <v>128</v>
      </c>
      <c r="G49" s="253" t="s">
        <v>1434</v>
      </c>
      <c r="H49" s="30" t="s">
        <v>809</v>
      </c>
      <c r="I49" s="6" t="s">
        <v>809</v>
      </c>
      <c r="J49" s="30" t="s">
        <v>5269</v>
      </c>
      <c r="K49" s="253"/>
      <c r="L49" s="253"/>
      <c r="M49" s="30" t="s">
        <v>809</v>
      </c>
      <c r="N49" s="6" t="s">
        <v>180</v>
      </c>
      <c r="O49" s="6" t="s">
        <v>5310</v>
      </c>
      <c r="P49" s="253" t="s">
        <v>1433</v>
      </c>
      <c r="Q49" s="198" t="n">
        <f aca="false">Inputs!F31</f>
        <v>0.025</v>
      </c>
      <c r="R49" s="30" t="s">
        <v>809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5239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5313</v>
      </c>
      <c r="B50" s="253" t="s">
        <v>5234</v>
      </c>
      <c r="C50" s="30" t="s">
        <v>3107</v>
      </c>
      <c r="D50" s="30" t="s">
        <v>3154</v>
      </c>
      <c r="E50" s="20" t="s">
        <v>181</v>
      </c>
      <c r="F50" s="30" t="s">
        <v>128</v>
      </c>
      <c r="G50" s="253" t="s">
        <v>111</v>
      </c>
      <c r="H50" s="30" t="s">
        <v>809</v>
      </c>
      <c r="I50" s="6" t="s">
        <v>809</v>
      </c>
      <c r="J50" s="30" t="s">
        <v>5269</v>
      </c>
      <c r="K50" s="49" t="n">
        <f aca="false">Inputs!$D$32</f>
        <v>50</v>
      </c>
      <c r="L50" s="49" t="n">
        <f aca="false">Inputs!$F$32</f>
        <v>100</v>
      </c>
      <c r="M50" s="30" t="s">
        <v>809</v>
      </c>
      <c r="N50" s="254" t="str">
        <f aca="false">Inputs!$H$32</f>
        <v>v4：500 FTE × $150K</v>
      </c>
      <c r="O50" s="6" t="s">
        <v>809</v>
      </c>
      <c r="P50" s="253" t="s">
        <v>1433</v>
      </c>
      <c r="Q50" s="49" t="n">
        <f aca="false">Inputs!E32</f>
        <v>75</v>
      </c>
      <c r="R50" s="30" t="s">
        <v>809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5239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5314</v>
      </c>
      <c r="B51" s="253" t="s">
        <v>5234</v>
      </c>
      <c r="C51" s="30" t="s">
        <v>3107</v>
      </c>
      <c r="D51" s="30" t="s">
        <v>3153</v>
      </c>
      <c r="E51" s="20" t="s">
        <v>181</v>
      </c>
      <c r="F51" s="30" t="s">
        <v>128</v>
      </c>
      <c r="G51" s="253" t="s">
        <v>1433</v>
      </c>
      <c r="H51" s="30" t="s">
        <v>809</v>
      </c>
      <c r="I51" s="6" t="s">
        <v>809</v>
      </c>
      <c r="J51" s="30" t="s">
        <v>5269</v>
      </c>
      <c r="K51" s="253"/>
      <c r="L51" s="253"/>
      <c r="M51" s="30" t="s">
        <v>809</v>
      </c>
      <c r="N51" s="254" t="str">
        <f aca="false">Inputs!$H$32</f>
        <v>v4：500 FTE × $150K</v>
      </c>
      <c r="O51" s="6" t="s">
        <v>809</v>
      </c>
      <c r="P51" s="253" t="s">
        <v>1433</v>
      </c>
      <c r="Q51" s="49" t="n">
        <f aca="false">Inputs!D32</f>
        <v>50</v>
      </c>
      <c r="R51" s="30" t="s">
        <v>809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5239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5315</v>
      </c>
      <c r="B52" s="253" t="s">
        <v>5234</v>
      </c>
      <c r="C52" s="30" t="s">
        <v>3107</v>
      </c>
      <c r="D52" s="30" t="s">
        <v>3155</v>
      </c>
      <c r="E52" s="20" t="s">
        <v>181</v>
      </c>
      <c r="F52" s="30" t="s">
        <v>128</v>
      </c>
      <c r="G52" s="253" t="s">
        <v>1434</v>
      </c>
      <c r="H52" s="30" t="s">
        <v>809</v>
      </c>
      <c r="I52" s="6" t="s">
        <v>809</v>
      </c>
      <c r="J52" s="30" t="s">
        <v>5269</v>
      </c>
      <c r="K52" s="253"/>
      <c r="L52" s="253"/>
      <c r="M52" s="30" t="s">
        <v>809</v>
      </c>
      <c r="N52" s="254" t="str">
        <f aca="false">Inputs!$H$32</f>
        <v>v4：500 FTE × $150K</v>
      </c>
      <c r="O52" s="6" t="s">
        <v>809</v>
      </c>
      <c r="P52" s="253" t="s">
        <v>1433</v>
      </c>
      <c r="Q52" s="49" t="n">
        <f aca="false">Inputs!F32</f>
        <v>100</v>
      </c>
      <c r="R52" s="30" t="s">
        <v>809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5239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5316</v>
      </c>
      <c r="B53" s="253" t="s">
        <v>5234</v>
      </c>
      <c r="C53" s="30" t="s">
        <v>3107</v>
      </c>
      <c r="D53" s="30" t="s">
        <v>3157</v>
      </c>
      <c r="E53" s="20" t="s">
        <v>184</v>
      </c>
      <c r="F53" s="30" t="s">
        <v>128</v>
      </c>
      <c r="G53" s="253" t="s">
        <v>111</v>
      </c>
      <c r="H53" s="30" t="s">
        <v>809</v>
      </c>
      <c r="I53" s="6" t="s">
        <v>809</v>
      </c>
      <c r="J53" s="30" t="s">
        <v>5269</v>
      </c>
      <c r="K53" s="49" t="n">
        <f aca="false">Inputs!$D$33</f>
        <v>150</v>
      </c>
      <c r="L53" s="49" t="n">
        <f aca="false">Inputs!$F$33</f>
        <v>250</v>
      </c>
      <c r="M53" s="30" t="s">
        <v>809</v>
      </c>
      <c r="N53" s="254" t="str">
        <f aca="false">Inputs!$H$33</f>
        <v>v4＝$200M</v>
      </c>
      <c r="O53" s="6" t="s">
        <v>809</v>
      </c>
      <c r="P53" s="253" t="s">
        <v>1433</v>
      </c>
      <c r="Q53" s="49" t="n">
        <f aca="false">Inputs!E33</f>
        <v>200</v>
      </c>
      <c r="R53" s="30" t="s">
        <v>809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5239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5317</v>
      </c>
      <c r="B54" s="253" t="s">
        <v>5234</v>
      </c>
      <c r="C54" s="30" t="s">
        <v>3107</v>
      </c>
      <c r="D54" s="30" t="s">
        <v>3156</v>
      </c>
      <c r="E54" s="20" t="s">
        <v>184</v>
      </c>
      <c r="F54" s="30" t="s">
        <v>128</v>
      </c>
      <c r="G54" s="253" t="s">
        <v>1433</v>
      </c>
      <c r="H54" s="30" t="s">
        <v>809</v>
      </c>
      <c r="I54" s="6" t="s">
        <v>809</v>
      </c>
      <c r="J54" s="30" t="s">
        <v>5269</v>
      </c>
      <c r="K54" s="253"/>
      <c r="L54" s="253"/>
      <c r="M54" s="30" t="s">
        <v>809</v>
      </c>
      <c r="N54" s="254" t="str">
        <f aca="false">Inputs!$H$33</f>
        <v>v4＝$200M</v>
      </c>
      <c r="O54" s="6" t="s">
        <v>809</v>
      </c>
      <c r="P54" s="253" t="s">
        <v>1433</v>
      </c>
      <c r="Q54" s="49" t="n">
        <f aca="false">Inputs!D33</f>
        <v>150</v>
      </c>
      <c r="R54" s="30" t="s">
        <v>809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5239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5318</v>
      </c>
      <c r="B55" s="253" t="s">
        <v>5234</v>
      </c>
      <c r="C55" s="30" t="s">
        <v>3107</v>
      </c>
      <c r="D55" s="30" t="s">
        <v>3158</v>
      </c>
      <c r="E55" s="20" t="s">
        <v>184</v>
      </c>
      <c r="F55" s="30" t="s">
        <v>128</v>
      </c>
      <c r="G55" s="253" t="s">
        <v>1434</v>
      </c>
      <c r="H55" s="30" t="s">
        <v>809</v>
      </c>
      <c r="I55" s="6" t="s">
        <v>809</v>
      </c>
      <c r="J55" s="30" t="s">
        <v>5269</v>
      </c>
      <c r="K55" s="253"/>
      <c r="L55" s="253"/>
      <c r="M55" s="30" t="s">
        <v>809</v>
      </c>
      <c r="N55" s="254" t="str">
        <f aca="false">Inputs!$H$33</f>
        <v>v4＝$200M</v>
      </c>
      <c r="O55" s="6" t="s">
        <v>809</v>
      </c>
      <c r="P55" s="253" t="s">
        <v>1433</v>
      </c>
      <c r="Q55" s="49" t="n">
        <f aca="false">Inputs!F33</f>
        <v>250</v>
      </c>
      <c r="R55" s="30" t="s">
        <v>809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5239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5319</v>
      </c>
      <c r="B56" s="253" t="s">
        <v>5234</v>
      </c>
      <c r="C56" s="30" t="s">
        <v>3107</v>
      </c>
      <c r="D56" s="30" t="s">
        <v>3160</v>
      </c>
      <c r="E56" s="20" t="s">
        <v>186</v>
      </c>
      <c r="F56" s="30" t="s">
        <v>128</v>
      </c>
      <c r="G56" s="253" t="s">
        <v>111</v>
      </c>
      <c r="H56" s="30" t="s">
        <v>809</v>
      </c>
      <c r="I56" s="6" t="s">
        <v>809</v>
      </c>
      <c r="J56" s="30" t="s">
        <v>5269</v>
      </c>
      <c r="K56" s="194" t="n">
        <f aca="false">Inputs!$D$34</f>
        <v>0.04</v>
      </c>
      <c r="L56" s="194" t="n">
        <f aca="false">Inputs!$F$34</f>
        <v>0.06</v>
      </c>
      <c r="M56" s="30" t="s">
        <v>809</v>
      </c>
      <c r="N56" s="254" t="str">
        <f aca="false">Inputs!$H$34</f>
        <v>v4＝$50K/MW</v>
      </c>
      <c r="O56" s="6" t="s">
        <v>809</v>
      </c>
      <c r="P56" s="253" t="s">
        <v>1433</v>
      </c>
      <c r="Q56" s="194" t="n">
        <f aca="false">Inputs!E34</f>
        <v>0.05</v>
      </c>
      <c r="R56" s="30" t="s">
        <v>809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5239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5320</v>
      </c>
      <c r="B57" s="253" t="s">
        <v>5234</v>
      </c>
      <c r="C57" s="30" t="s">
        <v>3107</v>
      </c>
      <c r="D57" s="30" t="s">
        <v>3159</v>
      </c>
      <c r="E57" s="20" t="s">
        <v>186</v>
      </c>
      <c r="F57" s="30" t="s">
        <v>128</v>
      </c>
      <c r="G57" s="253" t="s">
        <v>1433</v>
      </c>
      <c r="H57" s="30" t="s">
        <v>809</v>
      </c>
      <c r="I57" s="6" t="s">
        <v>809</v>
      </c>
      <c r="J57" s="30" t="s">
        <v>5269</v>
      </c>
      <c r="K57" s="253"/>
      <c r="L57" s="253"/>
      <c r="M57" s="30" t="s">
        <v>809</v>
      </c>
      <c r="N57" s="254" t="str">
        <f aca="false">Inputs!$H$34</f>
        <v>v4＝$50K/MW</v>
      </c>
      <c r="O57" s="6" t="s">
        <v>809</v>
      </c>
      <c r="P57" s="253" t="s">
        <v>1433</v>
      </c>
      <c r="Q57" s="194" t="n">
        <f aca="false">Inputs!D34</f>
        <v>0.04</v>
      </c>
      <c r="R57" s="30" t="s">
        <v>809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5239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5321</v>
      </c>
      <c r="B58" s="253" t="s">
        <v>5234</v>
      </c>
      <c r="C58" s="30" t="s">
        <v>3107</v>
      </c>
      <c r="D58" s="30" t="s">
        <v>3161</v>
      </c>
      <c r="E58" s="20" t="s">
        <v>186</v>
      </c>
      <c r="F58" s="30" t="s">
        <v>128</v>
      </c>
      <c r="G58" s="253" t="s">
        <v>1434</v>
      </c>
      <c r="H58" s="30" t="s">
        <v>809</v>
      </c>
      <c r="I58" s="6" t="s">
        <v>809</v>
      </c>
      <c r="J58" s="30" t="s">
        <v>5269</v>
      </c>
      <c r="K58" s="253"/>
      <c r="L58" s="253"/>
      <c r="M58" s="30" t="s">
        <v>809</v>
      </c>
      <c r="N58" s="254" t="str">
        <f aca="false">Inputs!$H$34</f>
        <v>v4＝$50K/MW</v>
      </c>
      <c r="O58" s="6" t="s">
        <v>809</v>
      </c>
      <c r="P58" s="253" t="s">
        <v>1433</v>
      </c>
      <c r="Q58" s="194" t="n">
        <f aca="false">Inputs!F34</f>
        <v>0.06</v>
      </c>
      <c r="R58" s="30" t="s">
        <v>809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5239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5322</v>
      </c>
      <c r="B59" s="253" t="s">
        <v>5234</v>
      </c>
      <c r="C59" s="30" t="s">
        <v>3107</v>
      </c>
      <c r="D59" s="30" t="s">
        <v>3163</v>
      </c>
      <c r="E59" s="20" t="s">
        <v>189</v>
      </c>
      <c r="F59" s="30" t="s">
        <v>128</v>
      </c>
      <c r="G59" s="253" t="s">
        <v>111</v>
      </c>
      <c r="H59" s="30" t="s">
        <v>809</v>
      </c>
      <c r="I59" s="6" t="s">
        <v>809</v>
      </c>
      <c r="J59" s="30" t="s">
        <v>5269</v>
      </c>
      <c r="K59" s="198" t="n">
        <f aca="false">Inputs!$D$35</f>
        <v>0.003</v>
      </c>
      <c r="L59" s="198" t="n">
        <f aca="false">Inputs!$F$35</f>
        <v>0.008</v>
      </c>
      <c r="M59" s="30" t="s">
        <v>809</v>
      </c>
      <c r="N59" s="254" t="str">
        <f aca="false">Inputs!$H$35</f>
        <v>v4＝0.5%</v>
      </c>
      <c r="O59" s="6" t="s">
        <v>5310</v>
      </c>
      <c r="P59" s="253" t="s">
        <v>1433</v>
      </c>
      <c r="Q59" s="198" t="n">
        <f aca="false">Inputs!E35</f>
        <v>0.005</v>
      </c>
      <c r="R59" s="30" t="s">
        <v>809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5239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5323</v>
      </c>
      <c r="B60" s="253" t="s">
        <v>5234</v>
      </c>
      <c r="C60" s="30" t="s">
        <v>3107</v>
      </c>
      <c r="D60" s="30" t="s">
        <v>3162</v>
      </c>
      <c r="E60" s="20" t="s">
        <v>189</v>
      </c>
      <c r="F60" s="30" t="s">
        <v>128</v>
      </c>
      <c r="G60" s="253" t="s">
        <v>1433</v>
      </c>
      <c r="H60" s="30" t="s">
        <v>809</v>
      </c>
      <c r="I60" s="6" t="s">
        <v>809</v>
      </c>
      <c r="J60" s="30" t="s">
        <v>5269</v>
      </c>
      <c r="K60" s="253"/>
      <c r="L60" s="253"/>
      <c r="M60" s="30" t="s">
        <v>809</v>
      </c>
      <c r="N60" s="254" t="str">
        <f aca="false">Inputs!$H$35</f>
        <v>v4＝0.5%</v>
      </c>
      <c r="O60" s="6" t="s">
        <v>5310</v>
      </c>
      <c r="P60" s="253" t="s">
        <v>1433</v>
      </c>
      <c r="Q60" s="198" t="n">
        <f aca="false">Inputs!D35</f>
        <v>0.003</v>
      </c>
      <c r="R60" s="30" t="s">
        <v>809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5239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5324</v>
      </c>
      <c r="B61" s="253" t="s">
        <v>5234</v>
      </c>
      <c r="C61" s="30" t="s">
        <v>3107</v>
      </c>
      <c r="D61" s="30" t="s">
        <v>3164</v>
      </c>
      <c r="E61" s="20" t="s">
        <v>189</v>
      </c>
      <c r="F61" s="30" t="s">
        <v>128</v>
      </c>
      <c r="G61" s="253" t="s">
        <v>1434</v>
      </c>
      <c r="H61" s="30" t="s">
        <v>809</v>
      </c>
      <c r="I61" s="6" t="s">
        <v>809</v>
      </c>
      <c r="J61" s="30" t="s">
        <v>5269</v>
      </c>
      <c r="K61" s="253"/>
      <c r="L61" s="253"/>
      <c r="M61" s="30" t="s">
        <v>809</v>
      </c>
      <c r="N61" s="254" t="str">
        <f aca="false">Inputs!$H$35</f>
        <v>v4＝0.5%</v>
      </c>
      <c r="O61" s="6" t="s">
        <v>5310</v>
      </c>
      <c r="P61" s="253" t="s">
        <v>1433</v>
      </c>
      <c r="Q61" s="198" t="n">
        <f aca="false">Inputs!F35</f>
        <v>0.008</v>
      </c>
      <c r="R61" s="30" t="s">
        <v>809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5239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5325</v>
      </c>
      <c r="B62" s="253" t="s">
        <v>5234</v>
      </c>
      <c r="C62" s="30" t="s">
        <v>3107</v>
      </c>
      <c r="D62" s="30" t="s">
        <v>3222</v>
      </c>
      <c r="E62" s="6" t="s">
        <v>162</v>
      </c>
      <c r="F62" s="253" t="s">
        <v>373</v>
      </c>
      <c r="G62" s="253" t="s">
        <v>5235</v>
      </c>
      <c r="H62" s="30" t="s">
        <v>5326</v>
      </c>
      <c r="I62" s="20" t="s">
        <v>5265</v>
      </c>
      <c r="J62" s="30" t="s">
        <v>5327</v>
      </c>
      <c r="K62" s="253"/>
      <c r="L62" s="253"/>
      <c r="M62" s="30" t="s">
        <v>809</v>
      </c>
      <c r="N62" s="20" t="s">
        <v>5328</v>
      </c>
      <c r="O62" s="6" t="s">
        <v>809</v>
      </c>
      <c r="P62" s="253" t="s">
        <v>1434</v>
      </c>
      <c r="Q62" s="49" t="n">
        <f aca="false">Inputs!D23</f>
        <v>6</v>
      </c>
      <c r="R62" s="186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5267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127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5329</v>
      </c>
      <c r="B63" s="253" t="s">
        <v>5234</v>
      </c>
      <c r="C63" s="30" t="s">
        <v>3107</v>
      </c>
      <c r="D63" s="30" t="s">
        <v>3223</v>
      </c>
      <c r="E63" s="6" t="s">
        <v>162</v>
      </c>
      <c r="F63" s="253" t="s">
        <v>373</v>
      </c>
      <c r="G63" s="253" t="s">
        <v>5235</v>
      </c>
      <c r="H63" s="30" t="s">
        <v>5326</v>
      </c>
      <c r="I63" s="20" t="s">
        <v>5265</v>
      </c>
      <c r="J63" s="30" t="s">
        <v>5327</v>
      </c>
      <c r="K63" s="253"/>
      <c r="L63" s="253"/>
      <c r="M63" s="30" t="s">
        <v>809</v>
      </c>
      <c r="N63" s="20" t="s">
        <v>5328</v>
      </c>
      <c r="O63" s="6" t="s">
        <v>809</v>
      </c>
      <c r="P63" s="253" t="s">
        <v>1434</v>
      </c>
      <c r="Q63" s="49" t="n">
        <f aca="false">Inputs!E23</f>
        <v>6</v>
      </c>
      <c r="R63" s="186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5267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127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5330</v>
      </c>
      <c r="B64" s="253" t="s">
        <v>5234</v>
      </c>
      <c r="C64" s="30" t="s">
        <v>3107</v>
      </c>
      <c r="D64" s="30" t="s">
        <v>5331</v>
      </c>
      <c r="E64" s="6" t="s">
        <v>162</v>
      </c>
      <c r="F64" s="253" t="s">
        <v>373</v>
      </c>
      <c r="G64" s="253" t="s">
        <v>5235</v>
      </c>
      <c r="H64" s="30" t="s">
        <v>5332</v>
      </c>
      <c r="I64" s="20" t="s">
        <v>5265</v>
      </c>
      <c r="J64" s="30" t="s">
        <v>5327</v>
      </c>
      <c r="K64" s="253"/>
      <c r="L64" s="253"/>
      <c r="M64" s="30" t="s">
        <v>809</v>
      </c>
      <c r="N64" s="20" t="s">
        <v>5328</v>
      </c>
      <c r="O64" s="6" t="s">
        <v>809</v>
      </c>
      <c r="P64" s="253" t="s">
        <v>1434</v>
      </c>
      <c r="Q64" s="49" t="n">
        <f aca="false">Inputs!F23</f>
        <v>4</v>
      </c>
      <c r="R64" s="186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5267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128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5333</v>
      </c>
      <c r="B65" s="253" t="s">
        <v>5234</v>
      </c>
      <c r="C65" s="30" t="s">
        <v>3107</v>
      </c>
      <c r="D65" s="30" t="s">
        <v>3143</v>
      </c>
      <c r="E65" s="20" t="s">
        <v>166</v>
      </c>
      <c r="F65" s="30" t="s">
        <v>128</v>
      </c>
      <c r="G65" s="253" t="s">
        <v>111</v>
      </c>
      <c r="H65" s="30" t="s">
        <v>809</v>
      </c>
      <c r="I65" s="6" t="s">
        <v>809</v>
      </c>
      <c r="J65" s="30" t="s">
        <v>5327</v>
      </c>
      <c r="K65" s="255" t="n">
        <v>25</v>
      </c>
      <c r="L65" s="255" t="n">
        <v>40</v>
      </c>
      <c r="M65" s="30" t="s">
        <v>5334</v>
      </c>
      <c r="N65" s="20" t="s">
        <v>5335</v>
      </c>
      <c r="O65" s="6" t="s">
        <v>5336</v>
      </c>
      <c r="P65" s="253" t="s">
        <v>1433</v>
      </c>
      <c r="Q65" s="49" t="n">
        <f aca="false">Inputs!E24</f>
        <v>30</v>
      </c>
      <c r="R65" s="30" t="s">
        <v>809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5239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5337</v>
      </c>
      <c r="B66" s="253" t="s">
        <v>5234</v>
      </c>
      <c r="C66" s="30" t="s">
        <v>3107</v>
      </c>
      <c r="D66" s="30" t="s">
        <v>3144</v>
      </c>
      <c r="E66" s="20" t="s">
        <v>168</v>
      </c>
      <c r="F66" s="30" t="s">
        <v>128</v>
      </c>
      <c r="G66" s="253" t="s">
        <v>111</v>
      </c>
      <c r="H66" s="30" t="s">
        <v>809</v>
      </c>
      <c r="I66" s="6" t="s">
        <v>809</v>
      </c>
      <c r="J66" s="30" t="s">
        <v>5327</v>
      </c>
      <c r="K66" s="255" t="n">
        <v>15</v>
      </c>
      <c r="L66" s="255" t="n">
        <v>25</v>
      </c>
      <c r="M66" s="30" t="s">
        <v>5338</v>
      </c>
      <c r="N66" s="20" t="s">
        <v>5339</v>
      </c>
      <c r="O66" s="6" t="s">
        <v>5336</v>
      </c>
      <c r="P66" s="253" t="s">
        <v>1433</v>
      </c>
      <c r="Q66" s="49" t="n">
        <f aca="false">Inputs!E25</f>
        <v>20</v>
      </c>
      <c r="R66" s="30" t="s">
        <v>809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5239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5340</v>
      </c>
      <c r="B67" s="253" t="s">
        <v>5234</v>
      </c>
      <c r="C67" s="30" t="s">
        <v>3107</v>
      </c>
      <c r="D67" s="30" t="s">
        <v>3145</v>
      </c>
      <c r="E67" s="20" t="s">
        <v>169</v>
      </c>
      <c r="F67" s="30" t="s">
        <v>128</v>
      </c>
      <c r="G67" s="253" t="s">
        <v>111</v>
      </c>
      <c r="H67" s="30" t="s">
        <v>809</v>
      </c>
      <c r="I67" s="6" t="s">
        <v>809</v>
      </c>
      <c r="J67" s="30" t="s">
        <v>5327</v>
      </c>
      <c r="K67" s="255" t="n">
        <v>10</v>
      </c>
      <c r="L67" s="255" t="n">
        <v>20</v>
      </c>
      <c r="M67" s="30" t="s">
        <v>5341</v>
      </c>
      <c r="N67" s="20" t="s">
        <v>5342</v>
      </c>
      <c r="O67" s="6" t="s">
        <v>5336</v>
      </c>
      <c r="P67" s="253" t="s">
        <v>1433</v>
      </c>
      <c r="Q67" s="49" t="n">
        <f aca="false">Inputs!E26</f>
        <v>15</v>
      </c>
      <c r="R67" s="30" t="s">
        <v>809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5239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5343</v>
      </c>
      <c r="B68" s="253" t="s">
        <v>5234</v>
      </c>
      <c r="C68" s="30" t="s">
        <v>3107</v>
      </c>
      <c r="D68" s="30" t="s">
        <v>3146</v>
      </c>
      <c r="E68" s="20" t="s">
        <v>170</v>
      </c>
      <c r="F68" s="30" t="s">
        <v>128</v>
      </c>
      <c r="G68" s="253" t="s">
        <v>111</v>
      </c>
      <c r="H68" s="30" t="s">
        <v>809</v>
      </c>
      <c r="I68" s="6" t="s">
        <v>809</v>
      </c>
      <c r="J68" s="30" t="s">
        <v>5327</v>
      </c>
      <c r="K68" s="255" t="n">
        <v>7</v>
      </c>
      <c r="L68" s="255" t="n">
        <v>15</v>
      </c>
      <c r="M68" s="30" t="s">
        <v>5344</v>
      </c>
      <c r="N68" s="20" t="s">
        <v>5345</v>
      </c>
      <c r="O68" s="6" t="s">
        <v>5336</v>
      </c>
      <c r="P68" s="253" t="s">
        <v>1433</v>
      </c>
      <c r="Q68" s="49" t="n">
        <f aca="false">Inputs!E27</f>
        <v>10</v>
      </c>
      <c r="R68" s="30" t="s">
        <v>809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5239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5346</v>
      </c>
      <c r="B69" s="253" t="s">
        <v>5234</v>
      </c>
      <c r="C69" s="30" t="s">
        <v>3171</v>
      </c>
      <c r="D69" s="30" t="s">
        <v>3172</v>
      </c>
      <c r="E69" s="6" t="s">
        <v>213</v>
      </c>
      <c r="F69" s="30" t="s">
        <v>118</v>
      </c>
      <c r="G69" s="253" t="s">
        <v>5235</v>
      </c>
      <c r="H69" s="30" t="s">
        <v>809</v>
      </c>
      <c r="I69" s="6" t="s">
        <v>809</v>
      </c>
      <c r="J69" s="30" t="s">
        <v>5347</v>
      </c>
      <c r="K69" s="253"/>
      <c r="L69" s="253"/>
      <c r="M69" s="30" t="s">
        <v>809</v>
      </c>
      <c r="N69" s="6" t="s">
        <v>5348</v>
      </c>
      <c r="O69" s="6" t="s">
        <v>809</v>
      </c>
      <c r="P69" s="253" t="s">
        <v>1434</v>
      </c>
      <c r="Q69" s="49" t="n">
        <f aca="false">Spec_Rack!C6</f>
        <v>32</v>
      </c>
      <c r="R69" s="30" t="s">
        <v>809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5239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5349</v>
      </c>
      <c r="B70" s="253" t="s">
        <v>5234</v>
      </c>
      <c r="C70" s="30" t="s">
        <v>3171</v>
      </c>
      <c r="D70" s="30" t="s">
        <v>3300</v>
      </c>
      <c r="E70" s="6" t="s">
        <v>213</v>
      </c>
      <c r="F70" s="253" t="s">
        <v>373</v>
      </c>
      <c r="G70" s="253" t="s">
        <v>5235</v>
      </c>
      <c r="H70" s="30" t="s">
        <v>5350</v>
      </c>
      <c r="I70" s="20" t="s">
        <v>5265</v>
      </c>
      <c r="J70" s="30" t="s">
        <v>809</v>
      </c>
      <c r="K70" s="253"/>
      <c r="L70" s="253"/>
      <c r="M70" s="30" t="s">
        <v>809</v>
      </c>
      <c r="N70" s="20" t="s">
        <v>5328</v>
      </c>
      <c r="O70" s="6" t="s">
        <v>809</v>
      </c>
      <c r="P70" s="253" t="s">
        <v>1434</v>
      </c>
      <c r="Q70" s="49" t="n">
        <f aca="false">Spec_Rack!D6</f>
        <v>72</v>
      </c>
      <c r="R70" s="186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5267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5351</v>
      </c>
      <c r="B71" s="253" t="s">
        <v>5234</v>
      </c>
      <c r="C71" s="30" t="s">
        <v>3171</v>
      </c>
      <c r="D71" s="30" t="s">
        <v>3109</v>
      </c>
      <c r="E71" s="6" t="s">
        <v>213</v>
      </c>
      <c r="F71" s="253" t="s">
        <v>373</v>
      </c>
      <c r="G71" s="253" t="s">
        <v>5235</v>
      </c>
      <c r="H71" s="30" t="s">
        <v>5350</v>
      </c>
      <c r="I71" s="20" t="s">
        <v>5265</v>
      </c>
      <c r="J71" s="30" t="s">
        <v>809</v>
      </c>
      <c r="K71" s="253"/>
      <c r="L71" s="253"/>
      <c r="M71" s="30" t="s">
        <v>809</v>
      </c>
      <c r="N71" s="20" t="s">
        <v>5328</v>
      </c>
      <c r="O71" s="6" t="s">
        <v>809</v>
      </c>
      <c r="P71" s="253" t="s">
        <v>1434</v>
      </c>
      <c r="Q71" s="49" t="n">
        <f aca="false">Spec_Rack!E6</f>
        <v>72</v>
      </c>
      <c r="R71" s="186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5267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5352</v>
      </c>
      <c r="B72" s="253" t="s">
        <v>5234</v>
      </c>
      <c r="C72" s="30" t="s">
        <v>3171</v>
      </c>
      <c r="D72" s="30" t="s">
        <v>3253</v>
      </c>
      <c r="E72" s="6" t="s">
        <v>213</v>
      </c>
      <c r="F72" s="253" t="s">
        <v>373</v>
      </c>
      <c r="G72" s="253" t="s">
        <v>5235</v>
      </c>
      <c r="H72" s="30" t="s">
        <v>5350</v>
      </c>
      <c r="I72" s="20" t="s">
        <v>5265</v>
      </c>
      <c r="J72" s="30" t="s">
        <v>809</v>
      </c>
      <c r="K72" s="253"/>
      <c r="L72" s="253"/>
      <c r="M72" s="30" t="s">
        <v>809</v>
      </c>
      <c r="N72" s="20" t="s">
        <v>5328</v>
      </c>
      <c r="O72" s="6" t="s">
        <v>809</v>
      </c>
      <c r="P72" s="253" t="s">
        <v>1434</v>
      </c>
      <c r="Q72" s="49" t="n">
        <f aca="false">Spec_Rack!F6</f>
        <v>72</v>
      </c>
      <c r="R72" s="186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5267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5353</v>
      </c>
      <c r="B73" s="253" t="s">
        <v>5234</v>
      </c>
      <c r="C73" s="30" t="s">
        <v>3171</v>
      </c>
      <c r="D73" s="30" t="s">
        <v>3254</v>
      </c>
      <c r="E73" s="6" t="s">
        <v>213</v>
      </c>
      <c r="F73" s="253" t="s">
        <v>373</v>
      </c>
      <c r="G73" s="253" t="s">
        <v>5235</v>
      </c>
      <c r="H73" s="30" t="s">
        <v>5354</v>
      </c>
      <c r="I73" s="20" t="s">
        <v>5265</v>
      </c>
      <c r="J73" s="30" t="s">
        <v>809</v>
      </c>
      <c r="K73" s="253"/>
      <c r="L73" s="253"/>
      <c r="M73" s="30" t="s">
        <v>809</v>
      </c>
      <c r="N73" s="20" t="s">
        <v>5328</v>
      </c>
      <c r="O73" s="6" t="s">
        <v>809</v>
      </c>
      <c r="P73" s="253" t="s">
        <v>1434</v>
      </c>
      <c r="Q73" s="49" t="n">
        <f aca="false">Spec_Rack!G6</f>
        <v>72</v>
      </c>
      <c r="R73" s="186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5267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5355</v>
      </c>
      <c r="B74" s="253" t="s">
        <v>5234</v>
      </c>
      <c r="C74" s="30" t="s">
        <v>3171</v>
      </c>
      <c r="D74" s="30" t="s">
        <v>3173</v>
      </c>
      <c r="E74" s="20" t="s">
        <v>218</v>
      </c>
      <c r="F74" s="30" t="s">
        <v>128</v>
      </c>
      <c r="G74" s="253" t="s">
        <v>1433</v>
      </c>
      <c r="H74" s="30" t="s">
        <v>809</v>
      </c>
      <c r="I74" s="6" t="s">
        <v>809</v>
      </c>
      <c r="J74" s="30" t="s">
        <v>5241</v>
      </c>
      <c r="K74" s="253"/>
      <c r="L74" s="253"/>
      <c r="M74" s="30" t="s">
        <v>809</v>
      </c>
      <c r="N74" s="6" t="s">
        <v>5356</v>
      </c>
      <c r="O74" s="6" t="s">
        <v>809</v>
      </c>
      <c r="P74" s="253" t="s">
        <v>5238</v>
      </c>
      <c r="Q74" s="49" t="n">
        <f aca="false">Spec_Rack!C8</f>
        <v>38</v>
      </c>
      <c r="R74" s="30" t="s">
        <v>809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5239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5357</v>
      </c>
      <c r="B75" s="253" t="s">
        <v>5234</v>
      </c>
      <c r="C75" s="30" t="s">
        <v>3171</v>
      </c>
      <c r="D75" s="30" t="s">
        <v>3344</v>
      </c>
      <c r="E75" s="20" t="s">
        <v>218</v>
      </c>
      <c r="F75" s="253" t="s">
        <v>373</v>
      </c>
      <c r="G75" s="253" t="s">
        <v>5235</v>
      </c>
      <c r="H75" s="30" t="s">
        <v>5358</v>
      </c>
      <c r="I75" s="20" t="s">
        <v>5265</v>
      </c>
      <c r="J75" s="30" t="s">
        <v>809</v>
      </c>
      <c r="K75" s="253"/>
      <c r="L75" s="253"/>
      <c r="M75" s="30" t="s">
        <v>809</v>
      </c>
      <c r="N75" s="20" t="s">
        <v>5328</v>
      </c>
      <c r="O75" s="6" t="s">
        <v>809</v>
      </c>
      <c r="P75" s="253" t="s">
        <v>5238</v>
      </c>
      <c r="Q75" s="49" t="n">
        <f aca="false">Spec_Rack!D8</f>
        <v>120</v>
      </c>
      <c r="R75" s="186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5267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5359</v>
      </c>
      <c r="B76" s="253" t="s">
        <v>5234</v>
      </c>
      <c r="C76" s="30" t="s">
        <v>3171</v>
      </c>
      <c r="D76" s="30" t="s">
        <v>3110</v>
      </c>
      <c r="E76" s="20" t="s">
        <v>218</v>
      </c>
      <c r="F76" s="253" t="s">
        <v>373</v>
      </c>
      <c r="G76" s="253" t="s">
        <v>5235</v>
      </c>
      <c r="H76" s="30" t="s">
        <v>5360</v>
      </c>
      <c r="I76" s="20" t="s">
        <v>5265</v>
      </c>
      <c r="J76" s="30" t="s">
        <v>809</v>
      </c>
      <c r="K76" s="253"/>
      <c r="L76" s="253"/>
      <c r="M76" s="30" t="s">
        <v>809</v>
      </c>
      <c r="N76" s="20" t="s">
        <v>5328</v>
      </c>
      <c r="O76" s="6" t="s">
        <v>809</v>
      </c>
      <c r="P76" s="253" t="s">
        <v>5238</v>
      </c>
      <c r="Q76" s="49" t="n">
        <f aca="false">Spec_Rack!E8</f>
        <v>132</v>
      </c>
      <c r="R76" s="186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5267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5361</v>
      </c>
      <c r="B77" s="253" t="s">
        <v>5234</v>
      </c>
      <c r="C77" s="30" t="s">
        <v>3171</v>
      </c>
      <c r="D77" s="30" t="s">
        <v>3263</v>
      </c>
      <c r="E77" s="20" t="s">
        <v>218</v>
      </c>
      <c r="F77" s="253" t="s">
        <v>373</v>
      </c>
      <c r="G77" s="253" t="s">
        <v>5235</v>
      </c>
      <c r="H77" s="30" t="s">
        <v>5362</v>
      </c>
      <c r="I77" s="20" t="s">
        <v>5265</v>
      </c>
      <c r="J77" s="30" t="s">
        <v>809</v>
      </c>
      <c r="K77" s="253"/>
      <c r="L77" s="253"/>
      <c r="M77" s="30" t="s">
        <v>809</v>
      </c>
      <c r="N77" s="20" t="s">
        <v>5328</v>
      </c>
      <c r="O77" s="6" t="s">
        <v>809</v>
      </c>
      <c r="P77" s="253" t="s">
        <v>5238</v>
      </c>
      <c r="Q77" s="49" t="n">
        <f aca="false">Spec_Rack!F8</f>
        <v>188</v>
      </c>
      <c r="R77" s="186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5267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5363</v>
      </c>
      <c r="B78" s="253" t="s">
        <v>5234</v>
      </c>
      <c r="C78" s="30" t="s">
        <v>3171</v>
      </c>
      <c r="D78" s="30" t="s">
        <v>3174</v>
      </c>
      <c r="E78" s="20" t="s">
        <v>218</v>
      </c>
      <c r="F78" s="30" t="s">
        <v>176</v>
      </c>
      <c r="G78" s="253" t="s">
        <v>1433</v>
      </c>
      <c r="H78" s="30" t="s">
        <v>809</v>
      </c>
      <c r="I78" s="6" t="s">
        <v>809</v>
      </c>
      <c r="J78" s="30" t="s">
        <v>5364</v>
      </c>
      <c r="K78" s="253"/>
      <c r="L78" s="253"/>
      <c r="M78" s="30" t="s">
        <v>809</v>
      </c>
      <c r="N78" s="6" t="s">
        <v>5365</v>
      </c>
      <c r="O78" s="6" t="s">
        <v>809</v>
      </c>
      <c r="P78" s="253" t="s">
        <v>5238</v>
      </c>
      <c r="Q78" s="49" t="n">
        <f aca="false">Spec_Rack!G8</f>
        <v>300</v>
      </c>
      <c r="R78" s="30" t="s">
        <v>809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5239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5366</v>
      </c>
      <c r="B79" s="253" t="s">
        <v>5234</v>
      </c>
      <c r="C79" s="30" t="s">
        <v>3171</v>
      </c>
      <c r="D79" s="30" t="s">
        <v>3175</v>
      </c>
      <c r="E79" s="20" t="s">
        <v>219</v>
      </c>
      <c r="F79" s="253" t="s">
        <v>5367</v>
      </c>
      <c r="G79" s="253" t="s">
        <v>111</v>
      </c>
      <c r="H79" s="30" t="s">
        <v>5368</v>
      </c>
      <c r="I79" s="20" t="s">
        <v>5369</v>
      </c>
      <c r="J79" s="30" t="s">
        <v>809</v>
      </c>
      <c r="K79" s="49" t="n">
        <f aca="false">Spec_Rack!C8</f>
        <v>38</v>
      </c>
      <c r="L79" s="49" t="n">
        <f aca="false">Spec_Rack!C10</f>
        <v>44</v>
      </c>
      <c r="M79" s="30" t="s">
        <v>809</v>
      </c>
      <c r="N79" s="20" t="s">
        <v>5370</v>
      </c>
      <c r="O79" s="6" t="s">
        <v>809</v>
      </c>
      <c r="P79" s="253" t="s">
        <v>1434</v>
      </c>
      <c r="Q79" s="49" t="n">
        <f aca="false">Spec_Rack!C9</f>
        <v>41</v>
      </c>
      <c r="R79" s="186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5239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5371</v>
      </c>
      <c r="B80" s="253" t="s">
        <v>5234</v>
      </c>
      <c r="C80" s="30" t="s">
        <v>3171</v>
      </c>
      <c r="D80" s="30" t="s">
        <v>3111</v>
      </c>
      <c r="E80" s="20" t="s">
        <v>219</v>
      </c>
      <c r="F80" s="253" t="s">
        <v>373</v>
      </c>
      <c r="G80" s="253" t="s">
        <v>111</v>
      </c>
      <c r="H80" s="30" t="s">
        <v>5358</v>
      </c>
      <c r="I80" s="20" t="s">
        <v>5372</v>
      </c>
      <c r="J80" s="30" t="s">
        <v>809</v>
      </c>
      <c r="K80" s="49" t="n">
        <f aca="false">Spec_Rack!D8</f>
        <v>120</v>
      </c>
      <c r="L80" s="49" t="n">
        <f aca="false">Spec_Rack!D10</f>
        <v>140</v>
      </c>
      <c r="M80" s="30" t="s">
        <v>809</v>
      </c>
      <c r="N80" s="20" t="s">
        <v>5373</v>
      </c>
      <c r="O80" s="6" t="s">
        <v>809</v>
      </c>
      <c r="P80" s="253" t="s">
        <v>1434</v>
      </c>
      <c r="Q80" s="49" t="n">
        <f aca="false">Spec_Rack!D9</f>
        <v>132</v>
      </c>
      <c r="R80" s="186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5267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5374</v>
      </c>
      <c r="B81" s="253" t="s">
        <v>5234</v>
      </c>
      <c r="C81" s="30" t="s">
        <v>3171</v>
      </c>
      <c r="D81" s="30" t="s">
        <v>3112</v>
      </c>
      <c r="E81" s="20" t="s">
        <v>219</v>
      </c>
      <c r="F81" s="253" t="s">
        <v>176</v>
      </c>
      <c r="G81" s="253" t="s">
        <v>111</v>
      </c>
      <c r="H81" s="30" t="s">
        <v>5360</v>
      </c>
      <c r="I81" s="20" t="s">
        <v>5375</v>
      </c>
      <c r="J81" s="30" t="s">
        <v>809</v>
      </c>
      <c r="K81" s="49" t="n">
        <f aca="false">Spec_Rack!E8</f>
        <v>132</v>
      </c>
      <c r="L81" s="49" t="n">
        <f aca="false">Spec_Rack!E10</f>
        <v>140</v>
      </c>
      <c r="M81" s="30" t="s">
        <v>809</v>
      </c>
      <c r="N81" s="20" t="s">
        <v>5376</v>
      </c>
      <c r="O81" s="20" t="s">
        <v>5377</v>
      </c>
      <c r="P81" s="253" t="s">
        <v>1434</v>
      </c>
      <c r="Q81" s="49" t="n">
        <f aca="false">Spec_Rack!E9</f>
        <v>136</v>
      </c>
      <c r="R81" s="186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5239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5378</v>
      </c>
      <c r="B82" s="253" t="s">
        <v>5234</v>
      </c>
      <c r="C82" s="30" t="s">
        <v>3171</v>
      </c>
      <c r="D82" s="30" t="s">
        <v>3113</v>
      </c>
      <c r="E82" s="20" t="s">
        <v>219</v>
      </c>
      <c r="F82" s="253" t="s">
        <v>373</v>
      </c>
      <c r="G82" s="253" t="s">
        <v>5235</v>
      </c>
      <c r="H82" s="30" t="s">
        <v>5379</v>
      </c>
      <c r="I82" s="20" t="s">
        <v>5265</v>
      </c>
      <c r="J82" s="30" t="s">
        <v>809</v>
      </c>
      <c r="K82" s="253"/>
      <c r="L82" s="253"/>
      <c r="M82" s="30" t="s">
        <v>809</v>
      </c>
      <c r="N82" s="20" t="s">
        <v>5328</v>
      </c>
      <c r="O82" s="6" t="s">
        <v>809</v>
      </c>
      <c r="P82" s="253" t="s">
        <v>1434</v>
      </c>
      <c r="Q82" s="49" t="n">
        <f aca="false">Spec_Rack!F9</f>
        <v>227</v>
      </c>
      <c r="R82" s="186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5267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5380</v>
      </c>
      <c r="B83" s="253" t="s">
        <v>5234</v>
      </c>
      <c r="C83" s="30" t="s">
        <v>3171</v>
      </c>
      <c r="D83" s="30" t="s">
        <v>3176</v>
      </c>
      <c r="E83" s="20" t="s">
        <v>219</v>
      </c>
      <c r="F83" s="253" t="s">
        <v>176</v>
      </c>
      <c r="G83" s="253" t="s">
        <v>111</v>
      </c>
      <c r="H83" s="30" t="s">
        <v>809</v>
      </c>
      <c r="I83" s="20" t="s">
        <v>5381</v>
      </c>
      <c r="J83" s="30" t="s">
        <v>5364</v>
      </c>
      <c r="K83" s="256" t="n">
        <f aca="false">Spec_Rack!G8</f>
        <v>300</v>
      </c>
      <c r="L83" s="256" t="n">
        <f aca="false">Spec_Rack!G10</f>
        <v>454</v>
      </c>
      <c r="M83" s="30" t="s">
        <v>809</v>
      </c>
      <c r="N83" s="20" t="s">
        <v>5382</v>
      </c>
      <c r="O83" s="20" t="s">
        <v>5383</v>
      </c>
      <c r="P83" s="253" t="s">
        <v>1434</v>
      </c>
      <c r="Q83" s="49" t="n">
        <f aca="false">Spec_Rack!G9</f>
        <v>340</v>
      </c>
      <c r="R83" s="30" t="s">
        <v>809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5239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5384</v>
      </c>
      <c r="B84" s="253" t="s">
        <v>5234</v>
      </c>
      <c r="C84" s="30" t="s">
        <v>3171</v>
      </c>
      <c r="D84" s="30" t="s">
        <v>3177</v>
      </c>
      <c r="E84" s="20" t="s">
        <v>220</v>
      </c>
      <c r="F84" s="30" t="s">
        <v>128</v>
      </c>
      <c r="G84" s="253" t="s">
        <v>1434</v>
      </c>
      <c r="H84" s="30" t="s">
        <v>809</v>
      </c>
      <c r="I84" s="6" t="s">
        <v>809</v>
      </c>
      <c r="J84" s="30" t="s">
        <v>5241</v>
      </c>
      <c r="K84" s="253"/>
      <c r="L84" s="253"/>
      <c r="M84" s="30" t="s">
        <v>809</v>
      </c>
      <c r="N84" s="6" t="s">
        <v>5385</v>
      </c>
      <c r="O84" s="6" t="s">
        <v>809</v>
      </c>
      <c r="P84" s="253" t="s">
        <v>5238</v>
      </c>
      <c r="Q84" s="49" t="n">
        <f aca="false">Spec_Rack!C10</f>
        <v>44</v>
      </c>
      <c r="R84" s="30" t="s">
        <v>809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5239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5386</v>
      </c>
      <c r="B85" s="253" t="s">
        <v>5234</v>
      </c>
      <c r="C85" s="30" t="s">
        <v>3171</v>
      </c>
      <c r="D85" s="30" t="s">
        <v>3114</v>
      </c>
      <c r="E85" s="20" t="s">
        <v>220</v>
      </c>
      <c r="F85" s="30" t="s">
        <v>128</v>
      </c>
      <c r="G85" s="253" t="s">
        <v>1434</v>
      </c>
      <c r="H85" s="30" t="s">
        <v>809</v>
      </c>
      <c r="I85" s="6" t="s">
        <v>809</v>
      </c>
      <c r="J85" s="30" t="s">
        <v>5241</v>
      </c>
      <c r="K85" s="253"/>
      <c r="L85" s="253"/>
      <c r="M85" s="30" t="s">
        <v>809</v>
      </c>
      <c r="N85" s="6" t="s">
        <v>5387</v>
      </c>
      <c r="O85" s="6" t="s">
        <v>809</v>
      </c>
      <c r="P85" s="253" t="s">
        <v>5238</v>
      </c>
      <c r="Q85" s="49" t="n">
        <f aca="false">Spec_Rack!D10</f>
        <v>140</v>
      </c>
      <c r="R85" s="30" t="s">
        <v>809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5239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5388</v>
      </c>
      <c r="B86" s="253" t="s">
        <v>5234</v>
      </c>
      <c r="C86" s="30" t="s">
        <v>3171</v>
      </c>
      <c r="D86" s="30" t="s">
        <v>3115</v>
      </c>
      <c r="E86" s="20" t="s">
        <v>220</v>
      </c>
      <c r="F86" s="253" t="s">
        <v>373</v>
      </c>
      <c r="G86" s="253" t="s">
        <v>5235</v>
      </c>
      <c r="H86" s="30" t="s">
        <v>5360</v>
      </c>
      <c r="I86" s="20" t="s">
        <v>5265</v>
      </c>
      <c r="J86" s="30" t="s">
        <v>809</v>
      </c>
      <c r="K86" s="253"/>
      <c r="L86" s="253"/>
      <c r="M86" s="30" t="s">
        <v>809</v>
      </c>
      <c r="N86" s="20" t="s">
        <v>5328</v>
      </c>
      <c r="O86" s="6" t="s">
        <v>809</v>
      </c>
      <c r="P86" s="253" t="s">
        <v>5238</v>
      </c>
      <c r="Q86" s="49" t="n">
        <f aca="false">Spec_Rack!E10</f>
        <v>140</v>
      </c>
      <c r="R86" s="186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5267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5389</v>
      </c>
      <c r="B87" s="253" t="s">
        <v>5234</v>
      </c>
      <c r="C87" s="30" t="s">
        <v>3171</v>
      </c>
      <c r="D87" s="30" t="s">
        <v>3116</v>
      </c>
      <c r="E87" s="20" t="s">
        <v>220</v>
      </c>
      <c r="F87" s="253" t="s">
        <v>373</v>
      </c>
      <c r="G87" s="253" t="s">
        <v>5235</v>
      </c>
      <c r="H87" s="30" t="s">
        <v>5390</v>
      </c>
      <c r="I87" s="20" t="s">
        <v>5265</v>
      </c>
      <c r="J87" s="30" t="s">
        <v>809</v>
      </c>
      <c r="K87" s="253"/>
      <c r="L87" s="253"/>
      <c r="M87" s="30" t="s">
        <v>809</v>
      </c>
      <c r="N87" s="20" t="s">
        <v>5328</v>
      </c>
      <c r="O87" s="6" t="s">
        <v>809</v>
      </c>
      <c r="P87" s="253" t="s">
        <v>5238</v>
      </c>
      <c r="Q87" s="49" t="n">
        <f aca="false">Spec_Rack!F10</f>
        <v>230</v>
      </c>
      <c r="R87" s="186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5267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5391</v>
      </c>
      <c r="B88" s="253" t="s">
        <v>5234</v>
      </c>
      <c r="C88" s="30" t="s">
        <v>3171</v>
      </c>
      <c r="D88" s="30" t="s">
        <v>3178</v>
      </c>
      <c r="E88" s="20" t="s">
        <v>220</v>
      </c>
      <c r="F88" s="30" t="s">
        <v>176</v>
      </c>
      <c r="G88" s="253" t="s">
        <v>1434</v>
      </c>
      <c r="H88" s="30" t="s">
        <v>809</v>
      </c>
      <c r="I88" s="6" t="s">
        <v>809</v>
      </c>
      <c r="J88" s="30" t="s">
        <v>5364</v>
      </c>
      <c r="K88" s="253"/>
      <c r="L88" s="253"/>
      <c r="M88" s="30" t="s">
        <v>809</v>
      </c>
      <c r="N88" s="6" t="s">
        <v>5392</v>
      </c>
      <c r="O88" s="6" t="s">
        <v>809</v>
      </c>
      <c r="P88" s="253" t="s">
        <v>5238</v>
      </c>
      <c r="Q88" s="49" t="n">
        <f aca="false">Spec_Rack!G10</f>
        <v>454</v>
      </c>
      <c r="R88" s="30" t="s">
        <v>809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5239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5393</v>
      </c>
      <c r="B89" s="253" t="s">
        <v>5234</v>
      </c>
      <c r="C89" s="30" t="s">
        <v>3171</v>
      </c>
      <c r="D89" s="30" t="s">
        <v>3179</v>
      </c>
      <c r="E89" s="20" t="s">
        <v>221</v>
      </c>
      <c r="F89" s="253" t="s">
        <v>5367</v>
      </c>
      <c r="G89" s="253" t="s">
        <v>1433</v>
      </c>
      <c r="H89" s="30" t="s">
        <v>5394</v>
      </c>
      <c r="I89" s="20" t="s">
        <v>5395</v>
      </c>
      <c r="J89" s="30" t="s">
        <v>809</v>
      </c>
      <c r="K89" s="253"/>
      <c r="L89" s="253"/>
      <c r="M89" s="30" t="s">
        <v>809</v>
      </c>
      <c r="N89" s="20" t="s">
        <v>5396</v>
      </c>
      <c r="O89" s="6" t="s">
        <v>809</v>
      </c>
      <c r="P89" s="253" t="s">
        <v>5238</v>
      </c>
      <c r="Q89" s="197" t="n">
        <f aca="false">Spec_Rack!C11</f>
        <v>0.9</v>
      </c>
      <c r="R89" s="186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5239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5397</v>
      </c>
      <c r="B90" s="253" t="s">
        <v>5234</v>
      </c>
      <c r="C90" s="30" t="s">
        <v>3171</v>
      </c>
      <c r="D90" s="30" t="s">
        <v>3117</v>
      </c>
      <c r="E90" s="20" t="s">
        <v>221</v>
      </c>
      <c r="F90" s="253" t="s">
        <v>373</v>
      </c>
      <c r="G90" s="253" t="s">
        <v>5235</v>
      </c>
      <c r="H90" s="30" t="s">
        <v>5398</v>
      </c>
      <c r="I90" s="20" t="s">
        <v>5265</v>
      </c>
      <c r="J90" s="30" t="s">
        <v>809</v>
      </c>
      <c r="K90" s="253"/>
      <c r="L90" s="253"/>
      <c r="M90" s="30" t="s">
        <v>809</v>
      </c>
      <c r="N90" s="20" t="s">
        <v>5399</v>
      </c>
      <c r="O90" s="6" t="s">
        <v>809</v>
      </c>
      <c r="P90" s="253" t="s">
        <v>5238</v>
      </c>
      <c r="Q90" s="197" t="n">
        <f aca="false">Spec_Rack!D11</f>
        <v>2.8</v>
      </c>
      <c r="R90" s="186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5267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5400</v>
      </c>
      <c r="B91" s="253" t="s">
        <v>5234</v>
      </c>
      <c r="C91" s="30" t="s">
        <v>3171</v>
      </c>
      <c r="D91" s="30" t="s">
        <v>3118</v>
      </c>
      <c r="E91" s="20" t="s">
        <v>221</v>
      </c>
      <c r="F91" s="253" t="s">
        <v>373</v>
      </c>
      <c r="G91" s="253" t="s">
        <v>5235</v>
      </c>
      <c r="H91" s="30" t="s">
        <v>5401</v>
      </c>
      <c r="I91" s="20" t="s">
        <v>5265</v>
      </c>
      <c r="J91" s="30" t="s">
        <v>5402</v>
      </c>
      <c r="K91" s="253"/>
      <c r="L91" s="253"/>
      <c r="M91" s="30" t="s">
        <v>809</v>
      </c>
      <c r="N91" s="20" t="s">
        <v>5403</v>
      </c>
      <c r="O91" s="6" t="s">
        <v>809</v>
      </c>
      <c r="P91" s="253" t="s">
        <v>5238</v>
      </c>
      <c r="Q91" s="197" t="n">
        <f aca="false">Spec_Rack!E11</f>
        <v>4</v>
      </c>
      <c r="R91" s="186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5267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5404</v>
      </c>
      <c r="B92" s="253" t="s">
        <v>5234</v>
      </c>
      <c r="C92" s="30" t="s">
        <v>3171</v>
      </c>
      <c r="D92" s="30" t="s">
        <v>3119</v>
      </c>
      <c r="E92" s="20" t="s">
        <v>221</v>
      </c>
      <c r="F92" s="253" t="s">
        <v>176</v>
      </c>
      <c r="G92" s="253" t="s">
        <v>1433</v>
      </c>
      <c r="H92" s="30" t="s">
        <v>5405</v>
      </c>
      <c r="I92" s="20" t="s">
        <v>5406</v>
      </c>
      <c r="J92" s="30" t="s">
        <v>809</v>
      </c>
      <c r="K92" s="253"/>
      <c r="L92" s="253"/>
      <c r="M92" s="30" t="s">
        <v>809</v>
      </c>
      <c r="N92" s="20" t="s">
        <v>5407</v>
      </c>
      <c r="O92" s="20" t="s">
        <v>5408</v>
      </c>
      <c r="P92" s="253" t="s">
        <v>5238</v>
      </c>
      <c r="Q92" s="197" t="n">
        <f aca="false">Spec_Rack!F11</f>
        <v>7.8</v>
      </c>
      <c r="R92" s="186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5239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5409</v>
      </c>
      <c r="B93" s="253" t="s">
        <v>5234</v>
      </c>
      <c r="C93" s="30" t="s">
        <v>3171</v>
      </c>
      <c r="D93" s="30" t="s">
        <v>3273</v>
      </c>
      <c r="E93" s="20" t="s">
        <v>221</v>
      </c>
      <c r="F93" s="30" t="s">
        <v>128</v>
      </c>
      <c r="G93" s="253" t="s">
        <v>1433</v>
      </c>
      <c r="H93" s="30" t="s">
        <v>809</v>
      </c>
      <c r="I93" s="6" t="s">
        <v>809</v>
      </c>
      <c r="J93" s="30" t="s">
        <v>5410</v>
      </c>
      <c r="K93" s="253"/>
      <c r="L93" s="253"/>
      <c r="M93" s="30" t="s">
        <v>809</v>
      </c>
      <c r="N93" s="6" t="s">
        <v>5411</v>
      </c>
      <c r="O93" s="6" t="s">
        <v>5412</v>
      </c>
      <c r="P93" s="253" t="s">
        <v>5238</v>
      </c>
      <c r="Q93" s="197" t="n">
        <f aca="false">Spec_Rack!G11</f>
        <v>12.6</v>
      </c>
      <c r="R93" s="30" t="s">
        <v>809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5303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5413</v>
      </c>
      <c r="B94" s="253" t="s">
        <v>5234</v>
      </c>
      <c r="C94" s="30" t="s">
        <v>3171</v>
      </c>
      <c r="D94" s="30" t="s">
        <v>3180</v>
      </c>
      <c r="E94" s="20" t="s">
        <v>222</v>
      </c>
      <c r="F94" s="253" t="s">
        <v>5367</v>
      </c>
      <c r="G94" s="253" t="s">
        <v>111</v>
      </c>
      <c r="H94" s="30" t="s">
        <v>5394</v>
      </c>
      <c r="I94" s="20" t="s">
        <v>5414</v>
      </c>
      <c r="J94" s="30" t="s">
        <v>809</v>
      </c>
      <c r="K94" s="197" t="n">
        <f aca="false">Spec_Rack!C11</f>
        <v>0.9</v>
      </c>
      <c r="L94" s="197" t="n">
        <f aca="false">Spec_Rack!C13</f>
        <v>1.3</v>
      </c>
      <c r="M94" s="30" t="s">
        <v>809</v>
      </c>
      <c r="N94" s="20" t="s">
        <v>5415</v>
      </c>
      <c r="O94" s="6" t="s">
        <v>809</v>
      </c>
      <c r="P94" s="253" t="s">
        <v>1434</v>
      </c>
      <c r="Q94" s="197" t="n">
        <f aca="false">Spec_Rack!C12</f>
        <v>1.1</v>
      </c>
      <c r="R94" s="186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5239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5416</v>
      </c>
      <c r="B95" s="253" t="s">
        <v>5234</v>
      </c>
      <c r="C95" s="30" t="s">
        <v>3171</v>
      </c>
      <c r="D95" s="30" t="s">
        <v>3181</v>
      </c>
      <c r="E95" s="20" t="s">
        <v>222</v>
      </c>
      <c r="F95" s="253" t="s">
        <v>5367</v>
      </c>
      <c r="G95" s="253" t="s">
        <v>111</v>
      </c>
      <c r="H95" s="30" t="s">
        <v>5398</v>
      </c>
      <c r="I95" s="20" t="s">
        <v>5417</v>
      </c>
      <c r="J95" s="30" t="s">
        <v>809</v>
      </c>
      <c r="K95" s="197" t="n">
        <f aca="false">Spec_Rack!D11</f>
        <v>2.8</v>
      </c>
      <c r="L95" s="197" t="n">
        <f aca="false">Spec_Rack!D13</f>
        <v>3.4</v>
      </c>
      <c r="M95" s="30" t="s">
        <v>809</v>
      </c>
      <c r="N95" s="20" t="s">
        <v>5418</v>
      </c>
      <c r="O95" s="6" t="s">
        <v>809</v>
      </c>
      <c r="P95" s="253" t="s">
        <v>1434</v>
      </c>
      <c r="Q95" s="197" t="n">
        <f aca="false">Spec_Rack!D12</f>
        <v>3.1</v>
      </c>
      <c r="R95" s="186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5239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5419</v>
      </c>
      <c r="B96" s="253" t="s">
        <v>5234</v>
      </c>
      <c r="C96" s="30" t="s">
        <v>3171</v>
      </c>
      <c r="D96" s="30" t="s">
        <v>3182</v>
      </c>
      <c r="E96" s="20" t="s">
        <v>222</v>
      </c>
      <c r="F96" s="253" t="s">
        <v>176</v>
      </c>
      <c r="G96" s="253" t="s">
        <v>111</v>
      </c>
      <c r="H96" s="30" t="s">
        <v>5401</v>
      </c>
      <c r="I96" s="20" t="s">
        <v>5420</v>
      </c>
      <c r="J96" s="30" t="s">
        <v>5402</v>
      </c>
      <c r="K96" s="197" t="n">
        <f aca="false">Spec_Rack!E11</f>
        <v>4</v>
      </c>
      <c r="L96" s="197" t="n">
        <f aca="false">Spec_Rack!E13</f>
        <v>5</v>
      </c>
      <c r="M96" s="30" t="s">
        <v>809</v>
      </c>
      <c r="N96" s="20" t="s">
        <v>5421</v>
      </c>
      <c r="O96" s="245" t="s">
        <v>5422</v>
      </c>
      <c r="P96" s="253" t="s">
        <v>1434</v>
      </c>
      <c r="Q96" s="197" t="n">
        <f aca="false">Spec_Rack!E12</f>
        <v>4.3</v>
      </c>
      <c r="R96" s="186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5239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5423</v>
      </c>
      <c r="B97" s="253" t="s">
        <v>5234</v>
      </c>
      <c r="C97" s="30" t="s">
        <v>3171</v>
      </c>
      <c r="D97" s="30" t="s">
        <v>3183</v>
      </c>
      <c r="E97" s="20" t="s">
        <v>222</v>
      </c>
      <c r="F97" s="253" t="s">
        <v>176</v>
      </c>
      <c r="G97" s="253" t="s">
        <v>111</v>
      </c>
      <c r="H97" s="30" t="s">
        <v>5405</v>
      </c>
      <c r="I97" s="20" t="s">
        <v>5424</v>
      </c>
      <c r="J97" s="30" t="s">
        <v>809</v>
      </c>
      <c r="K97" s="257" t="n">
        <f aca="false">Spec_Rack!F11</f>
        <v>7.8</v>
      </c>
      <c r="L97" s="257" t="n">
        <f aca="false">Spec_Rack!F13</f>
        <v>9.1</v>
      </c>
      <c r="M97" s="30" t="s">
        <v>809</v>
      </c>
      <c r="N97" s="20" t="s">
        <v>5425</v>
      </c>
      <c r="O97" s="20" t="s">
        <v>5426</v>
      </c>
      <c r="P97" s="253" t="s">
        <v>1434</v>
      </c>
      <c r="Q97" s="197" t="n">
        <f aca="false">Spec_Rack!F12</f>
        <v>8.4</v>
      </c>
      <c r="R97" s="186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5239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5427</v>
      </c>
      <c r="B98" s="253" t="s">
        <v>5234</v>
      </c>
      <c r="C98" s="30" t="s">
        <v>3171</v>
      </c>
      <c r="D98" s="30" t="s">
        <v>3277</v>
      </c>
      <c r="E98" s="20" t="s">
        <v>222</v>
      </c>
      <c r="F98" s="30" t="s">
        <v>128</v>
      </c>
      <c r="G98" s="253" t="s">
        <v>111</v>
      </c>
      <c r="H98" s="30" t="s">
        <v>809</v>
      </c>
      <c r="I98" s="6" t="s">
        <v>809</v>
      </c>
      <c r="J98" s="30" t="s">
        <v>5410</v>
      </c>
      <c r="K98" s="197" t="n">
        <f aca="false">Spec_Rack!G11</f>
        <v>12.6</v>
      </c>
      <c r="L98" s="197" t="n">
        <f aca="false">Spec_Rack!G13</f>
        <v>21</v>
      </c>
      <c r="M98" s="30" t="s">
        <v>809</v>
      </c>
      <c r="N98" s="6" t="s">
        <v>5428</v>
      </c>
      <c r="O98" s="6" t="s">
        <v>5412</v>
      </c>
      <c r="P98" s="253" t="s">
        <v>1434</v>
      </c>
      <c r="Q98" s="197" t="n">
        <f aca="false">Spec_Rack!G12</f>
        <v>16.8</v>
      </c>
      <c r="R98" s="30" t="s">
        <v>809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5303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5429</v>
      </c>
      <c r="B99" s="253" t="s">
        <v>5234</v>
      </c>
      <c r="C99" s="30" t="s">
        <v>3171</v>
      </c>
      <c r="D99" s="30" t="s">
        <v>3184</v>
      </c>
      <c r="E99" s="20" t="s">
        <v>223</v>
      </c>
      <c r="F99" s="253" t="s">
        <v>5367</v>
      </c>
      <c r="G99" s="253" t="s">
        <v>1434</v>
      </c>
      <c r="H99" s="30" t="s">
        <v>5394</v>
      </c>
      <c r="I99" s="20" t="s">
        <v>5430</v>
      </c>
      <c r="J99" s="30" t="s">
        <v>809</v>
      </c>
      <c r="K99" s="253"/>
      <c r="L99" s="253"/>
      <c r="M99" s="30" t="s">
        <v>809</v>
      </c>
      <c r="N99" s="20" t="s">
        <v>5431</v>
      </c>
      <c r="O99" s="6" t="s">
        <v>809</v>
      </c>
      <c r="P99" s="253" t="s">
        <v>5238</v>
      </c>
      <c r="Q99" s="197" t="n">
        <f aca="false">Spec_Rack!C13</f>
        <v>1.3</v>
      </c>
      <c r="R99" s="186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5239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5432</v>
      </c>
      <c r="B100" s="253" t="s">
        <v>5234</v>
      </c>
      <c r="C100" s="30" t="s">
        <v>3171</v>
      </c>
      <c r="D100" s="30" t="s">
        <v>3120</v>
      </c>
      <c r="E100" s="20" t="s">
        <v>223</v>
      </c>
      <c r="F100" s="253" t="s">
        <v>373</v>
      </c>
      <c r="G100" s="253" t="s">
        <v>5235</v>
      </c>
      <c r="H100" s="30" t="s">
        <v>5398</v>
      </c>
      <c r="I100" s="20" t="s">
        <v>5265</v>
      </c>
      <c r="J100" s="30" t="s">
        <v>809</v>
      </c>
      <c r="K100" s="253"/>
      <c r="L100" s="253"/>
      <c r="M100" s="30" t="s">
        <v>809</v>
      </c>
      <c r="N100" s="20" t="s">
        <v>5399</v>
      </c>
      <c r="O100" s="6" t="s">
        <v>809</v>
      </c>
      <c r="P100" s="253" t="s">
        <v>5238</v>
      </c>
      <c r="Q100" s="197" t="n">
        <f aca="false">Spec_Rack!D13</f>
        <v>3.4</v>
      </c>
      <c r="R100" s="186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5267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5433</v>
      </c>
      <c r="B101" s="253" t="s">
        <v>5234</v>
      </c>
      <c r="C101" s="30" t="s">
        <v>3171</v>
      </c>
      <c r="D101" s="30" t="s">
        <v>3121</v>
      </c>
      <c r="E101" s="20" t="s">
        <v>223</v>
      </c>
      <c r="F101" s="253" t="s">
        <v>373</v>
      </c>
      <c r="G101" s="253" t="s">
        <v>5235</v>
      </c>
      <c r="H101" s="30" t="s">
        <v>5434</v>
      </c>
      <c r="I101" s="20" t="s">
        <v>5265</v>
      </c>
      <c r="J101" s="30" t="s">
        <v>5402</v>
      </c>
      <c r="K101" s="253"/>
      <c r="L101" s="253"/>
      <c r="M101" s="30" t="s">
        <v>809</v>
      </c>
      <c r="N101" s="20" t="s">
        <v>5435</v>
      </c>
      <c r="O101" s="6" t="s">
        <v>809</v>
      </c>
      <c r="P101" s="253" t="s">
        <v>5238</v>
      </c>
      <c r="Q101" s="197" t="n">
        <f aca="false">Spec_Rack!E13</f>
        <v>5</v>
      </c>
      <c r="R101" s="186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5267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5436</v>
      </c>
      <c r="B102" s="253" t="s">
        <v>5234</v>
      </c>
      <c r="C102" s="30" t="s">
        <v>3171</v>
      </c>
      <c r="D102" s="30" t="s">
        <v>3185</v>
      </c>
      <c r="E102" s="20" t="s">
        <v>223</v>
      </c>
      <c r="F102" s="253" t="s">
        <v>5367</v>
      </c>
      <c r="G102" s="253" t="s">
        <v>1434</v>
      </c>
      <c r="H102" s="30" t="s">
        <v>5437</v>
      </c>
      <c r="I102" s="20" t="s">
        <v>5438</v>
      </c>
      <c r="J102" s="30" t="s">
        <v>809</v>
      </c>
      <c r="K102" s="253"/>
      <c r="L102" s="253"/>
      <c r="M102" s="30" t="s">
        <v>809</v>
      </c>
      <c r="N102" s="20" t="s">
        <v>5439</v>
      </c>
      <c r="O102" s="6" t="s">
        <v>809</v>
      </c>
      <c r="P102" s="253" t="s">
        <v>5238</v>
      </c>
      <c r="Q102" s="197" t="n">
        <f aca="false">Spec_Rack!F13</f>
        <v>9.1</v>
      </c>
      <c r="R102" s="186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5239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5440</v>
      </c>
      <c r="B103" s="253" t="s">
        <v>5234</v>
      </c>
      <c r="C103" s="30" t="s">
        <v>3171</v>
      </c>
      <c r="D103" s="30" t="s">
        <v>3281</v>
      </c>
      <c r="E103" s="20" t="s">
        <v>223</v>
      </c>
      <c r="F103" s="30" t="s">
        <v>128</v>
      </c>
      <c r="G103" s="253" t="s">
        <v>1434</v>
      </c>
      <c r="H103" s="30" t="s">
        <v>809</v>
      </c>
      <c r="I103" s="6" t="s">
        <v>809</v>
      </c>
      <c r="J103" s="30" t="s">
        <v>5410</v>
      </c>
      <c r="K103" s="253"/>
      <c r="L103" s="253"/>
      <c r="M103" s="30" t="s">
        <v>809</v>
      </c>
      <c r="N103" s="6" t="s">
        <v>5441</v>
      </c>
      <c r="O103" s="6" t="s">
        <v>5412</v>
      </c>
      <c r="P103" s="253" t="s">
        <v>5238</v>
      </c>
      <c r="Q103" s="197" t="n">
        <f aca="false">Spec_Rack!G13</f>
        <v>21</v>
      </c>
      <c r="R103" s="30" t="s">
        <v>809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5303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5442</v>
      </c>
      <c r="B104" s="253" t="s">
        <v>5234</v>
      </c>
      <c r="C104" s="30" t="s">
        <v>3171</v>
      </c>
      <c r="D104" s="30" t="s">
        <v>3221</v>
      </c>
      <c r="E104" s="20" t="s">
        <v>5443</v>
      </c>
      <c r="F104" s="253" t="s">
        <v>373</v>
      </c>
      <c r="G104" s="253" t="s">
        <v>5235</v>
      </c>
      <c r="H104" s="30" t="s">
        <v>5444</v>
      </c>
      <c r="I104" s="20" t="s">
        <v>5265</v>
      </c>
      <c r="J104" s="30" t="s">
        <v>809</v>
      </c>
      <c r="K104" s="253"/>
      <c r="L104" s="253"/>
      <c r="M104" s="30" t="s">
        <v>809</v>
      </c>
      <c r="N104" s="20" t="s">
        <v>5399</v>
      </c>
      <c r="O104" s="6" t="s">
        <v>809</v>
      </c>
      <c r="P104" s="253" t="s">
        <v>5281</v>
      </c>
      <c r="Q104" s="46" t="n">
        <f aca="false">Spec_Rack!C23</f>
        <v>1.979</v>
      </c>
      <c r="R104" s="186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5267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5445</v>
      </c>
      <c r="B105" s="253" t="s">
        <v>5234</v>
      </c>
      <c r="C105" s="30" t="s">
        <v>3171</v>
      </c>
      <c r="D105" s="30" t="s">
        <v>3222</v>
      </c>
      <c r="E105" s="20" t="s">
        <v>5443</v>
      </c>
      <c r="F105" s="253" t="s">
        <v>373</v>
      </c>
      <c r="G105" s="253" t="s">
        <v>5235</v>
      </c>
      <c r="H105" s="30" t="s">
        <v>5446</v>
      </c>
      <c r="I105" s="20" t="s">
        <v>5265</v>
      </c>
      <c r="J105" s="30" t="s">
        <v>809</v>
      </c>
      <c r="K105" s="253"/>
      <c r="L105" s="253"/>
      <c r="M105" s="30" t="s">
        <v>809</v>
      </c>
      <c r="N105" s="20" t="s">
        <v>5399</v>
      </c>
      <c r="O105" s="6" t="s">
        <v>809</v>
      </c>
      <c r="P105" s="253" t="s">
        <v>5281</v>
      </c>
      <c r="Q105" s="46" t="n">
        <f aca="false">Spec_Rack!D23</f>
        <v>10</v>
      </c>
      <c r="R105" s="186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5267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5447</v>
      </c>
      <c r="B106" s="253" t="s">
        <v>5234</v>
      </c>
      <c r="C106" s="30" t="s">
        <v>3171</v>
      </c>
      <c r="D106" s="30" t="s">
        <v>3223</v>
      </c>
      <c r="E106" s="20" t="s">
        <v>5443</v>
      </c>
      <c r="F106" s="253" t="s">
        <v>373</v>
      </c>
      <c r="G106" s="253" t="s">
        <v>5235</v>
      </c>
      <c r="H106" s="30" t="s">
        <v>5448</v>
      </c>
      <c r="I106" s="20" t="s">
        <v>5265</v>
      </c>
      <c r="J106" s="30" t="s">
        <v>809</v>
      </c>
      <c r="K106" s="253"/>
      <c r="L106" s="253"/>
      <c r="M106" s="30" t="s">
        <v>809</v>
      </c>
      <c r="N106" s="20" t="s">
        <v>5399</v>
      </c>
      <c r="O106" s="6" t="s">
        <v>809</v>
      </c>
      <c r="P106" s="253" t="s">
        <v>5281</v>
      </c>
      <c r="Q106" s="46" t="n">
        <f aca="false">Spec_Rack!E23</f>
        <v>15</v>
      </c>
      <c r="R106" s="186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5267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5449</v>
      </c>
      <c r="B107" s="253" t="s">
        <v>5234</v>
      </c>
      <c r="C107" s="30" t="s">
        <v>3171</v>
      </c>
      <c r="D107" s="30" t="s">
        <v>5331</v>
      </c>
      <c r="E107" s="20" t="s">
        <v>5443</v>
      </c>
      <c r="F107" s="253" t="s">
        <v>373</v>
      </c>
      <c r="G107" s="253" t="s">
        <v>5235</v>
      </c>
      <c r="H107" s="30" t="s">
        <v>5450</v>
      </c>
      <c r="I107" s="20" t="s">
        <v>5265</v>
      </c>
      <c r="J107" s="30" t="s">
        <v>809</v>
      </c>
      <c r="K107" s="253"/>
      <c r="L107" s="253"/>
      <c r="M107" s="30" t="s">
        <v>809</v>
      </c>
      <c r="N107" s="20" t="s">
        <v>5399</v>
      </c>
      <c r="O107" s="6" t="s">
        <v>809</v>
      </c>
      <c r="P107" s="253" t="s">
        <v>5281</v>
      </c>
      <c r="Q107" s="46" t="n">
        <f aca="false">Spec_Rack!F23</f>
        <v>35</v>
      </c>
      <c r="R107" s="186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5267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5451</v>
      </c>
      <c r="B108" s="253" t="s">
        <v>5234</v>
      </c>
      <c r="C108" s="30" t="s">
        <v>3171</v>
      </c>
      <c r="D108" s="30" t="s">
        <v>3186</v>
      </c>
      <c r="E108" s="20" t="s">
        <v>5443</v>
      </c>
      <c r="F108" s="30" t="s">
        <v>176</v>
      </c>
      <c r="G108" s="253" t="s">
        <v>111</v>
      </c>
      <c r="H108" s="30" t="s">
        <v>5452</v>
      </c>
      <c r="I108" s="6" t="s">
        <v>5453</v>
      </c>
      <c r="J108" s="30" t="s">
        <v>809</v>
      </c>
      <c r="K108" s="186" t="n">
        <f aca="false">Spec_Rack!G23*0.7</f>
        <v>49</v>
      </c>
      <c r="L108" s="186" t="n">
        <f aca="false">Spec_Rack!G23*1.3</f>
        <v>91</v>
      </c>
      <c r="M108" s="30" t="s">
        <v>5454</v>
      </c>
      <c r="N108" s="6" t="s">
        <v>5455</v>
      </c>
      <c r="O108" s="6" t="s">
        <v>5456</v>
      </c>
      <c r="P108" s="253" t="s">
        <v>1434</v>
      </c>
      <c r="Q108" s="46" t="n">
        <f aca="false">Spec_Rack!G23</f>
        <v>70</v>
      </c>
      <c r="R108" s="186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5239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5457</v>
      </c>
      <c r="B109" s="253" t="s">
        <v>5234</v>
      </c>
      <c r="C109" s="30" t="s">
        <v>3171</v>
      </c>
      <c r="D109" s="30" t="s">
        <v>3224</v>
      </c>
      <c r="E109" s="20" t="s">
        <v>5458</v>
      </c>
      <c r="F109" s="30" t="s">
        <v>5299</v>
      </c>
      <c r="G109" s="253" t="s">
        <v>5235</v>
      </c>
      <c r="H109" s="30" t="s">
        <v>809</v>
      </c>
      <c r="I109" s="6" t="s">
        <v>809</v>
      </c>
      <c r="J109" s="30" t="s">
        <v>5459</v>
      </c>
      <c r="K109" s="253"/>
      <c r="L109" s="253"/>
      <c r="M109" s="30" t="s">
        <v>809</v>
      </c>
      <c r="N109" s="6" t="s">
        <v>5460</v>
      </c>
      <c r="O109" s="6" t="s">
        <v>809</v>
      </c>
      <c r="P109" s="253" t="s">
        <v>1434</v>
      </c>
      <c r="Q109" s="46" t="n">
        <f aca="false">Spec_Rack!C24</f>
        <v>1.979</v>
      </c>
      <c r="R109" s="30" t="s">
        <v>809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5303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5461</v>
      </c>
      <c r="B110" s="253" t="s">
        <v>5234</v>
      </c>
      <c r="C110" s="30" t="s">
        <v>3171</v>
      </c>
      <c r="D110" s="30" t="s">
        <v>3225</v>
      </c>
      <c r="E110" s="20" t="s">
        <v>5458</v>
      </c>
      <c r="F110" s="253" t="s">
        <v>373</v>
      </c>
      <c r="G110" s="253" t="s">
        <v>5235</v>
      </c>
      <c r="H110" s="30" t="s">
        <v>5446</v>
      </c>
      <c r="I110" s="20" t="s">
        <v>5265</v>
      </c>
      <c r="J110" s="30" t="s">
        <v>809</v>
      </c>
      <c r="K110" s="253"/>
      <c r="L110" s="253"/>
      <c r="M110" s="30" t="s">
        <v>809</v>
      </c>
      <c r="N110" s="20" t="s">
        <v>5328</v>
      </c>
      <c r="O110" s="6" t="s">
        <v>809</v>
      </c>
      <c r="P110" s="253" t="s">
        <v>1434</v>
      </c>
      <c r="Q110" s="46" t="n">
        <f aca="false">Spec_Rack!D24</f>
        <v>10</v>
      </c>
      <c r="R110" s="186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5267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5462</v>
      </c>
      <c r="B111" s="253" t="s">
        <v>5234</v>
      </c>
      <c r="C111" s="30" t="s">
        <v>3171</v>
      </c>
      <c r="D111" s="30" t="s">
        <v>3143</v>
      </c>
      <c r="E111" s="20" t="s">
        <v>5458</v>
      </c>
      <c r="F111" s="253" t="s">
        <v>373</v>
      </c>
      <c r="G111" s="253" t="s">
        <v>5235</v>
      </c>
      <c r="H111" s="30" t="s">
        <v>5448</v>
      </c>
      <c r="I111" s="20" t="s">
        <v>5265</v>
      </c>
      <c r="J111" s="30" t="s">
        <v>809</v>
      </c>
      <c r="K111" s="253"/>
      <c r="L111" s="253"/>
      <c r="M111" s="30" t="s">
        <v>809</v>
      </c>
      <c r="N111" s="20" t="s">
        <v>5328</v>
      </c>
      <c r="O111" s="6" t="s">
        <v>809</v>
      </c>
      <c r="P111" s="253" t="s">
        <v>1434</v>
      </c>
      <c r="Q111" s="46" t="n">
        <f aca="false">Spec_Rack!E24</f>
        <v>15</v>
      </c>
      <c r="R111" s="186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5267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5463</v>
      </c>
      <c r="B112" s="253" t="s">
        <v>5234</v>
      </c>
      <c r="C112" s="30" t="s">
        <v>3171</v>
      </c>
      <c r="D112" s="30" t="s">
        <v>5464</v>
      </c>
      <c r="E112" s="20" t="s">
        <v>5458</v>
      </c>
      <c r="F112" s="253" t="s">
        <v>373</v>
      </c>
      <c r="G112" s="253" t="s">
        <v>5235</v>
      </c>
      <c r="H112" s="30" t="s">
        <v>5465</v>
      </c>
      <c r="I112" s="20" t="s">
        <v>5265</v>
      </c>
      <c r="J112" s="30" t="s">
        <v>809</v>
      </c>
      <c r="K112" s="253"/>
      <c r="L112" s="253"/>
      <c r="M112" s="30" t="s">
        <v>809</v>
      </c>
      <c r="N112" s="20" t="s">
        <v>5328</v>
      </c>
      <c r="O112" s="6" t="s">
        <v>809</v>
      </c>
      <c r="P112" s="253" t="s">
        <v>1434</v>
      </c>
      <c r="Q112" s="46" t="n">
        <f aca="false">Spec_Rack!F24</f>
        <v>50</v>
      </c>
      <c r="R112" s="186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5267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5466</v>
      </c>
      <c r="B113" s="253" t="s">
        <v>5234</v>
      </c>
      <c r="C113" s="30" t="s">
        <v>3171</v>
      </c>
      <c r="D113" s="30" t="s">
        <v>3187</v>
      </c>
      <c r="E113" s="20" t="s">
        <v>5458</v>
      </c>
      <c r="F113" s="253" t="s">
        <v>176</v>
      </c>
      <c r="G113" s="253" t="s">
        <v>5235</v>
      </c>
      <c r="H113" s="30" t="s">
        <v>5452</v>
      </c>
      <c r="I113" s="20" t="s">
        <v>5467</v>
      </c>
      <c r="J113" s="30" t="s">
        <v>809</v>
      </c>
      <c r="K113" s="253"/>
      <c r="L113" s="253"/>
      <c r="M113" s="30" t="s">
        <v>809</v>
      </c>
      <c r="N113" s="20" t="s">
        <v>5468</v>
      </c>
      <c r="O113" s="20" t="s">
        <v>5469</v>
      </c>
      <c r="P113" s="253" t="s">
        <v>1434</v>
      </c>
      <c r="Q113" s="46" t="n">
        <f aca="false">Spec_Rack!G24</f>
        <v>100</v>
      </c>
      <c r="R113" s="186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5239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5470</v>
      </c>
      <c r="B114" s="253" t="s">
        <v>5234</v>
      </c>
      <c r="C114" s="30" t="s">
        <v>3171</v>
      </c>
      <c r="D114" s="30" t="s">
        <v>3355</v>
      </c>
      <c r="E114" s="6" t="s">
        <v>254</v>
      </c>
      <c r="F114" s="253" t="s">
        <v>373</v>
      </c>
      <c r="G114" s="253" t="s">
        <v>5235</v>
      </c>
      <c r="H114" s="30" t="s">
        <v>5471</v>
      </c>
      <c r="I114" s="20" t="s">
        <v>5265</v>
      </c>
      <c r="J114" s="30" t="s">
        <v>809</v>
      </c>
      <c r="K114" s="253"/>
      <c r="L114" s="253"/>
      <c r="M114" s="30" t="s">
        <v>809</v>
      </c>
      <c r="N114" s="20" t="s">
        <v>5399</v>
      </c>
      <c r="O114" s="6" t="s">
        <v>809</v>
      </c>
      <c r="P114" s="253" t="s">
        <v>5281</v>
      </c>
      <c r="Q114" s="49" t="n">
        <f aca="false">Spec_Rack!C25</f>
        <v>80</v>
      </c>
      <c r="R114" s="186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5267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5472</v>
      </c>
      <c r="B115" s="253" t="s">
        <v>5234</v>
      </c>
      <c r="C115" s="30" t="s">
        <v>3171</v>
      </c>
      <c r="D115" s="30" t="s">
        <v>3188</v>
      </c>
      <c r="E115" s="6" t="s">
        <v>254</v>
      </c>
      <c r="F115" s="253" t="s">
        <v>5367</v>
      </c>
      <c r="G115" s="253" t="s">
        <v>5235</v>
      </c>
      <c r="H115" s="30" t="s">
        <v>5473</v>
      </c>
      <c r="I115" s="20" t="s">
        <v>5474</v>
      </c>
      <c r="J115" s="30" t="s">
        <v>809</v>
      </c>
      <c r="K115" s="253"/>
      <c r="L115" s="253"/>
      <c r="M115" s="30" t="s">
        <v>809</v>
      </c>
      <c r="N115" s="20" t="s">
        <v>5475</v>
      </c>
      <c r="O115" s="6" t="s">
        <v>809</v>
      </c>
      <c r="P115" s="253" t="s">
        <v>5281</v>
      </c>
      <c r="Q115" s="49" t="n">
        <f aca="false">Spec_Rack!D25</f>
        <v>186</v>
      </c>
      <c r="R115" s="186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5239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5476</v>
      </c>
      <c r="B116" s="253" t="s">
        <v>5234</v>
      </c>
      <c r="C116" s="30" t="s">
        <v>3171</v>
      </c>
      <c r="D116" s="30" t="s">
        <v>3144</v>
      </c>
      <c r="E116" s="6" t="s">
        <v>254</v>
      </c>
      <c r="F116" s="253" t="s">
        <v>373</v>
      </c>
      <c r="G116" s="253" t="s">
        <v>5235</v>
      </c>
      <c r="H116" s="30" t="s">
        <v>5477</v>
      </c>
      <c r="I116" s="20" t="s">
        <v>5265</v>
      </c>
      <c r="J116" s="30" t="s">
        <v>809</v>
      </c>
      <c r="K116" s="253"/>
      <c r="L116" s="253"/>
      <c r="M116" s="30" t="s">
        <v>809</v>
      </c>
      <c r="N116" s="20" t="s">
        <v>5399</v>
      </c>
      <c r="O116" s="6" t="s">
        <v>809</v>
      </c>
      <c r="P116" s="253" t="s">
        <v>5281</v>
      </c>
      <c r="Q116" s="49" t="n">
        <f aca="false">Spec_Rack!E25</f>
        <v>288</v>
      </c>
      <c r="R116" s="186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5267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5478</v>
      </c>
      <c r="B117" s="253" t="s">
        <v>5234</v>
      </c>
      <c r="C117" s="30" t="s">
        <v>3171</v>
      </c>
      <c r="D117" s="30" t="s">
        <v>5479</v>
      </c>
      <c r="E117" s="6" t="s">
        <v>254</v>
      </c>
      <c r="F117" s="253" t="s">
        <v>373</v>
      </c>
      <c r="G117" s="253" t="s">
        <v>5235</v>
      </c>
      <c r="H117" s="30" t="s">
        <v>5480</v>
      </c>
      <c r="I117" s="20" t="s">
        <v>5265</v>
      </c>
      <c r="J117" s="30" t="s">
        <v>809</v>
      </c>
      <c r="K117" s="253"/>
      <c r="L117" s="253"/>
      <c r="M117" s="30" t="s">
        <v>809</v>
      </c>
      <c r="N117" s="20" t="s">
        <v>5399</v>
      </c>
      <c r="O117" s="6" t="s">
        <v>809</v>
      </c>
      <c r="P117" s="253" t="s">
        <v>5281</v>
      </c>
      <c r="Q117" s="49" t="n">
        <f aca="false">Spec_Rack!F25</f>
        <v>288</v>
      </c>
      <c r="R117" s="186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5267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5481</v>
      </c>
      <c r="B118" s="253" t="s">
        <v>5234</v>
      </c>
      <c r="C118" s="30" t="s">
        <v>3171</v>
      </c>
      <c r="D118" s="30" t="s">
        <v>3189</v>
      </c>
      <c r="E118" s="6" t="s">
        <v>254</v>
      </c>
      <c r="F118" s="30" t="s">
        <v>128</v>
      </c>
      <c r="G118" s="253" t="s">
        <v>111</v>
      </c>
      <c r="H118" s="30" t="s">
        <v>809</v>
      </c>
      <c r="I118" s="6" t="s">
        <v>809</v>
      </c>
      <c r="J118" s="30" t="s">
        <v>5364</v>
      </c>
      <c r="K118" s="186" t="n">
        <f aca="false">Spec_Rack!G25*0.7</f>
        <v>716.8</v>
      </c>
      <c r="L118" s="186" t="n">
        <f aca="false">Spec_Rack!G25*1.3</f>
        <v>1331.2</v>
      </c>
      <c r="M118" s="30" t="s">
        <v>5454</v>
      </c>
      <c r="N118" s="6" t="s">
        <v>5482</v>
      </c>
      <c r="O118" s="6" t="s">
        <v>809</v>
      </c>
      <c r="P118" s="253" t="s">
        <v>5281</v>
      </c>
      <c r="Q118" s="49" t="n">
        <f aca="false">Spec_Rack!G25</f>
        <v>1024</v>
      </c>
      <c r="R118" s="30" t="s">
        <v>809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5239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5483</v>
      </c>
      <c r="B119" s="253" t="s">
        <v>5234</v>
      </c>
      <c r="C119" s="30" t="s">
        <v>3171</v>
      </c>
      <c r="D119" s="30" t="s">
        <v>3356</v>
      </c>
      <c r="E119" s="6" t="s">
        <v>256</v>
      </c>
      <c r="F119" s="253" t="s">
        <v>373</v>
      </c>
      <c r="G119" s="253" t="s">
        <v>5235</v>
      </c>
      <c r="H119" s="30" t="s">
        <v>5484</v>
      </c>
      <c r="I119" s="20" t="s">
        <v>5265</v>
      </c>
      <c r="J119" s="30" t="s">
        <v>809</v>
      </c>
      <c r="K119" s="253"/>
      <c r="L119" s="253"/>
      <c r="M119" s="30" t="s">
        <v>809</v>
      </c>
      <c r="N119" s="20" t="s">
        <v>5399</v>
      </c>
      <c r="O119" s="6" t="s">
        <v>809</v>
      </c>
      <c r="P119" s="253" t="s">
        <v>5281</v>
      </c>
      <c r="Q119" s="51" t="n">
        <f aca="false">Spec_Rack!C26</f>
        <v>3.35</v>
      </c>
      <c r="R119" s="186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5267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5485</v>
      </c>
      <c r="B120" s="253" t="s">
        <v>5234</v>
      </c>
      <c r="C120" s="30" t="s">
        <v>3171</v>
      </c>
      <c r="D120" s="30" t="s">
        <v>5486</v>
      </c>
      <c r="E120" s="6" t="s">
        <v>256</v>
      </c>
      <c r="F120" s="253" t="s">
        <v>373</v>
      </c>
      <c r="G120" s="253" t="s">
        <v>5235</v>
      </c>
      <c r="H120" s="30" t="s">
        <v>5487</v>
      </c>
      <c r="I120" s="20" t="s">
        <v>5265</v>
      </c>
      <c r="J120" s="30" t="s">
        <v>809</v>
      </c>
      <c r="K120" s="253"/>
      <c r="L120" s="253"/>
      <c r="M120" s="30" t="s">
        <v>809</v>
      </c>
      <c r="N120" s="20" t="s">
        <v>5399</v>
      </c>
      <c r="O120" s="6" t="s">
        <v>809</v>
      </c>
      <c r="P120" s="253" t="s">
        <v>5281</v>
      </c>
      <c r="Q120" s="51" t="n">
        <f aca="false">Spec_Rack!D26</f>
        <v>8</v>
      </c>
      <c r="R120" s="186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5267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5488</v>
      </c>
      <c r="B121" s="253" t="s">
        <v>5234</v>
      </c>
      <c r="C121" s="30" t="s">
        <v>3171</v>
      </c>
      <c r="D121" s="30" t="s">
        <v>3145</v>
      </c>
      <c r="E121" s="6" t="s">
        <v>256</v>
      </c>
      <c r="F121" s="253" t="s">
        <v>373</v>
      </c>
      <c r="G121" s="253" t="s">
        <v>5235</v>
      </c>
      <c r="H121" s="30" t="s">
        <v>5489</v>
      </c>
      <c r="I121" s="20" t="s">
        <v>5265</v>
      </c>
      <c r="J121" s="30" t="s">
        <v>809</v>
      </c>
      <c r="K121" s="253"/>
      <c r="L121" s="253"/>
      <c r="M121" s="30" t="s">
        <v>809</v>
      </c>
      <c r="N121" s="20" t="s">
        <v>5399</v>
      </c>
      <c r="O121" s="6" t="s">
        <v>809</v>
      </c>
      <c r="P121" s="253" t="s">
        <v>5281</v>
      </c>
      <c r="Q121" s="51" t="n">
        <f aca="false">Spec_Rack!E26</f>
        <v>8</v>
      </c>
      <c r="R121" s="186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5267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5490</v>
      </c>
      <c r="B122" s="253" t="s">
        <v>5234</v>
      </c>
      <c r="C122" s="30" t="s">
        <v>3171</v>
      </c>
      <c r="D122" s="30" t="s">
        <v>5491</v>
      </c>
      <c r="E122" s="6" t="s">
        <v>256</v>
      </c>
      <c r="F122" s="253" t="s">
        <v>373</v>
      </c>
      <c r="G122" s="253" t="s">
        <v>5235</v>
      </c>
      <c r="H122" s="30" t="s">
        <v>5492</v>
      </c>
      <c r="I122" s="20" t="s">
        <v>5265</v>
      </c>
      <c r="J122" s="30" t="s">
        <v>809</v>
      </c>
      <c r="K122" s="253"/>
      <c r="L122" s="253"/>
      <c r="M122" s="30" t="s">
        <v>809</v>
      </c>
      <c r="N122" s="20" t="s">
        <v>5399</v>
      </c>
      <c r="O122" s="6" t="s">
        <v>809</v>
      </c>
      <c r="P122" s="253" t="s">
        <v>5281</v>
      </c>
      <c r="Q122" s="51" t="n">
        <f aca="false">Spec_Rack!F26</f>
        <v>22</v>
      </c>
      <c r="R122" s="186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5267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5493</v>
      </c>
      <c r="B123" s="253" t="s">
        <v>5234</v>
      </c>
      <c r="C123" s="30" t="s">
        <v>3171</v>
      </c>
      <c r="D123" s="30" t="s">
        <v>3190</v>
      </c>
      <c r="E123" s="6" t="s">
        <v>256</v>
      </c>
      <c r="F123" s="253" t="s">
        <v>5367</v>
      </c>
      <c r="G123" s="253" t="s">
        <v>5235</v>
      </c>
      <c r="H123" s="30" t="s">
        <v>5494</v>
      </c>
      <c r="I123" s="20" t="s">
        <v>5495</v>
      </c>
      <c r="J123" s="30" t="s">
        <v>809</v>
      </c>
      <c r="K123" s="253"/>
      <c r="L123" s="253"/>
      <c r="M123" s="30" t="s">
        <v>809</v>
      </c>
      <c r="N123" s="20" t="s">
        <v>5496</v>
      </c>
      <c r="O123" s="6" t="s">
        <v>809</v>
      </c>
      <c r="P123" s="253" t="s">
        <v>5281</v>
      </c>
      <c r="Q123" s="51" t="n">
        <f aca="false">Spec_Rack!G26</f>
        <v>32</v>
      </c>
      <c r="R123" s="186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5239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5497</v>
      </c>
      <c r="B124" s="253" t="s">
        <v>5234</v>
      </c>
      <c r="C124" s="30" t="s">
        <v>3171</v>
      </c>
      <c r="D124" s="30" t="s">
        <v>3321</v>
      </c>
      <c r="E124" s="6" t="s">
        <v>258</v>
      </c>
      <c r="F124" s="253" t="s">
        <v>373</v>
      </c>
      <c r="G124" s="253" t="s">
        <v>5235</v>
      </c>
      <c r="H124" s="30" t="s">
        <v>5498</v>
      </c>
      <c r="I124" s="20" t="s">
        <v>5499</v>
      </c>
      <c r="J124" s="30" t="s">
        <v>809</v>
      </c>
      <c r="K124" s="253"/>
      <c r="L124" s="253"/>
      <c r="M124" s="30" t="s">
        <v>809</v>
      </c>
      <c r="N124" s="20" t="s">
        <v>5328</v>
      </c>
      <c r="O124" s="6" t="s">
        <v>809</v>
      </c>
      <c r="P124" s="253" t="s">
        <v>5238</v>
      </c>
      <c r="Q124" s="51" t="n">
        <f aca="false">Spec_Rack!C27</f>
        <v>0.05</v>
      </c>
      <c r="R124" s="186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5267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5500</v>
      </c>
      <c r="B125" s="253" t="s">
        <v>5234</v>
      </c>
      <c r="C125" s="30" t="s">
        <v>3171</v>
      </c>
      <c r="D125" s="30" t="s">
        <v>3322</v>
      </c>
      <c r="E125" s="6" t="s">
        <v>258</v>
      </c>
      <c r="F125" s="253" t="s">
        <v>373</v>
      </c>
      <c r="G125" s="253" t="s">
        <v>5235</v>
      </c>
      <c r="H125" s="30" t="s">
        <v>5501</v>
      </c>
      <c r="I125" s="20" t="s">
        <v>5265</v>
      </c>
      <c r="J125" s="30" t="s">
        <v>809</v>
      </c>
      <c r="K125" s="253"/>
      <c r="L125" s="253"/>
      <c r="M125" s="30" t="s">
        <v>809</v>
      </c>
      <c r="N125" s="20" t="s">
        <v>5328</v>
      </c>
      <c r="O125" s="6" t="s">
        <v>809</v>
      </c>
      <c r="P125" s="253" t="s">
        <v>5238</v>
      </c>
      <c r="Q125" s="51" t="n">
        <f aca="false">Spec_Rack!D27</f>
        <v>0.9</v>
      </c>
      <c r="R125" s="186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5267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5502</v>
      </c>
      <c r="B126" s="253" t="s">
        <v>5234</v>
      </c>
      <c r="C126" s="30" t="s">
        <v>3171</v>
      </c>
      <c r="D126" s="30" t="s">
        <v>3146</v>
      </c>
      <c r="E126" s="6" t="s">
        <v>258</v>
      </c>
      <c r="F126" s="253" t="s">
        <v>373</v>
      </c>
      <c r="G126" s="253" t="s">
        <v>5235</v>
      </c>
      <c r="H126" s="30" t="s">
        <v>5501</v>
      </c>
      <c r="I126" s="20" t="s">
        <v>5265</v>
      </c>
      <c r="J126" s="30" t="s">
        <v>809</v>
      </c>
      <c r="K126" s="253"/>
      <c r="L126" s="253"/>
      <c r="M126" s="30" t="s">
        <v>809</v>
      </c>
      <c r="N126" s="20" t="s">
        <v>5328</v>
      </c>
      <c r="O126" s="6" t="s">
        <v>809</v>
      </c>
      <c r="P126" s="253" t="s">
        <v>5238</v>
      </c>
      <c r="Q126" s="51" t="n">
        <f aca="false">Spec_Rack!E27</f>
        <v>0.9</v>
      </c>
      <c r="R126" s="186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5267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5503</v>
      </c>
      <c r="B127" s="253" t="s">
        <v>5234</v>
      </c>
      <c r="C127" s="30" t="s">
        <v>3171</v>
      </c>
      <c r="D127" s="30" t="s">
        <v>5504</v>
      </c>
      <c r="E127" s="6" t="s">
        <v>258</v>
      </c>
      <c r="F127" s="253" t="s">
        <v>373</v>
      </c>
      <c r="G127" s="253" t="s">
        <v>5235</v>
      </c>
      <c r="H127" s="30" t="s">
        <v>5505</v>
      </c>
      <c r="I127" s="20" t="s">
        <v>5265</v>
      </c>
      <c r="J127" s="30" t="s">
        <v>809</v>
      </c>
      <c r="K127" s="253"/>
      <c r="L127" s="253"/>
      <c r="M127" s="30" t="s">
        <v>809</v>
      </c>
      <c r="N127" s="20" t="s">
        <v>5328</v>
      </c>
      <c r="O127" s="6" t="s">
        <v>809</v>
      </c>
      <c r="P127" s="253" t="s">
        <v>5238</v>
      </c>
      <c r="Q127" s="51" t="n">
        <f aca="false">Spec_Rack!F27</f>
        <v>1.8</v>
      </c>
      <c r="R127" s="186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5267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5506</v>
      </c>
      <c r="B128" s="253" t="s">
        <v>5234</v>
      </c>
      <c r="C128" s="30" t="s">
        <v>3171</v>
      </c>
      <c r="D128" s="30" t="s">
        <v>3191</v>
      </c>
      <c r="E128" s="6" t="s">
        <v>258</v>
      </c>
      <c r="F128" s="30" t="s">
        <v>128</v>
      </c>
      <c r="G128" s="253" t="s">
        <v>5235</v>
      </c>
      <c r="H128" s="30" t="s">
        <v>809</v>
      </c>
      <c r="I128" s="6" t="s">
        <v>809</v>
      </c>
      <c r="J128" s="30" t="s">
        <v>5364</v>
      </c>
      <c r="K128" s="255" t="n">
        <v>1.8</v>
      </c>
      <c r="L128" s="255" t="n">
        <v>3.6</v>
      </c>
      <c r="M128" s="30" t="s">
        <v>5507</v>
      </c>
      <c r="N128" s="6" t="s">
        <v>5508</v>
      </c>
      <c r="O128" s="6" t="s">
        <v>809</v>
      </c>
      <c r="P128" s="253" t="s">
        <v>5238</v>
      </c>
      <c r="Q128" s="51" t="n">
        <f aca="false">Spec_Rack!G27</f>
        <v>1.8</v>
      </c>
      <c r="R128" s="30" t="s">
        <v>809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5239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5509</v>
      </c>
      <c r="B129" s="253" t="s">
        <v>5234</v>
      </c>
      <c r="C129" s="30" t="s">
        <v>3171</v>
      </c>
      <c r="D129" s="30" t="s">
        <v>3226</v>
      </c>
      <c r="E129" s="6" t="s">
        <v>260</v>
      </c>
      <c r="F129" s="253" t="s">
        <v>373</v>
      </c>
      <c r="G129" s="253" t="s">
        <v>5235</v>
      </c>
      <c r="H129" s="30" t="s">
        <v>5510</v>
      </c>
      <c r="I129" s="20" t="s">
        <v>5265</v>
      </c>
      <c r="J129" s="30" t="s">
        <v>809</v>
      </c>
      <c r="K129" s="253"/>
      <c r="L129" s="253"/>
      <c r="M129" s="30" t="s">
        <v>809</v>
      </c>
      <c r="N129" s="20" t="s">
        <v>5328</v>
      </c>
      <c r="O129" s="6" t="s">
        <v>809</v>
      </c>
      <c r="P129" s="253" t="s">
        <v>1434</v>
      </c>
      <c r="Q129" s="49" t="n">
        <f aca="false">Spec_Rack!C28</f>
        <v>8</v>
      </c>
      <c r="R129" s="186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5267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5511</v>
      </c>
      <c r="B130" s="253" t="s">
        <v>5234</v>
      </c>
      <c r="C130" s="30" t="s">
        <v>3171</v>
      </c>
      <c r="D130" s="30" t="s">
        <v>3147</v>
      </c>
      <c r="E130" s="6" t="s">
        <v>260</v>
      </c>
      <c r="F130" s="253" t="s">
        <v>373</v>
      </c>
      <c r="G130" s="253" t="s">
        <v>5235</v>
      </c>
      <c r="H130" s="30" t="s">
        <v>5350</v>
      </c>
      <c r="I130" s="20" t="s">
        <v>5265</v>
      </c>
      <c r="J130" s="30" t="s">
        <v>809</v>
      </c>
      <c r="K130" s="253"/>
      <c r="L130" s="253"/>
      <c r="M130" s="30" t="s">
        <v>809</v>
      </c>
      <c r="N130" s="20" t="s">
        <v>5328</v>
      </c>
      <c r="O130" s="6" t="s">
        <v>809</v>
      </c>
      <c r="P130" s="253" t="s">
        <v>1434</v>
      </c>
      <c r="Q130" s="49" t="n">
        <f aca="false">Spec_Rack!D28</f>
        <v>72</v>
      </c>
      <c r="R130" s="186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5267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5512</v>
      </c>
      <c r="B131" s="253" t="s">
        <v>5234</v>
      </c>
      <c r="C131" s="30" t="s">
        <v>3171</v>
      </c>
      <c r="D131" s="30" t="s">
        <v>3148</v>
      </c>
      <c r="E131" s="6" t="s">
        <v>260</v>
      </c>
      <c r="F131" s="253" t="s">
        <v>373</v>
      </c>
      <c r="G131" s="253" t="s">
        <v>5235</v>
      </c>
      <c r="H131" s="30" t="s">
        <v>5350</v>
      </c>
      <c r="I131" s="20" t="s">
        <v>5265</v>
      </c>
      <c r="J131" s="30" t="s">
        <v>809</v>
      </c>
      <c r="K131" s="253"/>
      <c r="L131" s="253"/>
      <c r="M131" s="30" t="s">
        <v>809</v>
      </c>
      <c r="N131" s="20" t="s">
        <v>5328</v>
      </c>
      <c r="O131" s="6" t="s">
        <v>809</v>
      </c>
      <c r="P131" s="253" t="s">
        <v>1434</v>
      </c>
      <c r="Q131" s="49" t="n">
        <f aca="false">Spec_Rack!E28</f>
        <v>72</v>
      </c>
      <c r="R131" s="186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5267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5513</v>
      </c>
      <c r="B132" s="253" t="s">
        <v>5234</v>
      </c>
      <c r="C132" s="30" t="s">
        <v>3171</v>
      </c>
      <c r="D132" s="30" t="s">
        <v>3149</v>
      </c>
      <c r="E132" s="6" t="s">
        <v>260</v>
      </c>
      <c r="F132" s="253" t="s">
        <v>373</v>
      </c>
      <c r="G132" s="253" t="s">
        <v>5235</v>
      </c>
      <c r="H132" s="30" t="s">
        <v>5350</v>
      </c>
      <c r="I132" s="20" t="s">
        <v>5265</v>
      </c>
      <c r="J132" s="30" t="s">
        <v>809</v>
      </c>
      <c r="K132" s="253"/>
      <c r="L132" s="253"/>
      <c r="M132" s="30" t="s">
        <v>809</v>
      </c>
      <c r="N132" s="20" t="s">
        <v>5328</v>
      </c>
      <c r="O132" s="6" t="s">
        <v>809</v>
      </c>
      <c r="P132" s="253" t="s">
        <v>1434</v>
      </c>
      <c r="Q132" s="49" t="n">
        <f aca="false">Spec_Rack!F28</f>
        <v>72</v>
      </c>
      <c r="R132" s="186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5267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5514</v>
      </c>
      <c r="B133" s="253" t="s">
        <v>5234</v>
      </c>
      <c r="C133" s="30" t="s">
        <v>3171</v>
      </c>
      <c r="D133" s="30" t="s">
        <v>5515</v>
      </c>
      <c r="E133" s="6" t="s">
        <v>260</v>
      </c>
      <c r="F133" s="253" t="s">
        <v>373</v>
      </c>
      <c r="G133" s="253" t="s">
        <v>5235</v>
      </c>
      <c r="H133" s="30" t="s">
        <v>5516</v>
      </c>
      <c r="I133" s="20" t="s">
        <v>5265</v>
      </c>
      <c r="J133" s="30" t="s">
        <v>809</v>
      </c>
      <c r="K133" s="253" t="n">
        <v>72</v>
      </c>
      <c r="L133" s="253" t="n">
        <v>576</v>
      </c>
      <c r="M133" s="253" t="s">
        <v>5517</v>
      </c>
      <c r="N133" s="20" t="s">
        <v>5328</v>
      </c>
      <c r="O133" s="6" t="s">
        <v>809</v>
      </c>
      <c r="P133" s="253" t="s">
        <v>1434</v>
      </c>
      <c r="Q133" s="49" t="n">
        <f aca="false">Spec_Rack!G28</f>
        <v>576</v>
      </c>
      <c r="R133" s="186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5267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5518</v>
      </c>
      <c r="B134" s="253" t="s">
        <v>5234</v>
      </c>
      <c r="C134" s="30" t="s">
        <v>3171</v>
      </c>
      <c r="D134" s="30" t="s">
        <v>3192</v>
      </c>
      <c r="E134" s="6" t="s">
        <v>262</v>
      </c>
      <c r="F134" s="30" t="s">
        <v>133</v>
      </c>
      <c r="G134" s="253" t="s">
        <v>5235</v>
      </c>
      <c r="H134" s="30" t="s">
        <v>5519</v>
      </c>
      <c r="I134" s="20" t="s">
        <v>5520</v>
      </c>
      <c r="J134" s="30" t="s">
        <v>809</v>
      </c>
      <c r="K134" s="255" t="n">
        <v>32</v>
      </c>
      <c r="L134" s="255" t="n">
        <v>144</v>
      </c>
      <c r="M134" s="30" t="s">
        <v>5521</v>
      </c>
      <c r="N134" s="6" t="s">
        <v>5522</v>
      </c>
      <c r="O134" s="6" t="s">
        <v>809</v>
      </c>
      <c r="P134" s="253" t="s">
        <v>5281</v>
      </c>
      <c r="Q134" s="49" t="n">
        <f aca="false">Spec_Rack!C29</f>
        <v>64</v>
      </c>
      <c r="R134" s="186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5239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351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5523</v>
      </c>
      <c r="B135" s="253" t="s">
        <v>5234</v>
      </c>
      <c r="C135" s="30" t="s">
        <v>3171</v>
      </c>
      <c r="D135" s="30" t="s">
        <v>3193</v>
      </c>
      <c r="E135" s="6" t="s">
        <v>262</v>
      </c>
      <c r="F135" s="30" t="s">
        <v>133</v>
      </c>
      <c r="G135" s="253" t="s">
        <v>5235</v>
      </c>
      <c r="H135" s="30" t="s">
        <v>5524</v>
      </c>
      <c r="I135" s="20" t="s">
        <v>5525</v>
      </c>
      <c r="J135" s="30" t="s">
        <v>809</v>
      </c>
      <c r="K135" s="255" t="n">
        <v>16</v>
      </c>
      <c r="L135" s="255" t="n">
        <v>72</v>
      </c>
      <c r="M135" s="30" t="s">
        <v>5526</v>
      </c>
      <c r="N135" s="6" t="s">
        <v>5527</v>
      </c>
      <c r="O135" s="6" t="s">
        <v>809</v>
      </c>
      <c r="P135" s="253" t="s">
        <v>5281</v>
      </c>
      <c r="Q135" s="49" t="n">
        <f aca="false">Spec_Rack!D29</f>
        <v>32</v>
      </c>
      <c r="R135" s="186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5239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308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5528</v>
      </c>
      <c r="B136" s="253" t="s">
        <v>5234</v>
      </c>
      <c r="C136" s="30" t="s">
        <v>3171</v>
      </c>
      <c r="D136" s="30" t="s">
        <v>3323</v>
      </c>
      <c r="E136" s="6" t="s">
        <v>262</v>
      </c>
      <c r="F136" s="253" t="s">
        <v>373</v>
      </c>
      <c r="G136" s="253" t="s">
        <v>5235</v>
      </c>
      <c r="H136" s="30" t="s">
        <v>5524</v>
      </c>
      <c r="I136" s="20" t="s">
        <v>5265</v>
      </c>
      <c r="J136" s="30" t="s">
        <v>809</v>
      </c>
      <c r="K136" s="253"/>
      <c r="L136" s="253"/>
      <c r="M136" s="30" t="s">
        <v>809</v>
      </c>
      <c r="N136" s="20" t="s">
        <v>5399</v>
      </c>
      <c r="O136" s="6" t="s">
        <v>809</v>
      </c>
      <c r="P136" s="253" t="s">
        <v>5281</v>
      </c>
      <c r="Q136" s="49" t="n">
        <f aca="false">Spec_Rack!E29</f>
        <v>32</v>
      </c>
      <c r="R136" s="186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5267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308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5529</v>
      </c>
      <c r="B137" s="253" t="s">
        <v>5234</v>
      </c>
      <c r="C137" s="30" t="s">
        <v>3171</v>
      </c>
      <c r="D137" s="30" t="s">
        <v>3194</v>
      </c>
      <c r="E137" s="6" t="s">
        <v>262</v>
      </c>
      <c r="F137" s="30" t="s">
        <v>133</v>
      </c>
      <c r="G137" s="253" t="s">
        <v>5235</v>
      </c>
      <c r="H137" s="30" t="s">
        <v>5524</v>
      </c>
      <c r="I137" s="20" t="s">
        <v>5525</v>
      </c>
      <c r="J137" s="30" t="s">
        <v>809</v>
      </c>
      <c r="K137" s="255" t="n">
        <v>16</v>
      </c>
      <c r="L137" s="255" t="n">
        <v>72</v>
      </c>
      <c r="M137" s="30" t="s">
        <v>5526</v>
      </c>
      <c r="N137" s="6" t="s">
        <v>5527</v>
      </c>
      <c r="O137" s="6" t="s">
        <v>809</v>
      </c>
      <c r="P137" s="253" t="s">
        <v>5281</v>
      </c>
      <c r="Q137" s="49" t="n">
        <f aca="false">Spec_Rack!F29</f>
        <v>32</v>
      </c>
      <c r="R137" s="186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5239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308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5530</v>
      </c>
      <c r="B138" s="253" t="s">
        <v>5234</v>
      </c>
      <c r="C138" s="30" t="s">
        <v>3171</v>
      </c>
      <c r="D138" s="30" t="s">
        <v>3195</v>
      </c>
      <c r="E138" s="6" t="s">
        <v>262</v>
      </c>
      <c r="F138" s="30" t="s">
        <v>128</v>
      </c>
      <c r="G138" s="253" t="s">
        <v>5235</v>
      </c>
      <c r="H138" s="30" t="s">
        <v>809</v>
      </c>
      <c r="I138" s="6" t="s">
        <v>809</v>
      </c>
      <c r="J138" s="30" t="s">
        <v>5364</v>
      </c>
      <c r="K138" s="255" t="n">
        <v>32</v>
      </c>
      <c r="L138" s="255" t="n">
        <v>144</v>
      </c>
      <c r="M138" s="30" t="s">
        <v>5521</v>
      </c>
      <c r="N138" s="6" t="s">
        <v>5482</v>
      </c>
      <c r="O138" s="6" t="s">
        <v>809</v>
      </c>
      <c r="P138" s="253" t="s">
        <v>5281</v>
      </c>
      <c r="Q138" s="49" t="n">
        <f aca="false">Spec_Rack!G29</f>
        <v>64</v>
      </c>
      <c r="R138" s="30" t="s">
        <v>809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5239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5531</v>
      </c>
      <c r="B139" s="253" t="s">
        <v>5234</v>
      </c>
      <c r="C139" s="30" t="s">
        <v>3171</v>
      </c>
      <c r="D139" s="30" t="s">
        <v>3324</v>
      </c>
      <c r="E139" s="20" t="s">
        <v>5532</v>
      </c>
      <c r="F139" s="253" t="s">
        <v>373</v>
      </c>
      <c r="G139" s="253" t="s">
        <v>5235</v>
      </c>
      <c r="H139" s="30" t="s">
        <v>5533</v>
      </c>
      <c r="I139" s="20" t="s">
        <v>5265</v>
      </c>
      <c r="J139" s="30" t="s">
        <v>809</v>
      </c>
      <c r="K139" s="253"/>
      <c r="L139" s="253"/>
      <c r="M139" s="30" t="s">
        <v>809</v>
      </c>
      <c r="N139" s="20" t="s">
        <v>5399</v>
      </c>
      <c r="O139" s="6" t="s">
        <v>809</v>
      </c>
      <c r="P139" s="253" t="s">
        <v>5281</v>
      </c>
      <c r="Q139" s="53" t="n">
        <f aca="false">Spec_Rack!C30</f>
        <v>1</v>
      </c>
      <c r="R139" s="186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5267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5534</v>
      </c>
      <c r="B140" s="253" t="s">
        <v>5234</v>
      </c>
      <c r="C140" s="30" t="s">
        <v>3171</v>
      </c>
      <c r="D140" s="30" t="s">
        <v>3325</v>
      </c>
      <c r="E140" s="20" t="s">
        <v>5532</v>
      </c>
      <c r="F140" s="253" t="s">
        <v>373</v>
      </c>
      <c r="G140" s="253" t="s">
        <v>5235</v>
      </c>
      <c r="H140" s="30" t="s">
        <v>5535</v>
      </c>
      <c r="I140" s="20" t="s">
        <v>5265</v>
      </c>
      <c r="J140" s="30" t="s">
        <v>809</v>
      </c>
      <c r="K140" s="253"/>
      <c r="L140" s="253"/>
      <c r="M140" s="30" t="s">
        <v>809</v>
      </c>
      <c r="N140" s="20" t="s">
        <v>5399</v>
      </c>
      <c r="O140" s="6" t="s">
        <v>809</v>
      </c>
      <c r="P140" s="253" t="s">
        <v>5281</v>
      </c>
      <c r="Q140" s="53" t="n">
        <f aca="false">Spec_Rack!D30</f>
        <v>0.5625</v>
      </c>
      <c r="R140" s="186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5267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5536</v>
      </c>
      <c r="B141" s="253" t="s">
        <v>5234</v>
      </c>
      <c r="C141" s="30" t="s">
        <v>3171</v>
      </c>
      <c r="D141" s="30" t="s">
        <v>3326</v>
      </c>
      <c r="E141" s="20" t="s">
        <v>5532</v>
      </c>
      <c r="F141" s="253" t="s">
        <v>373</v>
      </c>
      <c r="G141" s="253" t="s">
        <v>5235</v>
      </c>
      <c r="H141" s="30" t="s">
        <v>5535</v>
      </c>
      <c r="I141" s="20" t="s">
        <v>5265</v>
      </c>
      <c r="J141" s="30" t="s">
        <v>809</v>
      </c>
      <c r="K141" s="253"/>
      <c r="L141" s="253"/>
      <c r="M141" s="30" t="s">
        <v>809</v>
      </c>
      <c r="N141" s="20" t="s">
        <v>5399</v>
      </c>
      <c r="O141" s="6" t="s">
        <v>809</v>
      </c>
      <c r="P141" s="253" t="s">
        <v>5281</v>
      </c>
      <c r="Q141" s="53" t="n">
        <f aca="false">Spec_Rack!E30</f>
        <v>0.5625</v>
      </c>
      <c r="R141" s="186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5267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5537</v>
      </c>
      <c r="B142" s="253" t="s">
        <v>5234</v>
      </c>
      <c r="C142" s="30" t="s">
        <v>3171</v>
      </c>
      <c r="D142" s="30" t="s">
        <v>5307</v>
      </c>
      <c r="E142" s="20" t="s">
        <v>5532</v>
      </c>
      <c r="F142" s="253" t="s">
        <v>373</v>
      </c>
      <c r="G142" s="253" t="s">
        <v>5235</v>
      </c>
      <c r="H142" s="30" t="s">
        <v>5535</v>
      </c>
      <c r="I142" s="20" t="s">
        <v>5265</v>
      </c>
      <c r="J142" s="30" t="s">
        <v>809</v>
      </c>
      <c r="K142" s="253"/>
      <c r="L142" s="253"/>
      <c r="M142" s="30" t="s">
        <v>809</v>
      </c>
      <c r="N142" s="20" t="s">
        <v>5399</v>
      </c>
      <c r="O142" s="6" t="s">
        <v>809</v>
      </c>
      <c r="P142" s="253" t="s">
        <v>5281</v>
      </c>
      <c r="Q142" s="53" t="n">
        <f aca="false">Spec_Rack!F30</f>
        <v>0.5625</v>
      </c>
      <c r="R142" s="186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5267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5538</v>
      </c>
      <c r="B143" s="253" t="s">
        <v>5234</v>
      </c>
      <c r="C143" s="30" t="s">
        <v>3171</v>
      </c>
      <c r="D143" s="30" t="s">
        <v>5539</v>
      </c>
      <c r="E143" s="20" t="s">
        <v>5532</v>
      </c>
      <c r="F143" s="253" t="s">
        <v>373</v>
      </c>
      <c r="G143" s="253" t="s">
        <v>5235</v>
      </c>
      <c r="H143" s="30" t="s">
        <v>5535</v>
      </c>
      <c r="I143" s="20" t="s">
        <v>5265</v>
      </c>
      <c r="J143" s="30" t="s">
        <v>809</v>
      </c>
      <c r="K143" s="253"/>
      <c r="L143" s="253"/>
      <c r="M143" s="30" t="s">
        <v>809</v>
      </c>
      <c r="N143" s="20" t="s">
        <v>5399</v>
      </c>
      <c r="O143" s="6" t="s">
        <v>809</v>
      </c>
      <c r="P143" s="253" t="s">
        <v>5281</v>
      </c>
      <c r="Q143" s="53" t="n">
        <f aca="false">Spec_Rack!G30</f>
        <v>0.5625</v>
      </c>
      <c r="R143" s="186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5267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5540</v>
      </c>
      <c r="B144" s="253" t="s">
        <v>5234</v>
      </c>
      <c r="C144" s="30" t="s">
        <v>3171</v>
      </c>
      <c r="D144" s="30" t="s">
        <v>3196</v>
      </c>
      <c r="E144" s="20" t="s">
        <v>5541</v>
      </c>
      <c r="F144" s="30" t="s">
        <v>128</v>
      </c>
      <c r="G144" s="253" t="s">
        <v>5235</v>
      </c>
      <c r="H144" s="30" t="s">
        <v>809</v>
      </c>
      <c r="I144" s="6" t="s">
        <v>809</v>
      </c>
      <c r="J144" s="30" t="s">
        <v>5542</v>
      </c>
      <c r="K144" s="255" t="n">
        <v>1</v>
      </c>
      <c r="L144" s="255" t="n">
        <v>2</v>
      </c>
      <c r="M144" s="30" t="s">
        <v>5543</v>
      </c>
      <c r="N144" s="20" t="s">
        <v>5544</v>
      </c>
      <c r="O144" s="6" t="s">
        <v>5545</v>
      </c>
      <c r="P144" s="253" t="s">
        <v>5281</v>
      </c>
      <c r="Q144" s="194" t="n">
        <f aca="false">Spec_Rack!C31</f>
        <v>1</v>
      </c>
      <c r="R144" s="30" t="s">
        <v>809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5239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5546</v>
      </c>
      <c r="B145" s="253" t="s">
        <v>5234</v>
      </c>
      <c r="C145" s="30" t="s">
        <v>3171</v>
      </c>
      <c r="D145" s="30" t="s">
        <v>3150</v>
      </c>
      <c r="E145" s="20" t="s">
        <v>5541</v>
      </c>
      <c r="F145" s="30" t="s">
        <v>128</v>
      </c>
      <c r="G145" s="253" t="s">
        <v>5235</v>
      </c>
      <c r="H145" s="30" t="s">
        <v>809</v>
      </c>
      <c r="I145" s="6" t="s">
        <v>809</v>
      </c>
      <c r="J145" s="30" t="s">
        <v>5542</v>
      </c>
      <c r="K145" s="255" t="n">
        <v>1</v>
      </c>
      <c r="L145" s="255" t="n">
        <v>2</v>
      </c>
      <c r="M145" s="30" t="s">
        <v>5543</v>
      </c>
      <c r="N145" s="20" t="s">
        <v>5544</v>
      </c>
      <c r="O145" s="6" t="s">
        <v>5545</v>
      </c>
      <c r="P145" s="253" t="s">
        <v>5281</v>
      </c>
      <c r="Q145" s="194" t="n">
        <f aca="false">Spec_Rack!D31</f>
        <v>1</v>
      </c>
      <c r="R145" s="30" t="s">
        <v>809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5239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5547</v>
      </c>
      <c r="B146" s="253" t="s">
        <v>5234</v>
      </c>
      <c r="C146" s="30" t="s">
        <v>3171</v>
      </c>
      <c r="D146" s="30" t="s">
        <v>3151</v>
      </c>
      <c r="E146" s="20" t="s">
        <v>5541</v>
      </c>
      <c r="F146" s="30" t="s">
        <v>128</v>
      </c>
      <c r="G146" s="253" t="s">
        <v>5235</v>
      </c>
      <c r="H146" s="30" t="s">
        <v>809</v>
      </c>
      <c r="I146" s="6" t="s">
        <v>809</v>
      </c>
      <c r="J146" s="30" t="s">
        <v>5542</v>
      </c>
      <c r="K146" s="255" t="n">
        <v>1</v>
      </c>
      <c r="L146" s="255" t="n">
        <v>2</v>
      </c>
      <c r="M146" s="30" t="s">
        <v>5543</v>
      </c>
      <c r="N146" s="20" t="s">
        <v>5544</v>
      </c>
      <c r="O146" s="6" t="s">
        <v>5545</v>
      </c>
      <c r="P146" s="253" t="s">
        <v>5281</v>
      </c>
      <c r="Q146" s="194" t="n">
        <f aca="false">Spec_Rack!E31</f>
        <v>1</v>
      </c>
      <c r="R146" s="30" t="s">
        <v>809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5239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5548</v>
      </c>
      <c r="B147" s="253" t="s">
        <v>5234</v>
      </c>
      <c r="C147" s="30" t="s">
        <v>3171</v>
      </c>
      <c r="D147" s="30" t="s">
        <v>3152</v>
      </c>
      <c r="E147" s="20" t="s">
        <v>5541</v>
      </c>
      <c r="F147" s="30" t="s">
        <v>128</v>
      </c>
      <c r="G147" s="253" t="s">
        <v>5235</v>
      </c>
      <c r="H147" s="30" t="s">
        <v>809</v>
      </c>
      <c r="I147" s="6" t="s">
        <v>809</v>
      </c>
      <c r="J147" s="30" t="s">
        <v>5542</v>
      </c>
      <c r="K147" s="255" t="n">
        <v>1</v>
      </c>
      <c r="L147" s="255" t="n">
        <v>2</v>
      </c>
      <c r="M147" s="30" t="s">
        <v>5543</v>
      </c>
      <c r="N147" s="20" t="s">
        <v>5544</v>
      </c>
      <c r="O147" s="6" t="s">
        <v>5545</v>
      </c>
      <c r="P147" s="253" t="s">
        <v>5281</v>
      </c>
      <c r="Q147" s="194" t="n">
        <f aca="false">Spec_Rack!F31</f>
        <v>1</v>
      </c>
      <c r="R147" s="30" t="s">
        <v>809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5239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5549</v>
      </c>
      <c r="B148" s="253" t="s">
        <v>5234</v>
      </c>
      <c r="C148" s="30" t="s">
        <v>3171</v>
      </c>
      <c r="D148" s="30" t="s">
        <v>3197</v>
      </c>
      <c r="E148" s="20" t="s">
        <v>5541</v>
      </c>
      <c r="F148" s="30" t="s">
        <v>128</v>
      </c>
      <c r="G148" s="253" t="s">
        <v>5235</v>
      </c>
      <c r="H148" s="30" t="s">
        <v>809</v>
      </c>
      <c r="I148" s="6" t="s">
        <v>809</v>
      </c>
      <c r="J148" s="30" t="s">
        <v>5364</v>
      </c>
      <c r="K148" s="255" t="n">
        <v>1</v>
      </c>
      <c r="L148" s="255" t="n">
        <v>2</v>
      </c>
      <c r="M148" s="30" t="s">
        <v>5543</v>
      </c>
      <c r="N148" s="20" t="s">
        <v>5544</v>
      </c>
      <c r="O148" s="6" t="s">
        <v>5545</v>
      </c>
      <c r="P148" s="253" t="s">
        <v>5281</v>
      </c>
      <c r="Q148" s="194" t="n">
        <f aca="false">Spec_Rack!G31</f>
        <v>1</v>
      </c>
      <c r="R148" s="30" t="s">
        <v>809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5239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5550</v>
      </c>
      <c r="B149" s="253" t="s">
        <v>5234</v>
      </c>
      <c r="C149" s="30" t="s">
        <v>3171</v>
      </c>
      <c r="D149" s="30" t="s">
        <v>3198</v>
      </c>
      <c r="E149" s="20" t="s">
        <v>5551</v>
      </c>
      <c r="F149" s="30" t="s">
        <v>128</v>
      </c>
      <c r="G149" s="253" t="s">
        <v>5235</v>
      </c>
      <c r="H149" s="30" t="s">
        <v>809</v>
      </c>
      <c r="I149" s="6" t="s">
        <v>809</v>
      </c>
      <c r="J149" s="30" t="s">
        <v>3300</v>
      </c>
      <c r="K149" s="255" t="n">
        <v>4</v>
      </c>
      <c r="L149" s="255" t="n">
        <v>16</v>
      </c>
      <c r="M149" s="30" t="s">
        <v>5552</v>
      </c>
      <c r="N149" s="6" t="s">
        <v>5553</v>
      </c>
      <c r="O149" s="6" t="s">
        <v>809</v>
      </c>
      <c r="P149" s="253" t="s">
        <v>5238</v>
      </c>
      <c r="Q149" s="49" t="n">
        <f aca="false">Spec_Rack!C32</f>
        <v>8</v>
      </c>
      <c r="R149" s="30" t="s">
        <v>809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5239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5554</v>
      </c>
      <c r="B150" s="253" t="s">
        <v>5234</v>
      </c>
      <c r="C150" s="30" t="s">
        <v>3171</v>
      </c>
      <c r="D150" s="30" t="s">
        <v>3153</v>
      </c>
      <c r="E150" s="20" t="s">
        <v>5551</v>
      </c>
      <c r="F150" s="30" t="s">
        <v>133</v>
      </c>
      <c r="G150" s="253" t="s">
        <v>5235</v>
      </c>
      <c r="H150" s="30" t="s">
        <v>5555</v>
      </c>
      <c r="I150" s="20" t="s">
        <v>5556</v>
      </c>
      <c r="J150" s="30" t="s">
        <v>809</v>
      </c>
      <c r="K150" s="255" t="n">
        <v>2</v>
      </c>
      <c r="L150" s="255" t="n">
        <v>8</v>
      </c>
      <c r="M150" s="30" t="s">
        <v>5557</v>
      </c>
      <c r="N150" s="6" t="s">
        <v>5558</v>
      </c>
      <c r="O150" s="6" t="s">
        <v>809</v>
      </c>
      <c r="P150" s="253" t="s">
        <v>5238</v>
      </c>
      <c r="Q150" s="49" t="n">
        <f aca="false">Spec_Rack!D32</f>
        <v>4</v>
      </c>
      <c r="R150" s="186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5239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307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5559</v>
      </c>
      <c r="B151" s="253" t="s">
        <v>5234</v>
      </c>
      <c r="C151" s="30" t="s">
        <v>3171</v>
      </c>
      <c r="D151" s="30" t="s">
        <v>3154</v>
      </c>
      <c r="E151" s="20" t="s">
        <v>5551</v>
      </c>
      <c r="F151" s="253" t="s">
        <v>373</v>
      </c>
      <c r="G151" s="253" t="s">
        <v>5235</v>
      </c>
      <c r="H151" s="30" t="s">
        <v>5555</v>
      </c>
      <c r="I151" s="20" t="s">
        <v>5265</v>
      </c>
      <c r="J151" s="30" t="s">
        <v>809</v>
      </c>
      <c r="K151" s="253"/>
      <c r="L151" s="253"/>
      <c r="M151" s="30" t="s">
        <v>809</v>
      </c>
      <c r="N151" s="20" t="s">
        <v>5328</v>
      </c>
      <c r="O151" s="6" t="s">
        <v>809</v>
      </c>
      <c r="P151" s="253" t="s">
        <v>5238</v>
      </c>
      <c r="Q151" s="49" t="n">
        <f aca="false">Spec_Rack!E32</f>
        <v>4</v>
      </c>
      <c r="R151" s="186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5267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307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5560</v>
      </c>
      <c r="B152" s="253" t="s">
        <v>5234</v>
      </c>
      <c r="C152" s="30" t="s">
        <v>3171</v>
      </c>
      <c r="D152" s="30" t="s">
        <v>3155</v>
      </c>
      <c r="E152" s="20" t="s">
        <v>5551</v>
      </c>
      <c r="F152" s="30" t="s">
        <v>133</v>
      </c>
      <c r="G152" s="253" t="s">
        <v>5235</v>
      </c>
      <c r="H152" s="30" t="s">
        <v>5555</v>
      </c>
      <c r="I152" s="20" t="s">
        <v>5556</v>
      </c>
      <c r="J152" s="30" t="s">
        <v>809</v>
      </c>
      <c r="K152" s="255" t="n">
        <v>2</v>
      </c>
      <c r="L152" s="255" t="n">
        <v>8</v>
      </c>
      <c r="M152" s="30" t="s">
        <v>5557</v>
      </c>
      <c r="N152" s="6" t="s">
        <v>5558</v>
      </c>
      <c r="O152" s="6" t="s">
        <v>809</v>
      </c>
      <c r="P152" s="253" t="s">
        <v>5238</v>
      </c>
      <c r="Q152" s="49" t="n">
        <f aca="false">Spec_Rack!F32</f>
        <v>4</v>
      </c>
      <c r="R152" s="186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5239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307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5561</v>
      </c>
      <c r="B153" s="253" t="s">
        <v>5234</v>
      </c>
      <c r="C153" s="30" t="s">
        <v>3171</v>
      </c>
      <c r="D153" s="30" t="s">
        <v>3199</v>
      </c>
      <c r="E153" s="20" t="s">
        <v>5551</v>
      </c>
      <c r="F153" s="30" t="s">
        <v>128</v>
      </c>
      <c r="G153" s="253" t="s">
        <v>5235</v>
      </c>
      <c r="H153" s="30" t="s">
        <v>809</v>
      </c>
      <c r="I153" s="6" t="s">
        <v>809</v>
      </c>
      <c r="J153" s="30" t="s">
        <v>5364</v>
      </c>
      <c r="K153" s="255" t="n">
        <v>4</v>
      </c>
      <c r="L153" s="255" t="n">
        <v>16</v>
      </c>
      <c r="M153" s="30" t="s">
        <v>5552</v>
      </c>
      <c r="N153" s="6" t="s">
        <v>5562</v>
      </c>
      <c r="O153" s="6" t="s">
        <v>809</v>
      </c>
      <c r="P153" s="253" t="s">
        <v>5238</v>
      </c>
      <c r="Q153" s="49" t="n">
        <f aca="false">Spec_Rack!G32</f>
        <v>8</v>
      </c>
      <c r="R153" s="30" t="s">
        <v>809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5239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5563</v>
      </c>
      <c r="B154" s="253" t="s">
        <v>5234</v>
      </c>
      <c r="C154" s="30" t="s">
        <v>3171</v>
      </c>
      <c r="D154" s="30" t="s">
        <v>3327</v>
      </c>
      <c r="E154" s="6" t="s">
        <v>270</v>
      </c>
      <c r="F154" s="253" t="s">
        <v>373</v>
      </c>
      <c r="G154" s="253" t="s">
        <v>5235</v>
      </c>
      <c r="H154" s="30" t="s">
        <v>5564</v>
      </c>
      <c r="I154" s="20" t="s">
        <v>5265</v>
      </c>
      <c r="J154" s="30" t="s">
        <v>809</v>
      </c>
      <c r="K154" s="253"/>
      <c r="L154" s="253"/>
      <c r="M154" s="30" t="s">
        <v>809</v>
      </c>
      <c r="N154" s="20" t="s">
        <v>5328</v>
      </c>
      <c r="O154" s="6" t="s">
        <v>809</v>
      </c>
      <c r="P154" s="253" t="s">
        <v>5238</v>
      </c>
      <c r="Q154" s="49" t="n">
        <f aca="false">Spec_Rack!C33</f>
        <v>700</v>
      </c>
      <c r="R154" s="186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5267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5565</v>
      </c>
      <c r="B155" s="253" t="s">
        <v>5234</v>
      </c>
      <c r="C155" s="30" t="s">
        <v>3171</v>
      </c>
      <c r="D155" s="30" t="s">
        <v>3156</v>
      </c>
      <c r="E155" s="6" t="s">
        <v>270</v>
      </c>
      <c r="F155" s="253" t="s">
        <v>373</v>
      </c>
      <c r="G155" s="253" t="s">
        <v>5235</v>
      </c>
      <c r="H155" s="30" t="s">
        <v>5566</v>
      </c>
      <c r="I155" s="20" t="s">
        <v>5265</v>
      </c>
      <c r="J155" s="30" t="s">
        <v>809</v>
      </c>
      <c r="K155" s="253"/>
      <c r="L155" s="253"/>
      <c r="M155" s="30" t="s">
        <v>809</v>
      </c>
      <c r="N155" s="20" t="s">
        <v>5328</v>
      </c>
      <c r="O155" s="6" t="s">
        <v>809</v>
      </c>
      <c r="P155" s="253" t="s">
        <v>5238</v>
      </c>
      <c r="Q155" s="49" t="n">
        <f aca="false">Spec_Rack!D33</f>
        <v>1200</v>
      </c>
      <c r="R155" s="186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5267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5567</v>
      </c>
      <c r="B156" s="253" t="s">
        <v>5234</v>
      </c>
      <c r="C156" s="30" t="s">
        <v>3171</v>
      </c>
      <c r="D156" s="30" t="s">
        <v>3157</v>
      </c>
      <c r="E156" s="6" t="s">
        <v>270</v>
      </c>
      <c r="F156" s="253" t="s">
        <v>373</v>
      </c>
      <c r="G156" s="253" t="s">
        <v>5235</v>
      </c>
      <c r="H156" s="30" t="s">
        <v>5568</v>
      </c>
      <c r="I156" s="20" t="s">
        <v>5265</v>
      </c>
      <c r="J156" s="30" t="s">
        <v>809</v>
      </c>
      <c r="K156" s="253"/>
      <c r="L156" s="253"/>
      <c r="M156" s="30" t="s">
        <v>809</v>
      </c>
      <c r="N156" s="20" t="s">
        <v>5328</v>
      </c>
      <c r="O156" s="6" t="s">
        <v>809</v>
      </c>
      <c r="P156" s="253" t="s">
        <v>5238</v>
      </c>
      <c r="Q156" s="49" t="n">
        <f aca="false">Spec_Rack!E33</f>
        <v>1400</v>
      </c>
      <c r="R156" s="186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5267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5569</v>
      </c>
      <c r="B157" s="253" t="s">
        <v>5234</v>
      </c>
      <c r="C157" s="30" t="s">
        <v>3171</v>
      </c>
      <c r="D157" s="30" t="s">
        <v>3158</v>
      </c>
      <c r="E157" s="6" t="s">
        <v>270</v>
      </c>
      <c r="F157" s="253" t="s">
        <v>373</v>
      </c>
      <c r="G157" s="253" t="s">
        <v>5235</v>
      </c>
      <c r="H157" s="30" t="s">
        <v>5570</v>
      </c>
      <c r="I157" s="20" t="s">
        <v>5499</v>
      </c>
      <c r="J157" s="30" t="s">
        <v>809</v>
      </c>
      <c r="K157" s="253"/>
      <c r="L157" s="253"/>
      <c r="M157" s="30" t="s">
        <v>809</v>
      </c>
      <c r="N157" s="20" t="s">
        <v>5328</v>
      </c>
      <c r="O157" s="6" t="s">
        <v>809</v>
      </c>
      <c r="P157" s="253" t="s">
        <v>5238</v>
      </c>
      <c r="Q157" s="49" t="n">
        <f aca="false">Spec_Rack!F33</f>
        <v>1800</v>
      </c>
      <c r="R157" s="186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5267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5571</v>
      </c>
      <c r="B158" s="253" t="s">
        <v>5234</v>
      </c>
      <c r="C158" s="30" t="s">
        <v>3171</v>
      </c>
      <c r="D158" s="30" t="s">
        <v>5572</v>
      </c>
      <c r="E158" s="6" t="s">
        <v>270</v>
      </c>
      <c r="F158" s="30" t="s">
        <v>128</v>
      </c>
      <c r="G158" s="253" t="s">
        <v>111</v>
      </c>
      <c r="H158" s="30" t="s">
        <v>809</v>
      </c>
      <c r="I158" s="6" t="s">
        <v>809</v>
      </c>
      <c r="J158" s="30" t="s">
        <v>5364</v>
      </c>
      <c r="K158" s="186" t="n">
        <f aca="false">Spec_Rack!G33*0.7</f>
        <v>2520</v>
      </c>
      <c r="L158" s="186" t="n">
        <f aca="false">Spec_Rack!G33*1.3</f>
        <v>4680</v>
      </c>
      <c r="M158" s="30" t="s">
        <v>5454</v>
      </c>
      <c r="N158" s="6" t="s">
        <v>5562</v>
      </c>
      <c r="O158" s="6" t="s">
        <v>809</v>
      </c>
      <c r="P158" s="253" t="s">
        <v>5238</v>
      </c>
      <c r="Q158" s="49" t="n">
        <f aca="false">Spec_Rack!G33</f>
        <v>3600</v>
      </c>
      <c r="R158" s="30" t="s">
        <v>809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5239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5573</v>
      </c>
      <c r="B159" s="253" t="s">
        <v>5234</v>
      </c>
      <c r="C159" s="30" t="s">
        <v>3171</v>
      </c>
      <c r="D159" s="30" t="s">
        <v>3210</v>
      </c>
      <c r="E159" s="6" t="s">
        <v>272</v>
      </c>
      <c r="F159" s="30" t="s">
        <v>133</v>
      </c>
      <c r="G159" s="253" t="s">
        <v>5235</v>
      </c>
      <c r="H159" s="30" t="s">
        <v>5574</v>
      </c>
      <c r="I159" s="20" t="s">
        <v>5575</v>
      </c>
      <c r="J159" s="30" t="s">
        <v>809</v>
      </c>
      <c r="K159" s="186" t="n">
        <f aca="false">Spec_Rack!C34*0.7</f>
        <v>21.7</v>
      </c>
      <c r="L159" s="186" t="n">
        <f aca="false">Spec_Rack!C34*1.3</f>
        <v>40.3</v>
      </c>
      <c r="M159" s="30" t="s">
        <v>5576</v>
      </c>
      <c r="N159" s="254" t="str">
        <f aca="false">Spec_Rack!$H$34</f>
        <v>Analogy：HBM3 約 3.9 pJ/bit、HBM3e 約 3、HBM4 約 2.5；區間 ±30%（S29） ｜物理慣例：×8＝pJ/bit 換 pJ/byte（8 bit／byte），不外露</v>
      </c>
      <c r="O159" s="6" t="s">
        <v>809</v>
      </c>
      <c r="P159" s="253" t="s">
        <v>5238</v>
      </c>
      <c r="Q159" s="49" t="n">
        <f aca="false">Spec_Rack!C34</f>
        <v>31</v>
      </c>
      <c r="R159" s="186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5239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5577</v>
      </c>
      <c r="B160" s="253" t="s">
        <v>5234</v>
      </c>
      <c r="C160" s="30" t="s">
        <v>3171</v>
      </c>
      <c r="D160" s="30" t="s">
        <v>3159</v>
      </c>
      <c r="E160" s="6" t="s">
        <v>272</v>
      </c>
      <c r="F160" s="30" t="s">
        <v>133</v>
      </c>
      <c r="G160" s="253" t="s">
        <v>5235</v>
      </c>
      <c r="H160" s="30" t="s">
        <v>5578</v>
      </c>
      <c r="I160" s="20" t="s">
        <v>5575</v>
      </c>
      <c r="J160" s="30" t="s">
        <v>809</v>
      </c>
      <c r="K160" s="186" t="n">
        <f aca="false">Spec_Rack!D34*0.7</f>
        <v>17.5</v>
      </c>
      <c r="L160" s="186" t="n">
        <f aca="false">Spec_Rack!D34*1.3</f>
        <v>32.5</v>
      </c>
      <c r="M160" s="30" t="s">
        <v>5576</v>
      </c>
      <c r="N160" s="254" t="str">
        <f aca="false">Spec_Rack!$H$34</f>
        <v>Analogy：HBM3 約 3.9 pJ/bit、HBM3e 約 3、HBM4 約 2.5；區間 ±30%（S29） ｜物理慣例：×8＝pJ/bit 換 pJ/byte（8 bit／byte），不外露</v>
      </c>
      <c r="O160" s="6" t="s">
        <v>809</v>
      </c>
      <c r="P160" s="253" t="s">
        <v>5238</v>
      </c>
      <c r="Q160" s="49" t="n">
        <f aca="false">Spec_Rack!D34</f>
        <v>25</v>
      </c>
      <c r="R160" s="186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5239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5579</v>
      </c>
      <c r="B161" s="253" t="s">
        <v>5234</v>
      </c>
      <c r="C161" s="30" t="s">
        <v>3171</v>
      </c>
      <c r="D161" s="30" t="s">
        <v>3160</v>
      </c>
      <c r="E161" s="6" t="s">
        <v>272</v>
      </c>
      <c r="F161" s="30" t="s">
        <v>133</v>
      </c>
      <c r="G161" s="253" t="s">
        <v>5235</v>
      </c>
      <c r="H161" s="30" t="s">
        <v>5578</v>
      </c>
      <c r="I161" s="20" t="s">
        <v>5575</v>
      </c>
      <c r="J161" s="30" t="s">
        <v>809</v>
      </c>
      <c r="K161" s="186" t="n">
        <f aca="false">Spec_Rack!E34*0.7</f>
        <v>17.5</v>
      </c>
      <c r="L161" s="186" t="n">
        <f aca="false">Spec_Rack!E34*1.3</f>
        <v>32.5</v>
      </c>
      <c r="M161" s="30" t="s">
        <v>5576</v>
      </c>
      <c r="N161" s="254" t="str">
        <f aca="false">Spec_Rack!$H$34</f>
        <v>Analogy：HBM3 約 3.9 pJ/bit、HBM3e 約 3、HBM4 約 2.5；區間 ±30%（S29） ｜物理慣例：×8＝pJ/bit 換 pJ/byte（8 bit／byte），不外露</v>
      </c>
      <c r="O161" s="6" t="s">
        <v>809</v>
      </c>
      <c r="P161" s="253" t="s">
        <v>5238</v>
      </c>
      <c r="Q161" s="49" t="n">
        <f aca="false">Spec_Rack!E34</f>
        <v>25</v>
      </c>
      <c r="R161" s="186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5239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5580</v>
      </c>
      <c r="B162" s="253" t="s">
        <v>5234</v>
      </c>
      <c r="C162" s="30" t="s">
        <v>3171</v>
      </c>
      <c r="D162" s="30" t="s">
        <v>3161</v>
      </c>
      <c r="E162" s="6" t="s">
        <v>272</v>
      </c>
      <c r="F162" s="253" t="s">
        <v>373</v>
      </c>
      <c r="G162" s="253" t="s">
        <v>5235</v>
      </c>
      <c r="H162" s="30" t="s">
        <v>5581</v>
      </c>
      <c r="I162" s="20" t="s">
        <v>5499</v>
      </c>
      <c r="J162" s="30" t="s">
        <v>809</v>
      </c>
      <c r="K162" s="253"/>
      <c r="L162" s="253"/>
      <c r="M162" s="30" t="s">
        <v>809</v>
      </c>
      <c r="N162" s="20" t="s">
        <v>5328</v>
      </c>
      <c r="O162" s="6" t="s">
        <v>809</v>
      </c>
      <c r="P162" s="253" t="s">
        <v>5238</v>
      </c>
      <c r="Q162" s="49" t="n">
        <f aca="false">Spec_Rack!F34</f>
        <v>20</v>
      </c>
      <c r="R162" s="186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5267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5582</v>
      </c>
      <c r="B163" s="253" t="s">
        <v>5234</v>
      </c>
      <c r="C163" s="30" t="s">
        <v>3171</v>
      </c>
      <c r="D163" s="30" t="s">
        <v>5583</v>
      </c>
      <c r="E163" s="6" t="s">
        <v>272</v>
      </c>
      <c r="F163" s="30" t="s">
        <v>128</v>
      </c>
      <c r="G163" s="253" t="s">
        <v>111</v>
      </c>
      <c r="H163" s="30" t="s">
        <v>809</v>
      </c>
      <c r="I163" s="6" t="s">
        <v>809</v>
      </c>
      <c r="J163" s="30" t="s">
        <v>5364</v>
      </c>
      <c r="K163" s="186" t="n">
        <f aca="false">Spec_Rack!G34*0.7</f>
        <v>12.6</v>
      </c>
      <c r="L163" s="186" t="n">
        <f aca="false">Spec_Rack!G34*1.3</f>
        <v>23.4</v>
      </c>
      <c r="M163" s="30" t="s">
        <v>5454</v>
      </c>
      <c r="N163" s="6" t="s">
        <v>5562</v>
      </c>
      <c r="O163" s="6" t="s">
        <v>809</v>
      </c>
      <c r="P163" s="253" t="s">
        <v>5238</v>
      </c>
      <c r="Q163" s="49" t="n">
        <f aca="false">Spec_Rack!G34</f>
        <v>18</v>
      </c>
      <c r="R163" s="30" t="s">
        <v>809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5239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5584</v>
      </c>
      <c r="B164" s="253" t="s">
        <v>5234</v>
      </c>
      <c r="C164" s="30" t="s">
        <v>3171</v>
      </c>
      <c r="D164" s="30" t="s">
        <v>3336</v>
      </c>
      <c r="E164" s="6" t="s">
        <v>278</v>
      </c>
      <c r="F164" s="253" t="s">
        <v>373</v>
      </c>
      <c r="G164" s="253" t="s">
        <v>5235</v>
      </c>
      <c r="H164" s="30" t="s">
        <v>5585</v>
      </c>
      <c r="I164" s="20" t="s">
        <v>5265</v>
      </c>
      <c r="J164" s="30" t="s">
        <v>809</v>
      </c>
      <c r="K164" s="253"/>
      <c r="L164" s="253"/>
      <c r="M164" s="30" t="s">
        <v>809</v>
      </c>
      <c r="N164" s="20" t="s">
        <v>5328</v>
      </c>
      <c r="O164" s="6" t="s">
        <v>809</v>
      </c>
      <c r="P164" s="253" t="s">
        <v>5238</v>
      </c>
      <c r="Q164" s="46" t="n">
        <f aca="false">Spec_Rack!C39</f>
        <v>0.989</v>
      </c>
      <c r="R164" s="186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5267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5586</v>
      </c>
      <c r="B165" s="253" t="s">
        <v>5234</v>
      </c>
      <c r="C165" s="30" t="s">
        <v>3171</v>
      </c>
      <c r="D165" s="30" t="s">
        <v>5587</v>
      </c>
      <c r="E165" s="6" t="s">
        <v>278</v>
      </c>
      <c r="F165" s="253" t="s">
        <v>373</v>
      </c>
      <c r="G165" s="253" t="s">
        <v>5235</v>
      </c>
      <c r="H165" s="30" t="s">
        <v>5588</v>
      </c>
      <c r="I165" s="20" t="s">
        <v>5265</v>
      </c>
      <c r="J165" s="30" t="s">
        <v>809</v>
      </c>
      <c r="K165" s="253"/>
      <c r="L165" s="253"/>
      <c r="M165" s="30" t="s">
        <v>809</v>
      </c>
      <c r="N165" s="20" t="s">
        <v>5328</v>
      </c>
      <c r="O165" s="6" t="s">
        <v>809</v>
      </c>
      <c r="P165" s="253" t="s">
        <v>5238</v>
      </c>
      <c r="Q165" s="46" t="n">
        <f aca="false">Spec_Rack!D39</f>
        <v>2.5</v>
      </c>
      <c r="R165" s="186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5267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5589</v>
      </c>
      <c r="B166" s="253" t="s">
        <v>5234</v>
      </c>
      <c r="C166" s="30" t="s">
        <v>3171</v>
      </c>
      <c r="D166" s="30" t="s">
        <v>5590</v>
      </c>
      <c r="E166" s="6" t="s">
        <v>278</v>
      </c>
      <c r="F166" s="253" t="s">
        <v>373</v>
      </c>
      <c r="G166" s="253" t="s">
        <v>5235</v>
      </c>
      <c r="H166" s="30" t="s">
        <v>5588</v>
      </c>
      <c r="I166" s="20" t="s">
        <v>5265</v>
      </c>
      <c r="J166" s="30" t="s">
        <v>809</v>
      </c>
      <c r="K166" s="253"/>
      <c r="L166" s="253"/>
      <c r="M166" s="30" t="s">
        <v>809</v>
      </c>
      <c r="N166" s="20" t="s">
        <v>5328</v>
      </c>
      <c r="O166" s="6" t="s">
        <v>809</v>
      </c>
      <c r="P166" s="253" t="s">
        <v>5238</v>
      </c>
      <c r="Q166" s="46" t="n">
        <f aca="false">Spec_Rack!E39</f>
        <v>2.5</v>
      </c>
      <c r="R166" s="186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5267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5591</v>
      </c>
      <c r="B167" s="253" t="s">
        <v>5234</v>
      </c>
      <c r="C167" s="30" t="s">
        <v>3171</v>
      </c>
      <c r="D167" s="30" t="s">
        <v>5592</v>
      </c>
      <c r="E167" s="6" t="s">
        <v>278</v>
      </c>
      <c r="F167" s="253" t="s">
        <v>373</v>
      </c>
      <c r="G167" s="253" t="s">
        <v>5235</v>
      </c>
      <c r="H167" s="30" t="s">
        <v>5593</v>
      </c>
      <c r="I167" s="20" t="s">
        <v>5499</v>
      </c>
      <c r="J167" s="30" t="s">
        <v>809</v>
      </c>
      <c r="K167" s="253"/>
      <c r="L167" s="253"/>
      <c r="M167" s="30" t="s">
        <v>809</v>
      </c>
      <c r="N167" s="20" t="s">
        <v>5328</v>
      </c>
      <c r="O167" s="6" t="s">
        <v>809</v>
      </c>
      <c r="P167" s="253" t="s">
        <v>5238</v>
      </c>
      <c r="Q167" s="46" t="n">
        <f aca="false">Spec_Rack!F39</f>
        <v>4</v>
      </c>
      <c r="R167" s="186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5267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5594</v>
      </c>
      <c r="B168" s="253" t="s">
        <v>5234</v>
      </c>
      <c r="C168" s="30" t="s">
        <v>3171</v>
      </c>
      <c r="D168" s="30" t="s">
        <v>5595</v>
      </c>
      <c r="E168" s="6" t="s">
        <v>278</v>
      </c>
      <c r="F168" s="30" t="s">
        <v>128</v>
      </c>
      <c r="G168" s="253" t="s">
        <v>111</v>
      </c>
      <c r="H168" s="30" t="s">
        <v>809</v>
      </c>
      <c r="I168" s="6" t="s">
        <v>809</v>
      </c>
      <c r="J168" s="30" t="s">
        <v>5364</v>
      </c>
      <c r="K168" s="186" t="n">
        <f aca="false">Spec_Rack!G39*0.7</f>
        <v>5.6</v>
      </c>
      <c r="L168" s="186" t="n">
        <f aca="false">Spec_Rack!G39*1.3</f>
        <v>10.4</v>
      </c>
      <c r="M168" s="30" t="s">
        <v>5454</v>
      </c>
      <c r="N168" s="6" t="s">
        <v>5562</v>
      </c>
      <c r="O168" s="6" t="s">
        <v>809</v>
      </c>
      <c r="P168" s="253" t="s">
        <v>5238</v>
      </c>
      <c r="Q168" s="46" t="n">
        <f aca="false">Spec_Rack!G39</f>
        <v>8</v>
      </c>
      <c r="R168" s="30" t="s">
        <v>809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5239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5596</v>
      </c>
      <c r="B169" s="253" t="s">
        <v>5234</v>
      </c>
      <c r="C169" s="30" t="s">
        <v>3171</v>
      </c>
      <c r="D169" s="30" t="s">
        <v>3337</v>
      </c>
      <c r="E169" s="6" t="s">
        <v>281</v>
      </c>
      <c r="F169" s="253" t="s">
        <v>373</v>
      </c>
      <c r="G169" s="253" t="s">
        <v>5235</v>
      </c>
      <c r="H169" s="30" t="s">
        <v>5444</v>
      </c>
      <c r="I169" s="20" t="s">
        <v>5265</v>
      </c>
      <c r="J169" s="30" t="s">
        <v>809</v>
      </c>
      <c r="K169" s="253"/>
      <c r="L169" s="253"/>
      <c r="M169" s="30" t="s">
        <v>809</v>
      </c>
      <c r="N169" s="20" t="s">
        <v>5399</v>
      </c>
      <c r="O169" s="6" t="s">
        <v>809</v>
      </c>
      <c r="P169" s="253" t="s">
        <v>5238</v>
      </c>
      <c r="Q169" s="46" t="n">
        <f aca="false">Spec_Rack!C40</f>
        <v>1.979</v>
      </c>
      <c r="R169" s="186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5267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5597</v>
      </c>
      <c r="B170" s="253" t="s">
        <v>5234</v>
      </c>
      <c r="C170" s="30" t="s">
        <v>3171</v>
      </c>
      <c r="D170" s="30" t="s">
        <v>5598</v>
      </c>
      <c r="E170" s="6" t="s">
        <v>281</v>
      </c>
      <c r="F170" s="253" t="s">
        <v>373</v>
      </c>
      <c r="G170" s="253" t="s">
        <v>5235</v>
      </c>
      <c r="H170" s="30" t="s">
        <v>5599</v>
      </c>
      <c r="I170" s="20" t="s">
        <v>5265</v>
      </c>
      <c r="J170" s="30" t="s">
        <v>809</v>
      </c>
      <c r="K170" s="253"/>
      <c r="L170" s="253"/>
      <c r="M170" s="30" t="s">
        <v>809</v>
      </c>
      <c r="N170" s="20" t="s">
        <v>5399</v>
      </c>
      <c r="O170" s="6" t="s">
        <v>809</v>
      </c>
      <c r="P170" s="253" t="s">
        <v>5238</v>
      </c>
      <c r="Q170" s="46" t="n">
        <f aca="false">Spec_Rack!D40</f>
        <v>5</v>
      </c>
      <c r="R170" s="186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5267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5600</v>
      </c>
      <c r="B171" s="253" t="s">
        <v>5234</v>
      </c>
      <c r="C171" s="30" t="s">
        <v>3171</v>
      </c>
      <c r="D171" s="30" t="s">
        <v>5601</v>
      </c>
      <c r="E171" s="6" t="s">
        <v>281</v>
      </c>
      <c r="F171" s="253" t="s">
        <v>373</v>
      </c>
      <c r="G171" s="253" t="s">
        <v>5235</v>
      </c>
      <c r="H171" s="30" t="s">
        <v>5599</v>
      </c>
      <c r="I171" s="20" t="s">
        <v>5265</v>
      </c>
      <c r="J171" s="30" t="s">
        <v>809</v>
      </c>
      <c r="K171" s="253"/>
      <c r="L171" s="253"/>
      <c r="M171" s="30" t="s">
        <v>809</v>
      </c>
      <c r="N171" s="20" t="s">
        <v>5399</v>
      </c>
      <c r="O171" s="6" t="s">
        <v>809</v>
      </c>
      <c r="P171" s="253" t="s">
        <v>5238</v>
      </c>
      <c r="Q171" s="46" t="n">
        <f aca="false">Spec_Rack!E40</f>
        <v>5</v>
      </c>
      <c r="R171" s="186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5267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5602</v>
      </c>
      <c r="B172" s="253" t="s">
        <v>5234</v>
      </c>
      <c r="C172" s="30" t="s">
        <v>3171</v>
      </c>
      <c r="D172" s="30" t="s">
        <v>5603</v>
      </c>
      <c r="E172" s="6" t="s">
        <v>281</v>
      </c>
      <c r="F172" s="253" t="s">
        <v>373</v>
      </c>
      <c r="G172" s="253" t="s">
        <v>5235</v>
      </c>
      <c r="H172" s="30" t="s">
        <v>5604</v>
      </c>
      <c r="I172" s="20" t="s">
        <v>5499</v>
      </c>
      <c r="J172" s="30" t="s">
        <v>809</v>
      </c>
      <c r="K172" s="253"/>
      <c r="L172" s="253"/>
      <c r="M172" s="30" t="s">
        <v>809</v>
      </c>
      <c r="N172" s="20" t="s">
        <v>5399</v>
      </c>
      <c r="O172" s="6" t="s">
        <v>809</v>
      </c>
      <c r="P172" s="253" t="s">
        <v>5238</v>
      </c>
      <c r="Q172" s="46" t="n">
        <f aca="false">Spec_Rack!F40</f>
        <v>17.5</v>
      </c>
      <c r="R172" s="186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5267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5605</v>
      </c>
      <c r="B173" s="253" t="s">
        <v>5234</v>
      </c>
      <c r="C173" s="30" t="s">
        <v>3171</v>
      </c>
      <c r="D173" s="30" t="s">
        <v>3200</v>
      </c>
      <c r="E173" s="6" t="s">
        <v>281</v>
      </c>
      <c r="F173" s="253" t="s">
        <v>176</v>
      </c>
      <c r="G173" s="253" t="s">
        <v>5235</v>
      </c>
      <c r="H173" s="30" t="s">
        <v>5452</v>
      </c>
      <c r="I173" s="20" t="s">
        <v>5606</v>
      </c>
      <c r="J173" s="30" t="s">
        <v>809</v>
      </c>
      <c r="K173" s="253"/>
      <c r="L173" s="253"/>
      <c r="M173" s="30" t="s">
        <v>809</v>
      </c>
      <c r="N173" s="20" t="s">
        <v>5607</v>
      </c>
      <c r="O173" s="20" t="s">
        <v>5469</v>
      </c>
      <c r="P173" s="253" t="s">
        <v>5238</v>
      </c>
      <c r="Q173" s="46" t="n">
        <f aca="false">Spec_Rack!G40</f>
        <v>35</v>
      </c>
      <c r="R173" s="186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5239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5608</v>
      </c>
      <c r="B174" s="253" t="s">
        <v>5234</v>
      </c>
      <c r="C174" s="30" t="s">
        <v>3171</v>
      </c>
      <c r="D174" s="30" t="s">
        <v>3338</v>
      </c>
      <c r="E174" s="6" t="s">
        <v>283</v>
      </c>
      <c r="F174" s="30" t="s">
        <v>5299</v>
      </c>
      <c r="G174" s="253" t="s">
        <v>5235</v>
      </c>
      <c r="H174" s="30" t="s">
        <v>809</v>
      </c>
      <c r="I174" s="6" t="s">
        <v>809</v>
      </c>
      <c r="J174" s="30" t="s">
        <v>5459</v>
      </c>
      <c r="K174" s="253"/>
      <c r="L174" s="253"/>
      <c r="M174" s="30" t="s">
        <v>809</v>
      </c>
      <c r="N174" s="6" t="s">
        <v>5609</v>
      </c>
      <c r="O174" s="6" t="s">
        <v>809</v>
      </c>
      <c r="P174" s="253" t="s">
        <v>5238</v>
      </c>
      <c r="Q174" s="46" t="n">
        <f aca="false">Spec_Rack!C41</f>
        <v>1.979</v>
      </c>
      <c r="R174" s="30" t="s">
        <v>809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5303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5610</v>
      </c>
      <c r="B175" s="253" t="s">
        <v>5234</v>
      </c>
      <c r="C175" s="30" t="s">
        <v>3171</v>
      </c>
      <c r="D175" s="30" t="s">
        <v>5611</v>
      </c>
      <c r="E175" s="6" t="s">
        <v>283</v>
      </c>
      <c r="F175" s="30" t="s">
        <v>133</v>
      </c>
      <c r="G175" s="253" t="s">
        <v>5235</v>
      </c>
      <c r="H175" s="30" t="s">
        <v>5612</v>
      </c>
      <c r="I175" s="20" t="s">
        <v>5613</v>
      </c>
      <c r="J175" s="30" t="s">
        <v>809</v>
      </c>
      <c r="K175" s="255" t="n">
        <v>5</v>
      </c>
      <c r="L175" s="255" t="n">
        <v>10</v>
      </c>
      <c r="M175" s="30" t="s">
        <v>5614</v>
      </c>
      <c r="N175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809</v>
      </c>
      <c r="P175" s="253" t="s">
        <v>5238</v>
      </c>
      <c r="Q175" s="46" t="n">
        <f aca="false">Spec_Rack!D41</f>
        <v>10</v>
      </c>
      <c r="R175" s="186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5239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5615</v>
      </c>
      <c r="B176" s="253" t="s">
        <v>5234</v>
      </c>
      <c r="C176" s="30" t="s">
        <v>3171</v>
      </c>
      <c r="D176" s="30" t="s">
        <v>5616</v>
      </c>
      <c r="E176" s="6" t="s">
        <v>283</v>
      </c>
      <c r="F176" s="30" t="s">
        <v>128</v>
      </c>
      <c r="G176" s="253" t="s">
        <v>5235</v>
      </c>
      <c r="H176" s="30" t="s">
        <v>809</v>
      </c>
      <c r="I176" s="6" t="s">
        <v>809</v>
      </c>
      <c r="J176" s="30" t="s">
        <v>3311</v>
      </c>
      <c r="K176" s="255" t="n">
        <v>10</v>
      </c>
      <c r="L176" s="255" t="n">
        <v>15</v>
      </c>
      <c r="M176" s="30" t="s">
        <v>5617</v>
      </c>
      <c r="N176" s="254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809</v>
      </c>
      <c r="P176" s="253" t="s">
        <v>5238</v>
      </c>
      <c r="Q176" s="46" t="n">
        <f aca="false">Spec_Rack!E41</f>
        <v>15</v>
      </c>
      <c r="R176" s="30" t="s">
        <v>809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5239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5618</v>
      </c>
      <c r="B177" s="253" t="s">
        <v>5234</v>
      </c>
      <c r="C177" s="30" t="s">
        <v>3171</v>
      </c>
      <c r="D177" s="30" t="s">
        <v>5619</v>
      </c>
      <c r="E177" s="6" t="s">
        <v>283</v>
      </c>
      <c r="F177" s="253" t="s">
        <v>373</v>
      </c>
      <c r="G177" s="253" t="s">
        <v>5235</v>
      </c>
      <c r="H177" s="30" t="s">
        <v>5612</v>
      </c>
      <c r="I177" s="20" t="s">
        <v>5499</v>
      </c>
      <c r="J177" s="30" t="s">
        <v>809</v>
      </c>
      <c r="K177" s="253"/>
      <c r="L177" s="253"/>
      <c r="M177" s="30" t="s">
        <v>809</v>
      </c>
      <c r="N177" s="20" t="s">
        <v>5328</v>
      </c>
      <c r="O177" s="6" t="s">
        <v>809</v>
      </c>
      <c r="P177" s="253" t="s">
        <v>5238</v>
      </c>
      <c r="Q177" s="46" t="n">
        <f aca="false">Spec_Rack!F41</f>
        <v>35</v>
      </c>
      <c r="R177" s="186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5267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5620</v>
      </c>
      <c r="B178" s="253" t="s">
        <v>5234</v>
      </c>
      <c r="C178" s="30" t="s">
        <v>3171</v>
      </c>
      <c r="D178" s="30" t="s">
        <v>5621</v>
      </c>
      <c r="E178" s="6" t="s">
        <v>283</v>
      </c>
      <c r="F178" s="30" t="s">
        <v>128</v>
      </c>
      <c r="G178" s="253" t="s">
        <v>111</v>
      </c>
      <c r="H178" s="30" t="s">
        <v>809</v>
      </c>
      <c r="I178" s="6" t="s">
        <v>809</v>
      </c>
      <c r="J178" s="30" t="s">
        <v>5364</v>
      </c>
      <c r="K178" s="186" t="n">
        <f aca="false">Spec_Rack!G41*0.7</f>
        <v>49</v>
      </c>
      <c r="L178" s="186" t="n">
        <f aca="false">Spec_Rack!G41*1.3</f>
        <v>91</v>
      </c>
      <c r="M178" s="30" t="s">
        <v>5454</v>
      </c>
      <c r="N178" s="6" t="s">
        <v>5562</v>
      </c>
      <c r="O178" s="6" t="s">
        <v>809</v>
      </c>
      <c r="P178" s="253" t="s">
        <v>5238</v>
      </c>
      <c r="Q178" s="46" t="n">
        <f aca="false">Spec_Rack!G41</f>
        <v>70</v>
      </c>
      <c r="R178" s="30" t="s">
        <v>809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5239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5622</v>
      </c>
      <c r="B179" s="253" t="s">
        <v>5234</v>
      </c>
      <c r="C179" s="30" t="s">
        <v>3208</v>
      </c>
      <c r="D179" s="30" t="s">
        <v>3172</v>
      </c>
      <c r="E179" s="20" t="s">
        <v>310</v>
      </c>
      <c r="F179" s="253" t="s">
        <v>373</v>
      </c>
      <c r="G179" s="253" t="s">
        <v>5235</v>
      </c>
      <c r="H179" s="30" t="s">
        <v>5623</v>
      </c>
      <c r="I179" s="20" t="s">
        <v>5265</v>
      </c>
      <c r="J179" s="30" t="s">
        <v>809</v>
      </c>
      <c r="K179" s="253"/>
      <c r="L179" s="253"/>
      <c r="M179" s="30" t="s">
        <v>809</v>
      </c>
      <c r="N179" s="20" t="s">
        <v>5399</v>
      </c>
      <c r="O179" s="6" t="s">
        <v>809</v>
      </c>
      <c r="P179" s="253" t="s">
        <v>5281</v>
      </c>
      <c r="Q179" s="49" t="n">
        <f aca="false">Arch!C6</f>
        <v>284</v>
      </c>
      <c r="R179" s="186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5267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194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5624</v>
      </c>
      <c r="B180" s="253" t="s">
        <v>5234</v>
      </c>
      <c r="C180" s="30" t="s">
        <v>3208</v>
      </c>
      <c r="D180" s="30" t="s">
        <v>3300</v>
      </c>
      <c r="E180" s="20" t="s">
        <v>310</v>
      </c>
      <c r="F180" s="253" t="s">
        <v>373</v>
      </c>
      <c r="G180" s="253" t="s">
        <v>5235</v>
      </c>
      <c r="H180" s="30" t="s">
        <v>5625</v>
      </c>
      <c r="I180" s="20" t="s">
        <v>5265</v>
      </c>
      <c r="J180" s="30" t="s">
        <v>809</v>
      </c>
      <c r="K180" s="253"/>
      <c r="L180" s="253"/>
      <c r="M180" s="30" t="s">
        <v>809</v>
      </c>
      <c r="N180" s="20" t="s">
        <v>5399</v>
      </c>
      <c r="O180" s="6" t="s">
        <v>809</v>
      </c>
      <c r="P180" s="253" t="s">
        <v>5281</v>
      </c>
      <c r="Q180" s="49" t="n">
        <f aca="false">Arch!D6</f>
        <v>1600</v>
      </c>
      <c r="R180" s="186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5267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190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5626</v>
      </c>
      <c r="B181" s="253" t="s">
        <v>5234</v>
      </c>
      <c r="C181" s="30" t="s">
        <v>3208</v>
      </c>
      <c r="D181" s="30" t="s">
        <v>3308</v>
      </c>
      <c r="E181" s="20" t="s">
        <v>313</v>
      </c>
      <c r="F181" s="253" t="s">
        <v>373</v>
      </c>
      <c r="G181" s="253" t="s">
        <v>5235</v>
      </c>
      <c r="H181" s="30" t="s">
        <v>5627</v>
      </c>
      <c r="I181" s="20" t="s">
        <v>5265</v>
      </c>
      <c r="J181" s="30" t="s">
        <v>809</v>
      </c>
      <c r="K181" s="253"/>
      <c r="L181" s="253"/>
      <c r="M181" s="30" t="s">
        <v>809</v>
      </c>
      <c r="N181" s="20" t="s">
        <v>5328</v>
      </c>
      <c r="O181" s="6" t="s">
        <v>809</v>
      </c>
      <c r="P181" s="253" t="s">
        <v>1434</v>
      </c>
      <c r="Q181" s="49" t="n">
        <f aca="false">Arch!C7</f>
        <v>13</v>
      </c>
      <c r="R181" s="186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5267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195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5628</v>
      </c>
      <c r="B182" s="253" t="s">
        <v>5234</v>
      </c>
      <c r="C182" s="30" t="s">
        <v>3208</v>
      </c>
      <c r="D182" s="30" t="s">
        <v>3309</v>
      </c>
      <c r="E182" s="20" t="s">
        <v>313</v>
      </c>
      <c r="F182" s="253" t="s">
        <v>373</v>
      </c>
      <c r="G182" s="253" t="s">
        <v>5235</v>
      </c>
      <c r="H182" s="30" t="s">
        <v>5629</v>
      </c>
      <c r="I182" s="20" t="s">
        <v>5265</v>
      </c>
      <c r="J182" s="30" t="s">
        <v>809</v>
      </c>
      <c r="K182" s="253"/>
      <c r="L182" s="253"/>
      <c r="M182" s="30" t="s">
        <v>809</v>
      </c>
      <c r="N182" s="20" t="s">
        <v>5328</v>
      </c>
      <c r="O182" s="6" t="s">
        <v>809</v>
      </c>
      <c r="P182" s="253" t="s">
        <v>1434</v>
      </c>
      <c r="Q182" s="49" t="n">
        <f aca="false">Arch!D7</f>
        <v>49</v>
      </c>
      <c r="R182" s="186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5267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191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5630</v>
      </c>
      <c r="B183" s="253" t="s">
        <v>5234</v>
      </c>
      <c r="C183" s="30" t="s">
        <v>3208</v>
      </c>
      <c r="D183" s="30" t="s">
        <v>3173</v>
      </c>
      <c r="E183" s="20" t="s">
        <v>315</v>
      </c>
      <c r="F183" s="253" t="s">
        <v>373</v>
      </c>
      <c r="G183" s="253" t="s">
        <v>5235</v>
      </c>
      <c r="H183" s="30" t="s">
        <v>5631</v>
      </c>
      <c r="I183" s="20" t="s">
        <v>5265</v>
      </c>
      <c r="J183" s="30" t="s">
        <v>809</v>
      </c>
      <c r="K183" s="253"/>
      <c r="L183" s="253"/>
      <c r="M183" s="30" t="s">
        <v>809</v>
      </c>
      <c r="N183" s="20" t="s">
        <v>5399</v>
      </c>
      <c r="O183" s="6" t="s">
        <v>809</v>
      </c>
      <c r="P183" s="253" t="s">
        <v>5281</v>
      </c>
      <c r="Q183" s="49" t="n">
        <f aca="false">Arch!C8</f>
        <v>43</v>
      </c>
      <c r="R183" s="186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5267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196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5632</v>
      </c>
      <c r="B184" s="253" t="s">
        <v>5234</v>
      </c>
      <c r="C184" s="30" t="s">
        <v>3208</v>
      </c>
      <c r="D184" s="30" t="s">
        <v>3344</v>
      </c>
      <c r="E184" s="20" t="s">
        <v>315</v>
      </c>
      <c r="F184" s="253" t="s">
        <v>373</v>
      </c>
      <c r="G184" s="253" t="s">
        <v>5235</v>
      </c>
      <c r="H184" s="30" t="s">
        <v>5633</v>
      </c>
      <c r="I184" s="20" t="s">
        <v>5265</v>
      </c>
      <c r="J184" s="30" t="s">
        <v>809</v>
      </c>
      <c r="K184" s="253"/>
      <c r="L184" s="253"/>
      <c r="M184" s="30" t="s">
        <v>809</v>
      </c>
      <c r="N184" s="20" t="s">
        <v>5399</v>
      </c>
      <c r="O184" s="6" t="s">
        <v>809</v>
      </c>
      <c r="P184" s="253" t="s">
        <v>5281</v>
      </c>
      <c r="Q184" s="49" t="n">
        <f aca="false">Arch!D8</f>
        <v>61</v>
      </c>
      <c r="R184" s="186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5267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192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5634</v>
      </c>
      <c r="B185" s="253" t="s">
        <v>5234</v>
      </c>
      <c r="C185" s="30" t="s">
        <v>3208</v>
      </c>
      <c r="D185" s="30" t="s">
        <v>3179</v>
      </c>
      <c r="E185" s="6" t="s">
        <v>323</v>
      </c>
      <c r="F185" s="253" t="s">
        <v>373</v>
      </c>
      <c r="G185" s="253" t="s">
        <v>5235</v>
      </c>
      <c r="H185" s="30" t="s">
        <v>5635</v>
      </c>
      <c r="I185" s="20" t="s">
        <v>5265</v>
      </c>
      <c r="J185" s="30" t="s">
        <v>809</v>
      </c>
      <c r="K185" s="253"/>
      <c r="L185" s="253"/>
      <c r="M185" s="30" t="s">
        <v>809</v>
      </c>
      <c r="N185" s="20" t="s">
        <v>5328</v>
      </c>
      <c r="O185" s="6" t="s">
        <v>809</v>
      </c>
      <c r="P185" s="253" t="s">
        <v>5281</v>
      </c>
      <c r="Q185" s="49" t="n">
        <f aca="false">Arch!C11</f>
        <v>512</v>
      </c>
      <c r="R185" s="186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5267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198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5636</v>
      </c>
      <c r="B186" s="253" t="s">
        <v>5234</v>
      </c>
      <c r="C186" s="30" t="s">
        <v>3208</v>
      </c>
      <c r="D186" s="30" t="s">
        <v>3117</v>
      </c>
      <c r="E186" s="6" t="s">
        <v>323</v>
      </c>
      <c r="F186" s="253" t="s">
        <v>373</v>
      </c>
      <c r="G186" s="253" t="s">
        <v>5235</v>
      </c>
      <c r="H186" s="30" t="s">
        <v>5635</v>
      </c>
      <c r="I186" s="20" t="s">
        <v>5265</v>
      </c>
      <c r="J186" s="30" t="s">
        <v>809</v>
      </c>
      <c r="K186" s="253"/>
      <c r="L186" s="253"/>
      <c r="M186" s="30" t="s">
        <v>809</v>
      </c>
      <c r="N186" s="20" t="s">
        <v>5328</v>
      </c>
      <c r="O186" s="6" t="s">
        <v>809</v>
      </c>
      <c r="P186" s="253" t="s">
        <v>5281</v>
      </c>
      <c r="Q186" s="49" t="n">
        <f aca="false">Arch!D11</f>
        <v>512</v>
      </c>
      <c r="R186" s="186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5267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198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5637</v>
      </c>
      <c r="B187" s="253" t="s">
        <v>5234</v>
      </c>
      <c r="C187" s="30" t="s">
        <v>3208</v>
      </c>
      <c r="D187" s="30" t="s">
        <v>3180</v>
      </c>
      <c r="E187" s="6" t="s">
        <v>325</v>
      </c>
      <c r="F187" s="253" t="s">
        <v>373</v>
      </c>
      <c r="G187" s="253" t="s">
        <v>5235</v>
      </c>
      <c r="H187" s="30" t="s">
        <v>5638</v>
      </c>
      <c r="I187" s="20" t="s">
        <v>5265</v>
      </c>
      <c r="J187" s="30" t="s">
        <v>809</v>
      </c>
      <c r="K187" s="253"/>
      <c r="L187" s="253"/>
      <c r="M187" s="30" t="s">
        <v>809</v>
      </c>
      <c r="N187" s="20" t="s">
        <v>5399</v>
      </c>
      <c r="O187" s="6" t="s">
        <v>809</v>
      </c>
      <c r="P187" s="253" t="s">
        <v>5281</v>
      </c>
      <c r="Q187" s="49" t="n">
        <f aca="false">Arch!C12</f>
        <v>256</v>
      </c>
      <c r="R187" s="186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5267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199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5639</v>
      </c>
      <c r="B188" s="253" t="s">
        <v>5234</v>
      </c>
      <c r="C188" s="30" t="s">
        <v>3208</v>
      </c>
      <c r="D188" s="30" t="s">
        <v>3181</v>
      </c>
      <c r="E188" s="6" t="s">
        <v>325</v>
      </c>
      <c r="F188" s="253" t="s">
        <v>373</v>
      </c>
      <c r="G188" s="253" t="s">
        <v>5235</v>
      </c>
      <c r="H188" s="30" t="s">
        <v>5640</v>
      </c>
      <c r="I188" s="20" t="s">
        <v>5265</v>
      </c>
      <c r="J188" s="30" t="s">
        <v>809</v>
      </c>
      <c r="K188" s="253"/>
      <c r="L188" s="253"/>
      <c r="M188" s="30" t="s">
        <v>809</v>
      </c>
      <c r="N188" s="20" t="s">
        <v>5399</v>
      </c>
      <c r="O188" s="6" t="s">
        <v>809</v>
      </c>
      <c r="P188" s="253" t="s">
        <v>5281</v>
      </c>
      <c r="Q188" s="49" t="n">
        <f aca="false">Arch!D12</f>
        <v>384</v>
      </c>
      <c r="R188" s="186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5267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200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5641</v>
      </c>
      <c r="B189" s="253" t="s">
        <v>5234</v>
      </c>
      <c r="C189" s="30" t="s">
        <v>3208</v>
      </c>
      <c r="D189" s="30" t="s">
        <v>3184</v>
      </c>
      <c r="E189" s="20" t="s">
        <v>5642</v>
      </c>
      <c r="F189" s="253" t="s">
        <v>373</v>
      </c>
      <c r="G189" s="253" t="s">
        <v>5235</v>
      </c>
      <c r="H189" s="30" t="s">
        <v>5643</v>
      </c>
      <c r="I189" s="20" t="s">
        <v>5265</v>
      </c>
      <c r="J189" s="30" t="s">
        <v>809</v>
      </c>
      <c r="K189" s="253"/>
      <c r="L189" s="253"/>
      <c r="M189" s="30" t="s">
        <v>809</v>
      </c>
      <c r="N189" s="20" t="s">
        <v>5399</v>
      </c>
      <c r="O189" s="6" t="s">
        <v>809</v>
      </c>
      <c r="P189" s="253" t="s">
        <v>5281</v>
      </c>
      <c r="Q189" s="49" t="n">
        <f aca="false">Arch!C13</f>
        <v>6</v>
      </c>
      <c r="R189" s="186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5267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201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5644</v>
      </c>
      <c r="B190" s="253" t="s">
        <v>5234</v>
      </c>
      <c r="C190" s="30" t="s">
        <v>3208</v>
      </c>
      <c r="D190" s="30" t="s">
        <v>3120</v>
      </c>
      <c r="E190" s="20" t="s">
        <v>5642</v>
      </c>
      <c r="F190" s="253" t="s">
        <v>373</v>
      </c>
      <c r="G190" s="253" t="s">
        <v>5235</v>
      </c>
      <c r="H190" s="30" t="s">
        <v>5643</v>
      </c>
      <c r="I190" s="20" t="s">
        <v>5265</v>
      </c>
      <c r="J190" s="30" t="s">
        <v>809</v>
      </c>
      <c r="K190" s="253"/>
      <c r="L190" s="253"/>
      <c r="M190" s="30" t="s">
        <v>809</v>
      </c>
      <c r="N190" s="20" t="s">
        <v>5399</v>
      </c>
      <c r="O190" s="6" t="s">
        <v>809</v>
      </c>
      <c r="P190" s="253" t="s">
        <v>5281</v>
      </c>
      <c r="Q190" s="49" t="n">
        <f aca="false">Arch!D13</f>
        <v>6</v>
      </c>
      <c r="R190" s="186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5267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201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5645</v>
      </c>
      <c r="B191" s="253" t="s">
        <v>5234</v>
      </c>
      <c r="C191" s="30" t="s">
        <v>3208</v>
      </c>
      <c r="D191" s="30" t="s">
        <v>3213</v>
      </c>
      <c r="E191" s="6" t="s">
        <v>327</v>
      </c>
      <c r="F191" s="253" t="s">
        <v>373</v>
      </c>
      <c r="G191" s="253" t="s">
        <v>5235</v>
      </c>
      <c r="H191" s="30" t="s">
        <v>5646</v>
      </c>
      <c r="I191" s="20" t="s">
        <v>5265</v>
      </c>
      <c r="J191" s="30" t="s">
        <v>809</v>
      </c>
      <c r="K191" s="253"/>
      <c r="L191" s="253"/>
      <c r="M191" s="30" t="s">
        <v>809</v>
      </c>
      <c r="N191" s="20" t="s">
        <v>5328</v>
      </c>
      <c r="O191" s="6" t="s">
        <v>809</v>
      </c>
      <c r="P191" s="253" t="s">
        <v>1433</v>
      </c>
      <c r="Q191" s="49" t="n">
        <f aca="false">Arch!C14</f>
        <v>1</v>
      </c>
      <c r="R191" s="186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5267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202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5647</v>
      </c>
      <c r="B192" s="253" t="s">
        <v>5234</v>
      </c>
      <c r="C192" s="30" t="s">
        <v>3208</v>
      </c>
      <c r="D192" s="30" t="s">
        <v>3122</v>
      </c>
      <c r="E192" s="6" t="s">
        <v>327</v>
      </c>
      <c r="F192" s="253" t="s">
        <v>373</v>
      </c>
      <c r="G192" s="253" t="s">
        <v>5235</v>
      </c>
      <c r="H192" s="30" t="s">
        <v>5646</v>
      </c>
      <c r="I192" s="20" t="s">
        <v>5265</v>
      </c>
      <c r="J192" s="30" t="s">
        <v>809</v>
      </c>
      <c r="K192" s="253"/>
      <c r="L192" s="253"/>
      <c r="M192" s="30" t="s">
        <v>809</v>
      </c>
      <c r="N192" s="20" t="s">
        <v>5328</v>
      </c>
      <c r="O192" s="6" t="s">
        <v>809</v>
      </c>
      <c r="P192" s="253" t="s">
        <v>1433</v>
      </c>
      <c r="Q192" s="49" t="n">
        <f aca="false">Arch!D14</f>
        <v>1</v>
      </c>
      <c r="R192" s="186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5267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202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5648</v>
      </c>
      <c r="B193" s="253" t="s">
        <v>5234</v>
      </c>
      <c r="C193" s="30" t="s">
        <v>3208</v>
      </c>
      <c r="D193" s="30" t="s">
        <v>3214</v>
      </c>
      <c r="E193" s="6" t="s">
        <v>328</v>
      </c>
      <c r="F193" s="253" t="s">
        <v>373</v>
      </c>
      <c r="G193" s="253" t="s">
        <v>5235</v>
      </c>
      <c r="H193" s="30" t="s">
        <v>5649</v>
      </c>
      <c r="I193" s="20" t="s">
        <v>5265</v>
      </c>
      <c r="J193" s="30" t="s">
        <v>809</v>
      </c>
      <c r="K193" s="253"/>
      <c r="L193" s="253"/>
      <c r="M193" s="30" t="s">
        <v>809</v>
      </c>
      <c r="N193" s="20" t="s">
        <v>5328</v>
      </c>
      <c r="O193" s="6" t="s">
        <v>809</v>
      </c>
      <c r="P193" s="253" t="s">
        <v>5238</v>
      </c>
      <c r="Q193" s="49" t="n">
        <f aca="false">Arch!C15</f>
        <v>129280</v>
      </c>
      <c r="R193" s="186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5267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203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5650</v>
      </c>
      <c r="B194" s="253" t="s">
        <v>5234</v>
      </c>
      <c r="C194" s="30" t="s">
        <v>3208</v>
      </c>
      <c r="D194" s="30" t="s">
        <v>5651</v>
      </c>
      <c r="E194" s="6" t="s">
        <v>328</v>
      </c>
      <c r="F194" s="253" t="s">
        <v>373</v>
      </c>
      <c r="G194" s="253" t="s">
        <v>5235</v>
      </c>
      <c r="H194" s="30" t="s">
        <v>5649</v>
      </c>
      <c r="I194" s="20" t="s">
        <v>5265</v>
      </c>
      <c r="J194" s="30" t="s">
        <v>809</v>
      </c>
      <c r="K194" s="253"/>
      <c r="L194" s="253"/>
      <c r="M194" s="30" t="s">
        <v>809</v>
      </c>
      <c r="N194" s="20" t="s">
        <v>5328</v>
      </c>
      <c r="O194" s="6" t="s">
        <v>809</v>
      </c>
      <c r="P194" s="253" t="s">
        <v>5238</v>
      </c>
      <c r="Q194" s="49" t="n">
        <f aca="false">Arch!D15</f>
        <v>129280</v>
      </c>
      <c r="R194" s="186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5267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203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5652</v>
      </c>
      <c r="B195" s="253" t="s">
        <v>5234</v>
      </c>
      <c r="C195" s="30" t="s">
        <v>3208</v>
      </c>
      <c r="D195" s="30" t="s">
        <v>3215</v>
      </c>
      <c r="E195" s="20" t="s">
        <v>330</v>
      </c>
      <c r="F195" s="253" t="s">
        <v>373</v>
      </c>
      <c r="G195" s="253" t="s">
        <v>5235</v>
      </c>
      <c r="H195" s="30" t="s">
        <v>5653</v>
      </c>
      <c r="I195" s="20" t="s">
        <v>5265</v>
      </c>
      <c r="J195" s="30" t="s">
        <v>809</v>
      </c>
      <c r="K195" s="253"/>
      <c r="L195" s="253"/>
      <c r="M195" s="30" t="s">
        <v>809</v>
      </c>
      <c r="N195" s="20" t="s">
        <v>5328</v>
      </c>
      <c r="O195" s="6" t="s">
        <v>809</v>
      </c>
      <c r="P195" s="253" t="s">
        <v>5281</v>
      </c>
      <c r="Q195" s="196" t="n">
        <f aca="false">Arch!C16</f>
        <v>0.512</v>
      </c>
      <c r="R195" s="186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5267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204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5654</v>
      </c>
      <c r="B196" s="253" t="s">
        <v>5234</v>
      </c>
      <c r="C196" s="30" t="s">
        <v>3208</v>
      </c>
      <c r="D196" s="30" t="s">
        <v>3125</v>
      </c>
      <c r="E196" s="20" t="s">
        <v>330</v>
      </c>
      <c r="F196" s="253" t="s">
        <v>373</v>
      </c>
      <c r="G196" s="253" t="s">
        <v>5235</v>
      </c>
      <c r="H196" s="30" t="s">
        <v>5653</v>
      </c>
      <c r="I196" s="20" t="s">
        <v>5265</v>
      </c>
      <c r="J196" s="30" t="s">
        <v>809</v>
      </c>
      <c r="K196" s="253"/>
      <c r="L196" s="253"/>
      <c r="M196" s="30" t="s">
        <v>809</v>
      </c>
      <c r="N196" s="20" t="s">
        <v>5328</v>
      </c>
      <c r="O196" s="6" t="s">
        <v>809</v>
      </c>
      <c r="P196" s="253" t="s">
        <v>5281</v>
      </c>
      <c r="Q196" s="196" t="n">
        <f aca="false">Arch!D16</f>
        <v>0.492</v>
      </c>
      <c r="R196" s="186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5267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204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5655</v>
      </c>
      <c r="B197" s="253" t="s">
        <v>5234</v>
      </c>
      <c r="C197" s="30" t="s">
        <v>3208</v>
      </c>
      <c r="D197" s="30" t="s">
        <v>3217</v>
      </c>
      <c r="E197" s="20" t="s">
        <v>335</v>
      </c>
      <c r="F197" s="253" t="s">
        <v>373</v>
      </c>
      <c r="G197" s="253" t="s">
        <v>5235</v>
      </c>
      <c r="H197" s="30" t="s">
        <v>5656</v>
      </c>
      <c r="I197" s="20" t="s">
        <v>5265</v>
      </c>
      <c r="J197" s="30" t="s">
        <v>809</v>
      </c>
      <c r="K197" s="253"/>
      <c r="L197" s="253"/>
      <c r="M197" s="30" t="s">
        <v>809</v>
      </c>
      <c r="N197" s="20" t="s">
        <v>5328</v>
      </c>
      <c r="O197" s="6" t="s">
        <v>809</v>
      </c>
      <c r="P197" s="253" t="s">
        <v>1433</v>
      </c>
      <c r="Q197" s="49" t="n">
        <f aca="false">Arch!C18</f>
        <v>128</v>
      </c>
      <c r="R197" s="186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5267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205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5657</v>
      </c>
      <c r="B198" s="253" t="s">
        <v>5234</v>
      </c>
      <c r="C198" s="30" t="s">
        <v>3208</v>
      </c>
      <c r="D198" s="30" t="s">
        <v>3131</v>
      </c>
      <c r="E198" s="20" t="s">
        <v>335</v>
      </c>
      <c r="F198" s="253" t="s">
        <v>373</v>
      </c>
      <c r="G198" s="253" t="s">
        <v>5235</v>
      </c>
      <c r="H198" s="30" t="s">
        <v>5656</v>
      </c>
      <c r="I198" s="20" t="s">
        <v>5265</v>
      </c>
      <c r="J198" s="30" t="s">
        <v>809</v>
      </c>
      <c r="K198" s="253"/>
      <c r="L198" s="253"/>
      <c r="M198" s="30" t="s">
        <v>809</v>
      </c>
      <c r="N198" s="20" t="s">
        <v>5328</v>
      </c>
      <c r="O198" s="6" t="s">
        <v>809</v>
      </c>
      <c r="P198" s="253" t="s">
        <v>1433</v>
      </c>
      <c r="Q198" s="49" t="n">
        <f aca="false">Arch!D18</f>
        <v>128</v>
      </c>
      <c r="R198" s="186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5267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205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5658</v>
      </c>
      <c r="B199" s="253" t="s">
        <v>5234</v>
      </c>
      <c r="C199" s="30" t="s">
        <v>3208</v>
      </c>
      <c r="D199" s="30" t="s">
        <v>3368</v>
      </c>
      <c r="E199" s="20" t="s">
        <v>337</v>
      </c>
      <c r="F199" s="253" t="s">
        <v>373</v>
      </c>
      <c r="G199" s="253" t="s">
        <v>5235</v>
      </c>
      <c r="H199" s="30" t="s">
        <v>5659</v>
      </c>
      <c r="I199" s="20" t="s">
        <v>5265</v>
      </c>
      <c r="J199" s="30" t="s">
        <v>809</v>
      </c>
      <c r="K199" s="253"/>
      <c r="L199" s="253"/>
      <c r="M199" s="30" t="s">
        <v>809</v>
      </c>
      <c r="N199" s="20" t="s">
        <v>5328</v>
      </c>
      <c r="O199" s="6" t="s">
        <v>809</v>
      </c>
      <c r="P199" s="253" t="s">
        <v>1433</v>
      </c>
      <c r="Q199" s="49" t="n">
        <f aca="false">Arch!C19</f>
        <v>128</v>
      </c>
      <c r="R199" s="186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5267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206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5660</v>
      </c>
      <c r="B200" s="253" t="s">
        <v>5234</v>
      </c>
      <c r="C200" s="30" t="s">
        <v>3208</v>
      </c>
      <c r="D200" s="30" t="s">
        <v>3134</v>
      </c>
      <c r="E200" s="20" t="s">
        <v>337</v>
      </c>
      <c r="F200" s="253" t="s">
        <v>373</v>
      </c>
      <c r="G200" s="253" t="s">
        <v>5235</v>
      </c>
      <c r="H200" s="30" t="s">
        <v>5659</v>
      </c>
      <c r="I200" s="20" t="s">
        <v>5265</v>
      </c>
      <c r="J200" s="30" t="s">
        <v>809</v>
      </c>
      <c r="K200" s="253"/>
      <c r="L200" s="253"/>
      <c r="M200" s="30" t="s">
        <v>809</v>
      </c>
      <c r="N200" s="20" t="s">
        <v>5328</v>
      </c>
      <c r="O200" s="6" t="s">
        <v>809</v>
      </c>
      <c r="P200" s="253" t="s">
        <v>1433</v>
      </c>
      <c r="Q200" s="49" t="n">
        <f aca="false">Arch!D19</f>
        <v>128</v>
      </c>
      <c r="R200" s="186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5267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206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5661</v>
      </c>
      <c r="B201" s="253" t="s">
        <v>5234</v>
      </c>
      <c r="C201" s="30" t="s">
        <v>3208</v>
      </c>
      <c r="D201" s="30" t="s">
        <v>3111</v>
      </c>
      <c r="E201" s="6" t="s">
        <v>318</v>
      </c>
      <c r="F201" s="253" t="s">
        <v>373</v>
      </c>
      <c r="G201" s="253" t="s">
        <v>5235</v>
      </c>
      <c r="H201" s="30" t="s">
        <v>5662</v>
      </c>
      <c r="I201" s="20" t="s">
        <v>5265</v>
      </c>
      <c r="J201" s="30" t="s">
        <v>809</v>
      </c>
      <c r="K201" s="253"/>
      <c r="L201" s="253"/>
      <c r="M201" s="30" t="s">
        <v>809</v>
      </c>
      <c r="N201" s="20" t="s">
        <v>5328</v>
      </c>
      <c r="O201" s="6" t="s">
        <v>809</v>
      </c>
      <c r="P201" s="253" t="s">
        <v>5238</v>
      </c>
      <c r="Q201" s="49" t="n">
        <f aca="false">Arch!D9</f>
        <v>7168</v>
      </c>
      <c r="R201" s="186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5267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193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5663</v>
      </c>
      <c r="B202" s="253" t="s">
        <v>5234</v>
      </c>
      <c r="C202" s="30" t="s">
        <v>3208</v>
      </c>
      <c r="D202" s="30" t="s">
        <v>3114</v>
      </c>
      <c r="E202" s="6" t="s">
        <v>321</v>
      </c>
      <c r="F202" s="253" t="s">
        <v>373</v>
      </c>
      <c r="G202" s="253" t="s">
        <v>5235</v>
      </c>
      <c r="H202" s="30" t="s">
        <v>5664</v>
      </c>
      <c r="I202" s="20" t="s">
        <v>5265</v>
      </c>
      <c r="J202" s="30" t="s">
        <v>809</v>
      </c>
      <c r="K202" s="253"/>
      <c r="L202" s="253"/>
      <c r="M202" s="30" t="s">
        <v>809</v>
      </c>
      <c r="N202" s="20" t="s">
        <v>5328</v>
      </c>
      <c r="O202" s="6" t="s">
        <v>809</v>
      </c>
      <c r="P202" s="253" t="s">
        <v>5281</v>
      </c>
      <c r="Q202" s="49" t="n">
        <f aca="false">Arch!D10</f>
        <v>128</v>
      </c>
      <c r="R202" s="186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5267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197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5665</v>
      </c>
      <c r="B203" s="253" t="s">
        <v>5234</v>
      </c>
      <c r="C203" s="30" t="s">
        <v>3208</v>
      </c>
      <c r="D203" s="30" t="s">
        <v>3175</v>
      </c>
      <c r="E203" s="6" t="s">
        <v>318</v>
      </c>
      <c r="F203" s="253" t="s">
        <v>373</v>
      </c>
      <c r="G203" s="253" t="s">
        <v>5235</v>
      </c>
      <c r="H203" s="30" t="s">
        <v>5666</v>
      </c>
      <c r="I203" s="20" t="s">
        <v>5265</v>
      </c>
      <c r="J203" s="30" t="s">
        <v>809</v>
      </c>
      <c r="K203" s="253"/>
      <c r="L203" s="253"/>
      <c r="M203" s="30" t="s">
        <v>809</v>
      </c>
      <c r="N203" s="20" t="s">
        <v>5667</v>
      </c>
      <c r="O203" s="6" t="s">
        <v>809</v>
      </c>
      <c r="P203" s="253" t="s">
        <v>5238</v>
      </c>
      <c r="Q203" s="49" t="n">
        <f aca="false">Arch!C9</f>
        <v>4096</v>
      </c>
      <c r="R203" s="186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5267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241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5668</v>
      </c>
      <c r="B204" s="253" t="s">
        <v>5234</v>
      </c>
      <c r="C204" s="30" t="s">
        <v>3208</v>
      </c>
      <c r="D204" s="30" t="s">
        <v>3177</v>
      </c>
      <c r="E204" s="6" t="s">
        <v>321</v>
      </c>
      <c r="F204" s="253" t="s">
        <v>373</v>
      </c>
      <c r="G204" s="253" t="s">
        <v>5235</v>
      </c>
      <c r="H204" s="30" t="s">
        <v>5669</v>
      </c>
      <c r="I204" s="20" t="s">
        <v>5265</v>
      </c>
      <c r="J204" s="30" t="s">
        <v>809</v>
      </c>
      <c r="K204" s="255"/>
      <c r="L204" s="255"/>
      <c r="M204" s="30" t="s">
        <v>809</v>
      </c>
      <c r="N204" s="254" t="str">
        <f aca="false">Arch!$G$10</f>
        <v>V4-Pro 128；V4-Flash 64（官方 config.json num_attention_heads，v5.13 讀原文）；Astra [Assumed]</v>
      </c>
      <c r="O204" s="6" t="s">
        <v>5670</v>
      </c>
      <c r="P204" s="253" t="s">
        <v>5281</v>
      </c>
      <c r="Q204" s="49" t="n">
        <f aca="false">Arch!C10</f>
        <v>64</v>
      </c>
      <c r="R204" s="186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5267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242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5671</v>
      </c>
      <c r="B205" s="253" t="s">
        <v>5234</v>
      </c>
      <c r="C205" s="30" t="s">
        <v>3208</v>
      </c>
      <c r="D205" s="30" t="s">
        <v>3216</v>
      </c>
      <c r="E205" s="20" t="s">
        <v>5672</v>
      </c>
      <c r="F205" s="253" t="s">
        <v>373</v>
      </c>
      <c r="G205" s="253" t="s">
        <v>5235</v>
      </c>
      <c r="H205" s="30" t="s">
        <v>5673</v>
      </c>
      <c r="I205" s="20" t="s">
        <v>5499</v>
      </c>
      <c r="J205" s="30" t="s">
        <v>809</v>
      </c>
      <c r="K205" s="253"/>
      <c r="L205" s="253"/>
      <c r="M205" s="30" t="s">
        <v>809</v>
      </c>
      <c r="N205" s="20" t="s">
        <v>5328</v>
      </c>
      <c r="O205" s="6" t="s">
        <v>809</v>
      </c>
      <c r="P205" s="253" t="s">
        <v>5238</v>
      </c>
      <c r="Q205" s="49" t="n">
        <f aca="false">Arch!C17</f>
        <v>4224</v>
      </c>
      <c r="R205" s="186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5267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207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5674</v>
      </c>
      <c r="B206" s="253" t="s">
        <v>5234</v>
      </c>
      <c r="C206" s="30" t="s">
        <v>3208</v>
      </c>
      <c r="D206" s="30" t="s">
        <v>3128</v>
      </c>
      <c r="E206" s="20" t="s">
        <v>5672</v>
      </c>
      <c r="F206" s="253" t="s">
        <v>373</v>
      </c>
      <c r="G206" s="253" t="s">
        <v>5235</v>
      </c>
      <c r="H206" s="30" t="s">
        <v>5673</v>
      </c>
      <c r="I206" s="20" t="s">
        <v>5499</v>
      </c>
      <c r="J206" s="30" t="s">
        <v>809</v>
      </c>
      <c r="K206" s="253"/>
      <c r="L206" s="253"/>
      <c r="M206" s="30" t="s">
        <v>809</v>
      </c>
      <c r="N206" s="20" t="s">
        <v>5328</v>
      </c>
      <c r="O206" s="6" t="s">
        <v>809</v>
      </c>
      <c r="P206" s="253" t="s">
        <v>5238</v>
      </c>
      <c r="Q206" s="49" t="n">
        <f aca="false">Arch!D17</f>
        <v>4224</v>
      </c>
      <c r="R206" s="186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5267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207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5675</v>
      </c>
      <c r="B207" s="253" t="s">
        <v>5234</v>
      </c>
      <c r="C207" s="30" t="s">
        <v>3208</v>
      </c>
      <c r="D207" s="30" t="s">
        <v>3109</v>
      </c>
      <c r="E207" s="20" t="s">
        <v>310</v>
      </c>
      <c r="F207" s="30" t="s">
        <v>128</v>
      </c>
      <c r="G207" s="253" t="s">
        <v>5235</v>
      </c>
      <c r="H207" s="30" t="s">
        <v>809</v>
      </c>
      <c r="I207" s="6" t="s">
        <v>809</v>
      </c>
      <c r="J207" s="30" t="s">
        <v>5676</v>
      </c>
      <c r="K207" s="255" t="n">
        <v>2000</v>
      </c>
      <c r="L207" s="255" t="n">
        <v>10000</v>
      </c>
      <c r="M207" s="30" t="s">
        <v>5677</v>
      </c>
      <c r="N207" s="254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K3（E253）"&amp;"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D5；全部：D5＋J8）"&amp;" ｜Andy 2026-10-17 決定：Arch E6 頁內標記以 Gov_Map 為準，改為 Assumed（修訂九：原字樣保留於 Arch G6，見 Decisions D15-10）"</f>
        <v>V4-Flash 284B、V4-Pro 1.6T（模型卡，S27）；Astra 4T [Assumed，區間 2–10T] ｜v13.1 更正（修訂九，Decisions D15-10）：標記欄原字樣『Verified／Assumed』更正為『Assumed』（以 Gov_Map 為準；Luna／Sol 欄數值連結 SRC_MOD，Astra 欄無公開來源）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 ｜v13.1 D15 補登（原 J／H 欄為『—』）：決策：D5（代表架構）＋J8（Astra 預訓練規模，未結）；可比對象（Analogy，不作來源）：DeepSeek V4-Pro 1.6T、V4-Flash 284B（SRC_MOD_001／005）、Epoch Grok 3 參數 3e12（E249，出處未明）（J 欄放主要決策 D5；全部：D5＋J8） ｜Andy 2026-10-17 決定：Arch E6 頁內標記以 Gov_Map 為準，改為 Assumed（修訂九：原字樣保留於 Arch G6，見 Decisions D15-10）</v>
      </c>
      <c r="O207" s="6" t="s">
        <v>809</v>
      </c>
      <c r="P207" s="253" t="s">
        <v>1434</v>
      </c>
      <c r="Q207" s="49" t="n">
        <f aca="false">Arch!E6</f>
        <v>4000</v>
      </c>
      <c r="R207" s="30" t="s">
        <v>809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5239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5678</v>
      </c>
      <c r="B208" s="253" t="s">
        <v>5234</v>
      </c>
      <c r="C208" s="30" t="s">
        <v>3208</v>
      </c>
      <c r="D208" s="30" t="s">
        <v>3209</v>
      </c>
      <c r="E208" s="20" t="s">
        <v>313</v>
      </c>
      <c r="F208" s="30" t="s">
        <v>128</v>
      </c>
      <c r="G208" s="253" t="s">
        <v>5235</v>
      </c>
      <c r="H208" s="30" t="s">
        <v>809</v>
      </c>
      <c r="I208" s="6" t="s">
        <v>809</v>
      </c>
      <c r="J208" s="30" t="s">
        <v>5676</v>
      </c>
      <c r="K208" s="255" t="n">
        <v>60</v>
      </c>
      <c r="L208" s="255" t="n">
        <v>250</v>
      </c>
      <c r="M208" s="30" t="s">
        <v>5679</v>
      </c>
      <c r="N208" s="254" t="str">
        <f aca="false">Arch!$G$7&amp;" ｜v5.25 X12：Epoch GPT-6 Astra 1.0e27（E248）；J8 未結"&amp;" ｜v5.27：Kimi K3（E253）"&amp;" ｜v13.1 D15 補登（原 J／H 欄為『—』）：決策：D5＋J8；可比對象：V4-Pro 啟用 49B（SRC_MOD_002）；GPT-4 外洩約 220–280B（稽核修正 2Q 查證；SemiAnalysis＋Hotz）（J 欄放主要決策 D5；全部：D5＋J8）"&amp;" ｜Andy 2026-10-17 決定：Arch E7 頁內標記以 Gov_Map 為準，改為 Assumed（修訂九：原字樣保留於 Arch G7，見 Decisions D15-10）"</f>
        <v>V4-Flash 13B、V4-Pro 49B；Astra 180B [Assumed，區間 60–250B] ｜v13.1 更正（修訂九，Decisions D15-10）：標記欄原字樣『Verified／Assumed』更正為『Assumed』（以 Gov_Map 為準；Luna／Sol 欄數值連結 SRC_MOD，Astra 欄無公開來源） ｜v5.25 X12：Epoch GPT-6 Astra 1.0e27（E248）；J8 未結 ｜v5.27：Kimi K3（E253） ｜v13.1 D15 補登（原 J／H 欄為『—』）：決策：D5＋J8；可比對象：V4-Pro 啟用 49B（SRC_MOD_002）；GPT-4 外洩約 220–280B（稽核修正 2Q 查證；SemiAnalysis＋Hotz）（J 欄放主要決策 D5；全部：D5＋J8） ｜Andy 2026-10-17 決定：Arch E7 頁內標記以 Gov_Map 為準，改為 Assumed（修訂九：原字樣保留於 Arch G7，見 Decisions D15-10）</v>
      </c>
      <c r="O208" s="6" t="s">
        <v>809</v>
      </c>
      <c r="P208" s="253" t="s">
        <v>1434</v>
      </c>
      <c r="Q208" s="49" t="n">
        <f aca="false">Arch!E7</f>
        <v>180</v>
      </c>
      <c r="R208" s="30" t="s">
        <v>809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5239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5680</v>
      </c>
      <c r="B209" s="253" t="s">
        <v>5234</v>
      </c>
      <c r="C209" s="30" t="s">
        <v>3208</v>
      </c>
      <c r="D209" s="30" t="s">
        <v>3110</v>
      </c>
      <c r="E209" s="20" t="s">
        <v>315</v>
      </c>
      <c r="F209" s="30" t="s">
        <v>128</v>
      </c>
      <c r="G209" s="253" t="s">
        <v>5235</v>
      </c>
      <c r="H209" s="30" t="s">
        <v>809</v>
      </c>
      <c r="I209" s="6" t="s">
        <v>809</v>
      </c>
      <c r="J209" s="30" t="s">
        <v>5676</v>
      </c>
      <c r="K209" s="255" t="n">
        <v>80</v>
      </c>
      <c r="L209" s="255" t="n">
        <v>160</v>
      </c>
      <c r="M209" s="30" t="s">
        <v>5681</v>
      </c>
      <c r="N209" s="6" t="s">
        <v>5682</v>
      </c>
      <c r="O209" s="6" t="s">
        <v>809</v>
      </c>
      <c r="P209" s="253" t="s">
        <v>1434</v>
      </c>
      <c r="Q209" s="49" t="n">
        <f aca="false">Arch!E8</f>
        <v>100</v>
      </c>
      <c r="R209" s="30" t="s">
        <v>809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5239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5683</v>
      </c>
      <c r="B210" s="253" t="s">
        <v>5234</v>
      </c>
      <c r="C210" s="30" t="s">
        <v>3208</v>
      </c>
      <c r="D210" s="30" t="s">
        <v>3112</v>
      </c>
      <c r="E210" s="6" t="s">
        <v>318</v>
      </c>
      <c r="F210" s="30" t="s">
        <v>128</v>
      </c>
      <c r="G210" s="253" t="s">
        <v>5235</v>
      </c>
      <c r="H210" s="30" t="s">
        <v>809</v>
      </c>
      <c r="I210" s="6" t="s">
        <v>809</v>
      </c>
      <c r="J210" s="30" t="s">
        <v>5676</v>
      </c>
      <c r="K210" s="255" t="n">
        <v>8192</v>
      </c>
      <c r="L210" s="255" t="n">
        <v>16384</v>
      </c>
      <c r="M210" s="30" t="s">
        <v>5684</v>
      </c>
      <c r="N210" s="6" t="s">
        <v>5685</v>
      </c>
      <c r="O210" s="6" t="s">
        <v>809</v>
      </c>
      <c r="P210" s="253" t="s">
        <v>5238</v>
      </c>
      <c r="Q210" s="49" t="n">
        <f aca="false">Arch!E9</f>
        <v>12288</v>
      </c>
      <c r="R210" s="30" t="s">
        <v>809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5239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5686</v>
      </c>
      <c r="B211" s="253" t="s">
        <v>5234</v>
      </c>
      <c r="C211" s="30" t="s">
        <v>3208</v>
      </c>
      <c r="D211" s="30" t="s">
        <v>3115</v>
      </c>
      <c r="E211" s="6" t="s">
        <v>321</v>
      </c>
      <c r="F211" s="30" t="s">
        <v>128</v>
      </c>
      <c r="G211" s="253" t="s">
        <v>5235</v>
      </c>
      <c r="H211" s="30" t="s">
        <v>809</v>
      </c>
      <c r="I211" s="6" t="s">
        <v>809</v>
      </c>
      <c r="J211" s="30" t="s">
        <v>5676</v>
      </c>
      <c r="K211" s="255" t="n">
        <v>64</v>
      </c>
      <c r="L211" s="255" t="n">
        <v>128</v>
      </c>
      <c r="M211" s="30" t="s">
        <v>5687</v>
      </c>
      <c r="N211" s="6" t="s">
        <v>5685</v>
      </c>
      <c r="O211" s="6" t="s">
        <v>809</v>
      </c>
      <c r="P211" s="253" t="s">
        <v>5281</v>
      </c>
      <c r="Q211" s="49" t="n">
        <f aca="false">Arch!E10</f>
        <v>96</v>
      </c>
      <c r="R211" s="30" t="s">
        <v>809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5239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5688</v>
      </c>
      <c r="B212" s="253" t="s">
        <v>5234</v>
      </c>
      <c r="C212" s="30" t="s">
        <v>3208</v>
      </c>
      <c r="D212" s="30" t="s">
        <v>3118</v>
      </c>
      <c r="E212" s="6" t="s">
        <v>323</v>
      </c>
      <c r="F212" s="30" t="s">
        <v>128</v>
      </c>
      <c r="G212" s="253" t="s">
        <v>5235</v>
      </c>
      <c r="H212" s="30" t="s">
        <v>809</v>
      </c>
      <c r="I212" s="6" t="s">
        <v>809</v>
      </c>
      <c r="J212" s="30" t="s">
        <v>5676</v>
      </c>
      <c r="K212" s="255" t="n">
        <v>128</v>
      </c>
      <c r="L212" s="255" t="n">
        <v>192</v>
      </c>
      <c r="M212" s="30" t="s">
        <v>5689</v>
      </c>
      <c r="N212" s="6" t="s">
        <v>5685</v>
      </c>
      <c r="O212" s="6" t="s">
        <v>809</v>
      </c>
      <c r="P212" s="253" t="s">
        <v>5281</v>
      </c>
      <c r="Q212" s="49" t="n">
        <f aca="false">Arch!E11</f>
        <v>128</v>
      </c>
      <c r="R212" s="30" t="s">
        <v>809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5239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5690</v>
      </c>
      <c r="B213" s="253" t="s">
        <v>5234</v>
      </c>
      <c r="C213" s="30" t="s">
        <v>3208</v>
      </c>
      <c r="D213" s="30" t="s">
        <v>3182</v>
      </c>
      <c r="E213" s="6" t="s">
        <v>325</v>
      </c>
      <c r="F213" s="30" t="s">
        <v>128</v>
      </c>
      <c r="G213" s="253" t="s">
        <v>5235</v>
      </c>
      <c r="H213" s="30" t="s">
        <v>809</v>
      </c>
      <c r="I213" s="6" t="s">
        <v>809</v>
      </c>
      <c r="J213" s="30" t="s">
        <v>5676</v>
      </c>
      <c r="K213" s="255" t="n">
        <v>256</v>
      </c>
      <c r="L213" s="255" t="n">
        <v>1024</v>
      </c>
      <c r="M213" s="30" t="s">
        <v>5691</v>
      </c>
      <c r="N213" s="6" t="s">
        <v>5692</v>
      </c>
      <c r="O213" s="6" t="s">
        <v>809</v>
      </c>
      <c r="P213" s="253" t="s">
        <v>5281</v>
      </c>
      <c r="Q213" s="49" t="n">
        <f aca="false">Arch!E12</f>
        <v>512</v>
      </c>
      <c r="R213" s="30" t="s">
        <v>809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5239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5693</v>
      </c>
      <c r="B214" s="253" t="s">
        <v>5234</v>
      </c>
      <c r="C214" s="30" t="s">
        <v>3208</v>
      </c>
      <c r="D214" s="30" t="s">
        <v>3121</v>
      </c>
      <c r="E214" s="20" t="s">
        <v>5642</v>
      </c>
      <c r="F214" s="30" t="s">
        <v>128</v>
      </c>
      <c r="G214" s="253" t="s">
        <v>5235</v>
      </c>
      <c r="H214" s="30" t="s">
        <v>809</v>
      </c>
      <c r="I214" s="6" t="s">
        <v>809</v>
      </c>
      <c r="J214" s="30" t="s">
        <v>5676</v>
      </c>
      <c r="K214" s="255" t="n">
        <v>8</v>
      </c>
      <c r="L214" s="255" t="n">
        <v>32</v>
      </c>
      <c r="M214" s="30" t="s">
        <v>5694</v>
      </c>
      <c r="N214" s="6" t="s">
        <v>5695</v>
      </c>
      <c r="O214" s="6" t="s">
        <v>809</v>
      </c>
      <c r="P214" s="253" t="s">
        <v>5281</v>
      </c>
      <c r="Q214" s="49" t="n">
        <f aca="false">Arch!E13</f>
        <v>16</v>
      </c>
      <c r="R214" s="30" t="s">
        <v>809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5239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5696</v>
      </c>
      <c r="B215" s="253" t="s">
        <v>5234</v>
      </c>
      <c r="C215" s="30" t="s">
        <v>3208</v>
      </c>
      <c r="D215" s="30" t="s">
        <v>3289</v>
      </c>
      <c r="E215" s="6" t="s">
        <v>328</v>
      </c>
      <c r="F215" s="30" t="s">
        <v>128</v>
      </c>
      <c r="G215" s="253" t="s">
        <v>5235</v>
      </c>
      <c r="H215" s="30" t="s">
        <v>809</v>
      </c>
      <c r="I215" s="6" t="s">
        <v>809</v>
      </c>
      <c r="J215" s="30" t="s">
        <v>5676</v>
      </c>
      <c r="K215" s="255" t="n">
        <v>128000</v>
      </c>
      <c r="L215" s="255" t="n">
        <v>262144</v>
      </c>
      <c r="M215" s="30" t="s">
        <v>5697</v>
      </c>
      <c r="N215" s="6" t="s">
        <v>5685</v>
      </c>
      <c r="O215" s="6" t="s">
        <v>809</v>
      </c>
      <c r="P215" s="253" t="s">
        <v>5238</v>
      </c>
      <c r="Q215" s="49" t="n">
        <f aca="false">Arch!E15</f>
        <v>200000</v>
      </c>
      <c r="R215" s="30" t="s">
        <v>809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5239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5698</v>
      </c>
      <c r="B216" s="253" t="s">
        <v>5234</v>
      </c>
      <c r="C216" s="30" t="s">
        <v>3208</v>
      </c>
      <c r="D216" s="30" t="s">
        <v>3123</v>
      </c>
      <c r="E216" s="6" t="s">
        <v>327</v>
      </c>
      <c r="F216" s="30" t="s">
        <v>128</v>
      </c>
      <c r="G216" s="253" t="s">
        <v>5235</v>
      </c>
      <c r="H216" s="30" t="s">
        <v>809</v>
      </c>
      <c r="I216" s="6" t="s">
        <v>809</v>
      </c>
      <c r="J216" s="30" t="s">
        <v>5676</v>
      </c>
      <c r="K216" s="253"/>
      <c r="L216" s="253"/>
      <c r="M216" s="253" t="s">
        <v>5023</v>
      </c>
      <c r="N216" s="6" t="s">
        <v>5699</v>
      </c>
      <c r="O216" s="6" t="s">
        <v>809</v>
      </c>
      <c r="P216" s="253" t="s">
        <v>1433</v>
      </c>
      <c r="Q216" s="49" t="n">
        <f aca="false">Arch!E14</f>
        <v>1</v>
      </c>
      <c r="R216" s="30" t="s">
        <v>809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5239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5700</v>
      </c>
      <c r="B217" s="253" t="s">
        <v>5234</v>
      </c>
      <c r="C217" s="30" t="s">
        <v>3208</v>
      </c>
      <c r="D217" s="30" t="s">
        <v>3126</v>
      </c>
      <c r="E217" s="20" t="s">
        <v>330</v>
      </c>
      <c r="F217" s="30" t="s">
        <v>128</v>
      </c>
      <c r="G217" s="253" t="s">
        <v>5235</v>
      </c>
      <c r="H217" s="30" t="s">
        <v>809</v>
      </c>
      <c r="I217" s="6" t="s">
        <v>809</v>
      </c>
      <c r="J217" s="30" t="s">
        <v>5701</v>
      </c>
      <c r="K217" s="253"/>
      <c r="L217" s="253"/>
      <c r="M217" s="253" t="s">
        <v>5023</v>
      </c>
      <c r="N217" s="6" t="s">
        <v>5702</v>
      </c>
      <c r="O217" s="6" t="s">
        <v>809</v>
      </c>
      <c r="P217" s="253" t="s">
        <v>5281</v>
      </c>
      <c r="Q217" s="196" t="n">
        <f aca="false">Arch!E16</f>
        <v>1</v>
      </c>
      <c r="R217" s="30" t="s">
        <v>809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5239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5703</v>
      </c>
      <c r="B218" s="253" t="s">
        <v>5234</v>
      </c>
      <c r="C218" s="30" t="s">
        <v>3208</v>
      </c>
      <c r="D218" s="30" t="s">
        <v>3129</v>
      </c>
      <c r="E218" s="20" t="s">
        <v>5672</v>
      </c>
      <c r="F218" s="30" t="s">
        <v>128</v>
      </c>
      <c r="G218" s="253" t="s">
        <v>5235</v>
      </c>
      <c r="H218" s="30" t="s">
        <v>809</v>
      </c>
      <c r="I218" s="6" t="s">
        <v>809</v>
      </c>
      <c r="J218" s="30" t="s">
        <v>5701</v>
      </c>
      <c r="K218" s="253"/>
      <c r="L218" s="253"/>
      <c r="M218" s="253" t="s">
        <v>5023</v>
      </c>
      <c r="N218" s="6" t="s">
        <v>5704</v>
      </c>
      <c r="O218" s="6" t="s">
        <v>809</v>
      </c>
      <c r="P218" s="253" t="s">
        <v>5238</v>
      </c>
      <c r="Q218" s="49" t="n">
        <f aca="false">Arch!E17</f>
        <v>0</v>
      </c>
      <c r="R218" s="30" t="s">
        <v>809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5239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5705</v>
      </c>
      <c r="B219" s="253" t="s">
        <v>5234</v>
      </c>
      <c r="C219" s="30" t="s">
        <v>3208</v>
      </c>
      <c r="D219" s="30" t="s">
        <v>3132</v>
      </c>
      <c r="E219" s="20" t="s">
        <v>335</v>
      </c>
      <c r="F219" s="30" t="s">
        <v>128</v>
      </c>
      <c r="G219" s="253" t="s">
        <v>5235</v>
      </c>
      <c r="H219" s="30" t="s">
        <v>809</v>
      </c>
      <c r="I219" s="6" t="s">
        <v>809</v>
      </c>
      <c r="J219" s="30" t="s">
        <v>5701</v>
      </c>
      <c r="K219" s="253"/>
      <c r="L219" s="253"/>
      <c r="M219" s="253" t="s">
        <v>5023</v>
      </c>
      <c r="N219" s="6" t="s">
        <v>5706</v>
      </c>
      <c r="O219" s="6" t="s">
        <v>809</v>
      </c>
      <c r="P219" s="253" t="s">
        <v>1433</v>
      </c>
      <c r="Q219" s="49" t="n">
        <f aca="false">Arch!E18</f>
        <v>1</v>
      </c>
      <c r="R219" s="30" t="s">
        <v>809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5239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5707</v>
      </c>
      <c r="B220" s="253" t="s">
        <v>5234</v>
      </c>
      <c r="C220" s="30" t="s">
        <v>3208</v>
      </c>
      <c r="D220" s="30" t="s">
        <v>3135</v>
      </c>
      <c r="E220" s="20" t="s">
        <v>337</v>
      </c>
      <c r="F220" s="30" t="s">
        <v>128</v>
      </c>
      <c r="G220" s="253" t="s">
        <v>5235</v>
      </c>
      <c r="H220" s="30" t="s">
        <v>809</v>
      </c>
      <c r="I220" s="6" t="s">
        <v>809</v>
      </c>
      <c r="J220" s="30" t="s">
        <v>5701</v>
      </c>
      <c r="K220" s="253"/>
      <c r="L220" s="253"/>
      <c r="M220" s="253" t="s">
        <v>5023</v>
      </c>
      <c r="N220" s="6" t="s">
        <v>5708</v>
      </c>
      <c r="O220" s="6" t="s">
        <v>809</v>
      </c>
      <c r="P220" s="253" t="s">
        <v>1433</v>
      </c>
      <c r="Q220" s="49" t="n">
        <f aca="false">Arch!E19</f>
        <v>0</v>
      </c>
      <c r="R220" s="30" t="s">
        <v>809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5239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5709</v>
      </c>
      <c r="B221" s="253" t="s">
        <v>5234</v>
      </c>
      <c r="C221" s="30" t="s">
        <v>3208</v>
      </c>
      <c r="D221" s="30" t="s">
        <v>3138</v>
      </c>
      <c r="E221" s="6" t="s">
        <v>338</v>
      </c>
      <c r="F221" s="30" t="s">
        <v>118</v>
      </c>
      <c r="G221" s="253" t="s">
        <v>5235</v>
      </c>
      <c r="H221" s="30" t="s">
        <v>809</v>
      </c>
      <c r="I221" s="6" t="s">
        <v>809</v>
      </c>
      <c r="J221" s="30" t="s">
        <v>5701</v>
      </c>
      <c r="K221" s="253"/>
      <c r="L221" s="253"/>
      <c r="M221" s="30" t="s">
        <v>809</v>
      </c>
      <c r="N221" s="6" t="s">
        <v>5710</v>
      </c>
      <c r="O221" s="6" t="s">
        <v>809</v>
      </c>
      <c r="P221" s="253" t="s">
        <v>5238</v>
      </c>
      <c r="Q221" s="33" t="n">
        <f aca="false">Arch!E20</f>
        <v>2</v>
      </c>
      <c r="R221" s="30" t="s">
        <v>809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5239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5711</v>
      </c>
      <c r="B222" s="253" t="s">
        <v>5234</v>
      </c>
      <c r="C222" s="30" t="s">
        <v>3208</v>
      </c>
      <c r="D222" s="30" t="s">
        <v>3319</v>
      </c>
      <c r="E222" s="6" t="s">
        <v>340</v>
      </c>
      <c r="F222" s="30" t="s">
        <v>5299</v>
      </c>
      <c r="G222" s="253" t="s">
        <v>5235</v>
      </c>
      <c r="H222" s="30" t="s">
        <v>809</v>
      </c>
      <c r="I222" s="6" t="s">
        <v>809</v>
      </c>
      <c r="J222" s="30" t="s">
        <v>5701</v>
      </c>
      <c r="K222" s="253"/>
      <c r="L222" s="253"/>
      <c r="M222" s="30" t="s">
        <v>809</v>
      </c>
      <c r="N222" s="245" t="s">
        <v>5712</v>
      </c>
      <c r="O222" s="6" t="s">
        <v>809</v>
      </c>
      <c r="P222" s="253" t="s">
        <v>5238</v>
      </c>
      <c r="Q222" s="49" t="n">
        <f aca="false">Arch!C21</f>
        <v>2795</v>
      </c>
      <c r="R222" s="30" t="s">
        <v>809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5303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5713</v>
      </c>
      <c r="B223" s="253" t="s">
        <v>5234</v>
      </c>
      <c r="C223" s="30" t="s">
        <v>3208</v>
      </c>
      <c r="D223" s="30" t="s">
        <v>3140</v>
      </c>
      <c r="E223" s="6" t="s">
        <v>340</v>
      </c>
      <c r="F223" s="30" t="s">
        <v>5299</v>
      </c>
      <c r="G223" s="253" t="s">
        <v>5235</v>
      </c>
      <c r="H223" s="30" t="s">
        <v>809</v>
      </c>
      <c r="I223" s="6" t="s">
        <v>809</v>
      </c>
      <c r="J223" s="30" t="s">
        <v>5701</v>
      </c>
      <c r="K223" s="253"/>
      <c r="L223" s="253"/>
      <c r="M223" s="30" t="s">
        <v>809</v>
      </c>
      <c r="N223" s="245" t="s">
        <v>5712</v>
      </c>
      <c r="O223" s="6" t="s">
        <v>809</v>
      </c>
      <c r="P223" s="253" t="s">
        <v>5238</v>
      </c>
      <c r="Q223" s="49" t="n">
        <f aca="false">Arch!D21</f>
        <v>3965</v>
      </c>
      <c r="R223" s="30" t="s">
        <v>809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5303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5714</v>
      </c>
      <c r="B224" s="253" t="s">
        <v>5234</v>
      </c>
      <c r="C224" s="30" t="s">
        <v>3208</v>
      </c>
      <c r="D224" s="30" t="s">
        <v>3141</v>
      </c>
      <c r="E224" s="6" t="s">
        <v>340</v>
      </c>
      <c r="F224" s="30" t="s">
        <v>5299</v>
      </c>
      <c r="G224" s="253" t="s">
        <v>5235</v>
      </c>
      <c r="H224" s="30" t="s">
        <v>809</v>
      </c>
      <c r="I224" s="6" t="s">
        <v>809</v>
      </c>
      <c r="J224" s="30" t="s">
        <v>5701</v>
      </c>
      <c r="K224" s="253"/>
      <c r="L224" s="253"/>
      <c r="M224" s="30" t="s">
        <v>809</v>
      </c>
      <c r="N224" s="245" t="s">
        <v>5712</v>
      </c>
      <c r="O224" s="6" t="s">
        <v>809</v>
      </c>
      <c r="P224" s="253" t="s">
        <v>5238</v>
      </c>
      <c r="Q224" s="49" t="n">
        <f aca="false">Arch!E21</f>
        <v>14976</v>
      </c>
      <c r="R224" s="30" t="s">
        <v>809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5303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5715</v>
      </c>
      <c r="B225" s="253" t="s">
        <v>5234</v>
      </c>
      <c r="C225" s="30" t="s">
        <v>3208</v>
      </c>
      <c r="D225" s="30" t="s">
        <v>3218</v>
      </c>
      <c r="E225" s="6" t="s">
        <v>343</v>
      </c>
      <c r="F225" s="30" t="s">
        <v>5299</v>
      </c>
      <c r="G225" s="253" t="s">
        <v>5235</v>
      </c>
      <c r="H225" s="30" t="s">
        <v>809</v>
      </c>
      <c r="I225" s="6" t="s">
        <v>809</v>
      </c>
      <c r="J225" s="30" t="s">
        <v>5701</v>
      </c>
      <c r="K225" s="253"/>
      <c r="L225" s="253"/>
      <c r="M225" s="30" t="s">
        <v>809</v>
      </c>
      <c r="N225" s="245" t="s">
        <v>5712</v>
      </c>
      <c r="O225" s="6" t="s">
        <v>809</v>
      </c>
      <c r="P225" s="253" t="s">
        <v>5238</v>
      </c>
      <c r="Q225" s="49" t="n">
        <f aca="false">Arch!C22</f>
        <v>2795</v>
      </c>
      <c r="R225" s="30" t="s">
        <v>809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5303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5716</v>
      </c>
      <c r="B226" s="253" t="s">
        <v>5234</v>
      </c>
      <c r="C226" s="30" t="s">
        <v>3208</v>
      </c>
      <c r="D226" s="30" t="s">
        <v>3219</v>
      </c>
      <c r="E226" s="6" t="s">
        <v>343</v>
      </c>
      <c r="F226" s="30" t="s">
        <v>5299</v>
      </c>
      <c r="G226" s="253" t="s">
        <v>5235</v>
      </c>
      <c r="H226" s="30" t="s">
        <v>809</v>
      </c>
      <c r="I226" s="6" t="s">
        <v>809</v>
      </c>
      <c r="J226" s="30" t="s">
        <v>5701</v>
      </c>
      <c r="K226" s="253"/>
      <c r="L226" s="253"/>
      <c r="M226" s="30" t="s">
        <v>809</v>
      </c>
      <c r="N226" s="245" t="s">
        <v>5712</v>
      </c>
      <c r="O226" s="6" t="s">
        <v>809</v>
      </c>
      <c r="P226" s="253" t="s">
        <v>5238</v>
      </c>
      <c r="Q226" s="49" t="n">
        <f aca="false">Arch!D22</f>
        <v>3965</v>
      </c>
      <c r="R226" s="30" t="s">
        <v>809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5303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5717</v>
      </c>
      <c r="B227" s="253" t="s">
        <v>5234</v>
      </c>
      <c r="C227" s="30" t="s">
        <v>3208</v>
      </c>
      <c r="D227" s="30" t="s">
        <v>3220</v>
      </c>
      <c r="E227" s="6" t="s">
        <v>343</v>
      </c>
      <c r="F227" s="30" t="s">
        <v>5299</v>
      </c>
      <c r="G227" s="253" t="s">
        <v>5235</v>
      </c>
      <c r="H227" s="30" t="s">
        <v>809</v>
      </c>
      <c r="I227" s="6" t="s">
        <v>809</v>
      </c>
      <c r="J227" s="30" t="s">
        <v>5701</v>
      </c>
      <c r="K227" s="253"/>
      <c r="L227" s="253"/>
      <c r="M227" s="30" t="s">
        <v>809</v>
      </c>
      <c r="N227" s="245" t="s">
        <v>5712</v>
      </c>
      <c r="O227" s="6" t="s">
        <v>809</v>
      </c>
      <c r="P227" s="253" t="s">
        <v>5238</v>
      </c>
      <c r="Q227" s="49" t="n">
        <f aca="false">Arch!E22</f>
        <v>57600</v>
      </c>
      <c r="R227" s="30" t="s">
        <v>809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5303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5718</v>
      </c>
      <c r="B228" s="253" t="s">
        <v>5234</v>
      </c>
      <c r="C228" s="30" t="s">
        <v>3208</v>
      </c>
      <c r="D228" s="30" t="s">
        <v>3221</v>
      </c>
      <c r="E228" s="6" t="s">
        <v>345</v>
      </c>
      <c r="F228" s="30" t="s">
        <v>5299</v>
      </c>
      <c r="G228" s="253" t="s">
        <v>5235</v>
      </c>
      <c r="H228" s="30" t="s">
        <v>809</v>
      </c>
      <c r="I228" s="6" t="s">
        <v>809</v>
      </c>
      <c r="J228" s="30" t="s">
        <v>5701</v>
      </c>
      <c r="K228" s="253"/>
      <c r="L228" s="253"/>
      <c r="M228" s="30" t="s">
        <v>809</v>
      </c>
      <c r="N228" s="245" t="s">
        <v>5712</v>
      </c>
      <c r="O228" s="6" t="s">
        <v>809</v>
      </c>
      <c r="P228" s="253" t="s">
        <v>5238</v>
      </c>
      <c r="Q228" s="49" t="n">
        <f aca="false">Arch!C23</f>
        <v>2795</v>
      </c>
      <c r="R228" s="30" t="s">
        <v>809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5303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5719</v>
      </c>
      <c r="B229" s="253" t="s">
        <v>5234</v>
      </c>
      <c r="C229" s="30" t="s">
        <v>3208</v>
      </c>
      <c r="D229" s="30" t="s">
        <v>3222</v>
      </c>
      <c r="E229" s="6" t="s">
        <v>345</v>
      </c>
      <c r="F229" s="30" t="s">
        <v>5299</v>
      </c>
      <c r="G229" s="253" t="s">
        <v>5235</v>
      </c>
      <c r="H229" s="30" t="s">
        <v>809</v>
      </c>
      <c r="I229" s="6" t="s">
        <v>809</v>
      </c>
      <c r="J229" s="30" t="s">
        <v>5701</v>
      </c>
      <c r="K229" s="253"/>
      <c r="L229" s="253"/>
      <c r="M229" s="30" t="s">
        <v>809</v>
      </c>
      <c r="N229" s="245" t="s">
        <v>5712</v>
      </c>
      <c r="O229" s="6" t="s">
        <v>809</v>
      </c>
      <c r="P229" s="253" t="s">
        <v>5238</v>
      </c>
      <c r="Q229" s="49" t="n">
        <f aca="false">Arch!D23</f>
        <v>3965</v>
      </c>
      <c r="R229" s="30" t="s">
        <v>809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5303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5720</v>
      </c>
      <c r="B230" s="253" t="s">
        <v>5234</v>
      </c>
      <c r="C230" s="30" t="s">
        <v>3208</v>
      </c>
      <c r="D230" s="30" t="s">
        <v>3223</v>
      </c>
      <c r="E230" s="6" t="s">
        <v>345</v>
      </c>
      <c r="F230" s="30" t="s">
        <v>5299</v>
      </c>
      <c r="G230" s="253" t="s">
        <v>5235</v>
      </c>
      <c r="H230" s="30" t="s">
        <v>809</v>
      </c>
      <c r="I230" s="6" t="s">
        <v>809</v>
      </c>
      <c r="J230" s="30" t="s">
        <v>5701</v>
      </c>
      <c r="K230" s="253"/>
      <c r="L230" s="253"/>
      <c r="M230" s="30" t="s">
        <v>809</v>
      </c>
      <c r="N230" s="245" t="s">
        <v>5712</v>
      </c>
      <c r="O230" s="6" t="s">
        <v>809</v>
      </c>
      <c r="P230" s="253" t="s">
        <v>5238</v>
      </c>
      <c r="Q230" s="49" t="n">
        <f aca="false">Arch!E23</f>
        <v>204800</v>
      </c>
      <c r="R230" s="30" t="s">
        <v>809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5303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5721</v>
      </c>
      <c r="B231" s="253" t="s">
        <v>5234</v>
      </c>
      <c r="C231" s="30" t="s">
        <v>3212</v>
      </c>
      <c r="D231" s="30" t="s">
        <v>3172</v>
      </c>
      <c r="E231" s="6" t="s">
        <v>383</v>
      </c>
      <c r="F231" s="30" t="s">
        <v>133</v>
      </c>
      <c r="G231" s="253" t="s">
        <v>5235</v>
      </c>
      <c r="H231" s="30" t="s">
        <v>5722</v>
      </c>
      <c r="I231" s="20" t="s">
        <v>5723</v>
      </c>
      <c r="J231" s="30" t="s">
        <v>809</v>
      </c>
      <c r="K231" s="255" t="n">
        <v>1</v>
      </c>
      <c r="L231" s="255" t="n">
        <v>5</v>
      </c>
      <c r="M231" s="30" t="s">
        <v>5724</v>
      </c>
      <c r="N231" s="254" t="str">
        <f aca="false">Serving!$F$6&amp;" ｜補充旗標（IF 全欄分段，非分段依據）：中"</f>
        <v>DeepSeek MTP；區間 1–5 ｜補充旗標（IF 全欄分段，非分段依據）：中</v>
      </c>
      <c r="O231" s="6" t="s">
        <v>809</v>
      </c>
      <c r="P231" s="253" t="s">
        <v>1433</v>
      </c>
      <c r="Q231" s="33" t="n">
        <f aca="false">Serving!C6</f>
        <v>3</v>
      </c>
      <c r="R231" s="186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5239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335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5725</v>
      </c>
      <c r="B232" s="253" t="s">
        <v>5234</v>
      </c>
      <c r="C232" s="30" t="s">
        <v>3212</v>
      </c>
      <c r="D232" s="30" t="s">
        <v>3308</v>
      </c>
      <c r="E232" s="20" t="s">
        <v>5726</v>
      </c>
      <c r="F232" s="253" t="s">
        <v>373</v>
      </c>
      <c r="G232" s="253" t="s">
        <v>5235</v>
      </c>
      <c r="H232" s="30" t="s">
        <v>5727</v>
      </c>
      <c r="I232" s="20" t="s">
        <v>5265</v>
      </c>
      <c r="J232" s="30" t="s">
        <v>809</v>
      </c>
      <c r="K232" s="253"/>
      <c r="L232" s="253"/>
      <c r="M232" s="30" t="s">
        <v>809</v>
      </c>
      <c r="N232" s="20" t="s">
        <v>5399</v>
      </c>
      <c r="O232" s="6" t="s">
        <v>809</v>
      </c>
      <c r="P232" s="253" t="s">
        <v>5281</v>
      </c>
      <c r="Q232" s="196" t="n">
        <f aca="false">Serving!C7</f>
        <v>0.7</v>
      </c>
      <c r="R232" s="186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5267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305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5728</v>
      </c>
      <c r="B233" s="253" t="s">
        <v>5234</v>
      </c>
      <c r="C233" s="30" t="s">
        <v>3212</v>
      </c>
      <c r="D233" s="30" t="s">
        <v>3175</v>
      </c>
      <c r="E233" s="6" t="s">
        <v>390</v>
      </c>
      <c r="F233" s="30" t="s">
        <v>128</v>
      </c>
      <c r="G233" s="253" t="s">
        <v>5235</v>
      </c>
      <c r="H233" s="30" t="s">
        <v>809</v>
      </c>
      <c r="I233" s="6" t="s">
        <v>809</v>
      </c>
      <c r="J233" s="30" t="s">
        <v>5542</v>
      </c>
      <c r="K233" s="255" t="n">
        <v>0.05</v>
      </c>
      <c r="L233" s="255" t="n">
        <v>0.2</v>
      </c>
      <c r="M233" s="30" t="s">
        <v>5729</v>
      </c>
      <c r="N233" s="254" t="str">
        <f aca="false">Serving!$F$9&amp;" ｜補充旗標（IF 全欄分段，非分段依據）：中"</f>
        <v>區間 5–20% ｜補充旗標（IF 全欄分段，非分段依據）：中</v>
      </c>
      <c r="O233" s="6" t="s">
        <v>809</v>
      </c>
      <c r="P233" s="253" t="s">
        <v>1433</v>
      </c>
      <c r="Q233" s="196" t="n">
        <f aca="false">Serving!C9</f>
        <v>0.1</v>
      </c>
      <c r="R233" s="30" t="s">
        <v>809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5239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5730</v>
      </c>
      <c r="B234" s="253" t="s">
        <v>5234</v>
      </c>
      <c r="C234" s="30" t="s">
        <v>3212</v>
      </c>
      <c r="D234" s="30" t="s">
        <v>3177</v>
      </c>
      <c r="E234" s="20" t="s">
        <v>5731</v>
      </c>
      <c r="F234" s="30" t="s">
        <v>128</v>
      </c>
      <c r="G234" s="253" t="s">
        <v>5235</v>
      </c>
      <c r="H234" s="30" t="s">
        <v>809</v>
      </c>
      <c r="I234" s="6" t="s">
        <v>809</v>
      </c>
      <c r="J234" s="30" t="s">
        <v>5542</v>
      </c>
      <c r="K234" s="255" t="n">
        <v>0.1</v>
      </c>
      <c r="L234" s="255" t="n">
        <v>0.3</v>
      </c>
      <c r="M234" s="30" t="s">
        <v>5732</v>
      </c>
      <c r="N234" s="254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809</v>
      </c>
      <c r="P234" s="253" t="s">
        <v>5281</v>
      </c>
      <c r="Q234" s="196" t="n">
        <f aca="false">Serving!C10</f>
        <v>0.2</v>
      </c>
      <c r="R234" s="30" t="s">
        <v>809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5239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5733</v>
      </c>
      <c r="B235" s="253" t="s">
        <v>5234</v>
      </c>
      <c r="C235" s="30" t="s">
        <v>3212</v>
      </c>
      <c r="D235" s="30" t="s">
        <v>3179</v>
      </c>
      <c r="E235" s="20" t="s">
        <v>5734</v>
      </c>
      <c r="F235" s="30" t="s">
        <v>128</v>
      </c>
      <c r="G235" s="253" t="s">
        <v>5235</v>
      </c>
      <c r="H235" s="30" t="s">
        <v>809</v>
      </c>
      <c r="I235" s="6" t="s">
        <v>809</v>
      </c>
      <c r="J235" s="30" t="s">
        <v>5542</v>
      </c>
      <c r="K235" s="255" t="n">
        <v>0.3</v>
      </c>
      <c r="L235" s="255" t="n">
        <v>0.5</v>
      </c>
      <c r="M235" s="30" t="s">
        <v>5735</v>
      </c>
      <c r="N235" s="254" t="str">
        <f aca="false">Serving!$F$11&amp;" ｜補充旗標（IF 全欄分段，非分段依據）：高"</f>
        <v>超過時自動加寬 EP ｜補充旗標（IF 全欄分段，非分段依據）：高</v>
      </c>
      <c r="O235" s="6" t="s">
        <v>809</v>
      </c>
      <c r="P235" s="253" t="s">
        <v>1433</v>
      </c>
      <c r="Q235" s="196" t="n">
        <f aca="false">Serving!C11</f>
        <v>0.4</v>
      </c>
      <c r="R235" s="30" t="s">
        <v>809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5239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5736</v>
      </c>
      <c r="B236" s="253" t="s">
        <v>5234</v>
      </c>
      <c r="C236" s="30" t="s">
        <v>3212</v>
      </c>
      <c r="D236" s="30" t="s">
        <v>3180</v>
      </c>
      <c r="E236" s="6" t="s">
        <v>396</v>
      </c>
      <c r="F236" s="30" t="s">
        <v>128</v>
      </c>
      <c r="G236" s="253" t="s">
        <v>5235</v>
      </c>
      <c r="H236" s="30" t="s">
        <v>809</v>
      </c>
      <c r="I236" s="6" t="s">
        <v>809</v>
      </c>
      <c r="J236" s="30" t="s">
        <v>5542</v>
      </c>
      <c r="K236" s="255" t="n">
        <v>2</v>
      </c>
      <c r="L236" s="255" t="n">
        <v>4</v>
      </c>
      <c r="M236" s="30" t="s">
        <v>5737</v>
      </c>
      <c r="N236" s="254" t="str">
        <f aca="false">Serving!$F$12</f>
        <v>FP8 dispatch 1 B＋BF16 combine 2 B</v>
      </c>
      <c r="O236" s="6" t="s">
        <v>5545</v>
      </c>
      <c r="P236" s="253" t="s">
        <v>5238</v>
      </c>
      <c r="Q236" s="201" t="n">
        <f aca="false">Serving!C12</f>
        <v>3</v>
      </c>
      <c r="R236" s="30" t="s">
        <v>809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5239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5738</v>
      </c>
      <c r="B237" s="253" t="s">
        <v>5234</v>
      </c>
      <c r="C237" s="30" t="s">
        <v>3212</v>
      </c>
      <c r="D237" s="30" t="s">
        <v>3184</v>
      </c>
      <c r="E237" s="6" t="s">
        <v>398</v>
      </c>
      <c r="F237" s="30" t="s">
        <v>128</v>
      </c>
      <c r="G237" s="253" t="s">
        <v>5235</v>
      </c>
      <c r="H237" s="30" t="s">
        <v>809</v>
      </c>
      <c r="I237" s="6" t="s">
        <v>809</v>
      </c>
      <c r="J237" s="30" t="s">
        <v>5542</v>
      </c>
      <c r="K237" s="255" t="n">
        <v>0.5</v>
      </c>
      <c r="L237" s="255" t="n">
        <v>0.85</v>
      </c>
      <c r="M237" s="30" t="s">
        <v>5739</v>
      </c>
      <c r="N237" s="254" t="str">
        <f aca="false">Serving!$F$13</f>
        <v>區間 0.5–0.85</v>
      </c>
      <c r="O237" s="6" t="s">
        <v>5545</v>
      </c>
      <c r="P237" s="253" t="s">
        <v>5238</v>
      </c>
      <c r="Q237" s="196" t="n">
        <f aca="false">Serving!C13</f>
        <v>0.7</v>
      </c>
      <c r="R237" s="30" t="s">
        <v>809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5239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5740</v>
      </c>
      <c r="B238" s="253" t="s">
        <v>5234</v>
      </c>
      <c r="C238" s="30" t="s">
        <v>3212</v>
      </c>
      <c r="D238" s="30" t="s">
        <v>3213</v>
      </c>
      <c r="E238" s="6" t="s">
        <v>400</v>
      </c>
      <c r="F238" s="30" t="s">
        <v>128</v>
      </c>
      <c r="G238" s="253" t="s">
        <v>5235</v>
      </c>
      <c r="H238" s="30" t="s">
        <v>809</v>
      </c>
      <c r="I238" s="6" t="s">
        <v>809</v>
      </c>
      <c r="J238" s="30" t="s">
        <v>5542</v>
      </c>
      <c r="K238" s="255" t="n">
        <v>0.5</v>
      </c>
      <c r="L238" s="255" t="n">
        <v>0.85</v>
      </c>
      <c r="M238" s="30" t="s">
        <v>5739</v>
      </c>
      <c r="N238" s="254" t="str">
        <f aca="false">Serving!$F$14</f>
        <v>區間 0.5–0.85</v>
      </c>
      <c r="O238" s="6" t="s">
        <v>5545</v>
      </c>
      <c r="P238" s="253" t="s">
        <v>5238</v>
      </c>
      <c r="Q238" s="196" t="n">
        <f aca="false">Serving!C14</f>
        <v>0.7</v>
      </c>
      <c r="R238" s="30" t="s">
        <v>809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5239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5741</v>
      </c>
      <c r="B239" s="253" t="s">
        <v>5234</v>
      </c>
      <c r="C239" s="30" t="s">
        <v>3212</v>
      </c>
      <c r="D239" s="30" t="s">
        <v>3214</v>
      </c>
      <c r="E239" s="20" t="s">
        <v>5742</v>
      </c>
      <c r="F239" s="30" t="s">
        <v>128</v>
      </c>
      <c r="G239" s="253" t="s">
        <v>5235</v>
      </c>
      <c r="H239" s="30" t="s">
        <v>809</v>
      </c>
      <c r="I239" s="6" t="s">
        <v>809</v>
      </c>
      <c r="J239" s="30" t="s">
        <v>5542</v>
      </c>
      <c r="K239" s="255" t="n">
        <v>0.05</v>
      </c>
      <c r="L239" s="255" t="n">
        <v>0.4</v>
      </c>
      <c r="M239" s="30" t="s">
        <v>5743</v>
      </c>
      <c r="N239" s="254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809</v>
      </c>
      <c r="P239" s="253" t="s">
        <v>1433</v>
      </c>
      <c r="Q239" s="194" t="n">
        <f aca="false">Serving!C15</f>
        <v>0.1</v>
      </c>
      <c r="R239" s="30" t="s">
        <v>809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5239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5744</v>
      </c>
      <c r="B240" s="253" t="s">
        <v>5234</v>
      </c>
      <c r="C240" s="30" t="s">
        <v>3212</v>
      </c>
      <c r="D240" s="30" t="s">
        <v>3216</v>
      </c>
      <c r="E240" s="20" t="s">
        <v>5745</v>
      </c>
      <c r="F240" s="30" t="s">
        <v>128</v>
      </c>
      <c r="G240" s="253" t="s">
        <v>5235</v>
      </c>
      <c r="H240" s="30" t="s">
        <v>809</v>
      </c>
      <c r="I240" s="6" t="s">
        <v>809</v>
      </c>
      <c r="J240" s="30" t="s">
        <v>5746</v>
      </c>
      <c r="K240" s="255" t="n">
        <v>0.4</v>
      </c>
      <c r="L240" s="255" t="n">
        <v>0.8</v>
      </c>
      <c r="M240" s="30" t="s">
        <v>5747</v>
      </c>
      <c r="N240" s="254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809</v>
      </c>
      <c r="P240" s="253" t="s">
        <v>1434</v>
      </c>
      <c r="Q240" s="196" t="n">
        <f aca="false">Serving!C17</f>
        <v>0.6</v>
      </c>
      <c r="R240" s="30" t="s">
        <v>809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5239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5748</v>
      </c>
      <c r="B241" s="253" t="s">
        <v>5234</v>
      </c>
      <c r="C241" s="30" t="s">
        <v>3212</v>
      </c>
      <c r="D241" s="30" t="s">
        <v>3217</v>
      </c>
      <c r="E241" s="20" t="s">
        <v>408</v>
      </c>
      <c r="F241" s="30" t="s">
        <v>128</v>
      </c>
      <c r="G241" s="253" t="s">
        <v>5235</v>
      </c>
      <c r="H241" s="30" t="s">
        <v>809</v>
      </c>
      <c r="I241" s="6" t="s">
        <v>809</v>
      </c>
      <c r="J241" s="30" t="s">
        <v>5746</v>
      </c>
      <c r="K241" s="255" t="n">
        <v>0.7</v>
      </c>
      <c r="L241" s="255" t="n">
        <v>1</v>
      </c>
      <c r="M241" s="30" t="s">
        <v>5749</v>
      </c>
      <c r="N241" s="254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809</v>
      </c>
      <c r="P241" s="253" t="s">
        <v>1434</v>
      </c>
      <c r="Q241" s="194" t="n">
        <f aca="false">Serving!C18</f>
        <v>1</v>
      </c>
      <c r="R241" s="30" t="s">
        <v>809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5239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5750</v>
      </c>
      <c r="B242" s="253" t="s">
        <v>5234</v>
      </c>
      <c r="C242" s="30" t="s">
        <v>3212</v>
      </c>
      <c r="D242" s="30" t="s">
        <v>3215</v>
      </c>
      <c r="E242" s="20" t="s">
        <v>5751</v>
      </c>
      <c r="F242" s="30" t="s">
        <v>118</v>
      </c>
      <c r="G242" s="253" t="s">
        <v>5235</v>
      </c>
      <c r="H242" s="30" t="s">
        <v>809</v>
      </c>
      <c r="I242" s="6" t="s">
        <v>809</v>
      </c>
      <c r="J242" s="30" t="s">
        <v>5752</v>
      </c>
      <c r="K242" s="253"/>
      <c r="L242" s="253"/>
      <c r="M242" s="30" t="s">
        <v>809</v>
      </c>
      <c r="N242" s="6" t="s">
        <v>5753</v>
      </c>
      <c r="O242" s="6" t="s">
        <v>809</v>
      </c>
      <c r="P242" s="253" t="s">
        <v>5238</v>
      </c>
      <c r="Q242" s="33" t="n">
        <f aca="false">Serving!C16</f>
        <v>1</v>
      </c>
      <c r="R242" s="30" t="s">
        <v>809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5239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5754</v>
      </c>
      <c r="B243" s="253" t="s">
        <v>5234</v>
      </c>
      <c r="C243" s="30" t="s">
        <v>3212</v>
      </c>
      <c r="D243" s="30" t="s">
        <v>3319</v>
      </c>
      <c r="E243" s="6" t="s">
        <v>413</v>
      </c>
      <c r="F243" s="253" t="s">
        <v>5755</v>
      </c>
      <c r="G243" s="253" t="s">
        <v>5235</v>
      </c>
      <c r="H243" s="30" t="s">
        <v>5756</v>
      </c>
      <c r="I243" s="20" t="s">
        <v>5757</v>
      </c>
      <c r="J243" s="30" t="s">
        <v>5758</v>
      </c>
      <c r="K243" s="253" t="n">
        <v>61</v>
      </c>
      <c r="L243" s="253" t="n">
        <v>116.5</v>
      </c>
      <c r="M243" s="30" t="s">
        <v>5759</v>
      </c>
      <c r="N243" s="20" t="s">
        <v>5760</v>
      </c>
      <c r="O243" s="245" t="s">
        <v>5761</v>
      </c>
      <c r="P243" s="253" t="s">
        <v>1434</v>
      </c>
      <c r="Q243" s="49" t="n">
        <f aca="false">Serving!C21</f>
        <v>84.3000593119602</v>
      </c>
      <c r="R243" s="186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5267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366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5762</v>
      </c>
      <c r="B244" s="253" t="s">
        <v>5234</v>
      </c>
      <c r="C244" s="30" t="s">
        <v>3212</v>
      </c>
      <c r="D244" s="30" t="s">
        <v>3140</v>
      </c>
      <c r="E244" s="6" t="s">
        <v>413</v>
      </c>
      <c r="F244" s="30" t="s">
        <v>5299</v>
      </c>
      <c r="G244" s="253" t="s">
        <v>5235</v>
      </c>
      <c r="H244" s="30" t="s">
        <v>5763</v>
      </c>
      <c r="I244" s="20" t="s">
        <v>5764</v>
      </c>
      <c r="J244" s="30" t="s">
        <v>5758</v>
      </c>
      <c r="K244" s="253" t="n">
        <v>37</v>
      </c>
      <c r="L244" s="253" t="n">
        <v>50.7</v>
      </c>
      <c r="M244" s="30" t="s">
        <v>5765</v>
      </c>
      <c r="N244" s="6" t="s">
        <v>5766</v>
      </c>
      <c r="O244" s="245" t="s">
        <v>5761</v>
      </c>
      <c r="P244" s="253" t="s">
        <v>1434</v>
      </c>
      <c r="Q244" s="49" t="n">
        <f aca="false">Serving!D21</f>
        <v>43.31166124729</v>
      </c>
      <c r="R244" s="186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5267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368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5767</v>
      </c>
      <c r="B245" s="253" t="s">
        <v>5234</v>
      </c>
      <c r="C245" s="30" t="s">
        <v>3212</v>
      </c>
      <c r="D245" s="30" t="s">
        <v>3141</v>
      </c>
      <c r="E245" s="6" t="s">
        <v>413</v>
      </c>
      <c r="F245" s="30" t="s">
        <v>5299</v>
      </c>
      <c r="G245" s="253" t="s">
        <v>5235</v>
      </c>
      <c r="H245" s="30" t="s">
        <v>5768</v>
      </c>
      <c r="I245" s="20" t="s">
        <v>5769</v>
      </c>
      <c r="J245" s="30" t="s">
        <v>5758</v>
      </c>
      <c r="K245" s="253" t="n">
        <v>32</v>
      </c>
      <c r="L245" s="253" t="n">
        <v>52.1</v>
      </c>
      <c r="M245" s="30" t="s">
        <v>5770</v>
      </c>
      <c r="N245" s="6" t="s">
        <v>5766</v>
      </c>
      <c r="O245" s="245" t="s">
        <v>5761</v>
      </c>
      <c r="P245" s="253" t="s">
        <v>1434</v>
      </c>
      <c r="Q245" s="49" t="n">
        <f aca="false">Serving!E21</f>
        <v>40.8313604965595</v>
      </c>
      <c r="R245" s="186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5267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370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5771</v>
      </c>
      <c r="B246" s="253" t="s">
        <v>5234</v>
      </c>
      <c r="C246" s="30" t="s">
        <v>3212</v>
      </c>
      <c r="D246" s="30" t="s">
        <v>3218</v>
      </c>
      <c r="E246" s="6" t="s">
        <v>416</v>
      </c>
      <c r="F246" s="30" t="s">
        <v>128</v>
      </c>
      <c r="G246" s="253" t="s">
        <v>5235</v>
      </c>
      <c r="H246" s="30" t="s">
        <v>809</v>
      </c>
      <c r="I246" s="6" t="s">
        <v>809</v>
      </c>
      <c r="J246" s="30" t="s">
        <v>5772</v>
      </c>
      <c r="K246" s="186" t="n">
        <f aca="false">Serving!C22*0.5</f>
        <v>1</v>
      </c>
      <c r="L246" s="186" t="n">
        <f aca="false">Serving!C22*2</f>
        <v>4</v>
      </c>
      <c r="M246" s="30" t="s">
        <v>5773</v>
      </c>
      <c r="N246" s="6" t="s">
        <v>5774</v>
      </c>
      <c r="O246" s="6" t="s">
        <v>809</v>
      </c>
      <c r="P246" s="253" t="s">
        <v>5238</v>
      </c>
      <c r="Q246" s="201" t="n">
        <f aca="false">Serving!C22</f>
        <v>2</v>
      </c>
      <c r="R246" s="30" t="s">
        <v>809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5239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5775</v>
      </c>
      <c r="B247" s="253" t="s">
        <v>5234</v>
      </c>
      <c r="C247" s="30" t="s">
        <v>3212</v>
      </c>
      <c r="D247" s="30" t="s">
        <v>3219</v>
      </c>
      <c r="E247" s="6" t="s">
        <v>416</v>
      </c>
      <c r="F247" s="30" t="s">
        <v>128</v>
      </c>
      <c r="G247" s="253" t="s">
        <v>5235</v>
      </c>
      <c r="H247" s="30" t="s">
        <v>809</v>
      </c>
      <c r="I247" s="6" t="s">
        <v>809</v>
      </c>
      <c r="J247" s="30" t="s">
        <v>5772</v>
      </c>
      <c r="K247" s="186" t="n">
        <f aca="false">Serving!D22*0.5</f>
        <v>1.5</v>
      </c>
      <c r="L247" s="186" t="n">
        <f aca="false">Serving!D22*2</f>
        <v>6</v>
      </c>
      <c r="M247" s="30" t="s">
        <v>5773</v>
      </c>
      <c r="N247" s="6" t="s">
        <v>5774</v>
      </c>
      <c r="O247" s="6" t="s">
        <v>809</v>
      </c>
      <c r="P247" s="253" t="s">
        <v>5238</v>
      </c>
      <c r="Q247" s="201" t="n">
        <f aca="false">Serving!D22</f>
        <v>3</v>
      </c>
      <c r="R247" s="30" t="s">
        <v>809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5239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5776</v>
      </c>
      <c r="B248" s="253" t="s">
        <v>5234</v>
      </c>
      <c r="C248" s="30" t="s">
        <v>3212</v>
      </c>
      <c r="D248" s="30" t="s">
        <v>3220</v>
      </c>
      <c r="E248" s="6" t="s">
        <v>416</v>
      </c>
      <c r="F248" s="30" t="s">
        <v>128</v>
      </c>
      <c r="G248" s="253" t="s">
        <v>5235</v>
      </c>
      <c r="H248" s="30" t="s">
        <v>809</v>
      </c>
      <c r="I248" s="6" t="s">
        <v>809</v>
      </c>
      <c r="J248" s="30" t="s">
        <v>5772</v>
      </c>
      <c r="K248" s="186" t="n">
        <f aca="false">Serving!E22*0.5</f>
        <v>2.5</v>
      </c>
      <c r="L248" s="186" t="n">
        <f aca="false">Serving!E22*2</f>
        <v>10</v>
      </c>
      <c r="M248" s="30" t="s">
        <v>5773</v>
      </c>
      <c r="N248" s="6" t="s">
        <v>5774</v>
      </c>
      <c r="O248" s="6" t="s">
        <v>809</v>
      </c>
      <c r="P248" s="253" t="s">
        <v>5238</v>
      </c>
      <c r="Q248" s="201" t="n">
        <f aca="false">Serving!E22</f>
        <v>5</v>
      </c>
      <c r="R248" s="30" t="s">
        <v>809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5239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5777</v>
      </c>
      <c r="B249" s="253" t="s">
        <v>5234</v>
      </c>
      <c r="C249" s="30" t="s">
        <v>3212</v>
      </c>
      <c r="D249" s="30" t="s">
        <v>3221</v>
      </c>
      <c r="E249" s="20" t="s">
        <v>5778</v>
      </c>
      <c r="F249" s="30" t="s">
        <v>128</v>
      </c>
      <c r="G249" s="253" t="s">
        <v>5235</v>
      </c>
      <c r="H249" s="30" t="s">
        <v>5779</v>
      </c>
      <c r="I249" s="245" t="s">
        <v>5780</v>
      </c>
      <c r="J249" s="30" t="s">
        <v>5781</v>
      </c>
      <c r="K249" s="186" t="n">
        <f aca="false">Serving!C23*0.5</f>
        <v>4096</v>
      </c>
      <c r="L249" s="186" t="n">
        <f aca="false">Serving!C23*2</f>
        <v>16384</v>
      </c>
      <c r="M249" s="30" t="s">
        <v>5773</v>
      </c>
      <c r="N249" s="20" t="s">
        <v>5782</v>
      </c>
      <c r="O249" s="6" t="s">
        <v>809</v>
      </c>
      <c r="P249" s="253" t="s">
        <v>1434</v>
      </c>
      <c r="Q249" s="49" t="n">
        <f aca="false">Serving!C23</f>
        <v>8192</v>
      </c>
      <c r="R249" s="186" t="n">
        <f aca="false">SRC_DEM_014</f>
        <v>6000</v>
      </c>
      <c r="S249" s="44" t="str">
        <f aca="false">IF(ISNUMBER($AF249),INDEX(IDX_SrcStat,$AF249),"—")</f>
        <v>Active</v>
      </c>
      <c r="T249" s="44" t="n">
        <f aca="false">IF(ISNUMBER($AF249),INDEX(IDX_SrcGrade,$AF249),"—")</f>
        <v>1</v>
      </c>
      <c r="U249" s="44" t="s">
        <v>5239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n">
        <f aca="false">IF(OR($H249="—",$H249=""),"—",MATCH($H249,IDX_SrcID,0))</f>
        <v>680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5783</v>
      </c>
      <c r="B250" s="253" t="s">
        <v>5234</v>
      </c>
      <c r="C250" s="30" t="s">
        <v>3212</v>
      </c>
      <c r="D250" s="30" t="s">
        <v>3222</v>
      </c>
      <c r="E250" s="20" t="s">
        <v>5778</v>
      </c>
      <c r="F250" s="30" t="s">
        <v>128</v>
      </c>
      <c r="G250" s="253" t="s">
        <v>5235</v>
      </c>
      <c r="H250" s="30" t="s">
        <v>5779</v>
      </c>
      <c r="I250" s="245" t="s">
        <v>5780</v>
      </c>
      <c r="J250" s="30" t="s">
        <v>5781</v>
      </c>
      <c r="K250" s="186" t="n">
        <f aca="false">Serving!D23*0.5</f>
        <v>8192</v>
      </c>
      <c r="L250" s="186" t="n">
        <v>68000</v>
      </c>
      <c r="M250" s="30" t="s">
        <v>5773</v>
      </c>
      <c r="N250" s="20" t="s">
        <v>5784</v>
      </c>
      <c r="O250" s="6" t="s">
        <v>809</v>
      </c>
      <c r="P250" s="253" t="s">
        <v>1434</v>
      </c>
      <c r="Q250" s="49" t="n">
        <f aca="false">Serving!D23</f>
        <v>16384</v>
      </c>
      <c r="R250" s="186" t="n">
        <f aca="false">SRC_DEM_014</f>
        <v>6000</v>
      </c>
      <c r="S250" s="44" t="str">
        <f aca="false">IF(ISNUMBER($AF250),INDEX(IDX_SrcStat,$AF250),"—")</f>
        <v>Active</v>
      </c>
      <c r="T250" s="44" t="n">
        <f aca="false">IF(ISNUMBER($AF250),INDEX(IDX_SrcGrade,$AF250),"—")</f>
        <v>1</v>
      </c>
      <c r="U250" s="44" t="s">
        <v>5239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n">
        <f aca="false">IF(OR($H250="—",$H250=""),"—",MATCH($H250,IDX_SrcID,0))</f>
        <v>680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5785</v>
      </c>
      <c r="B251" s="253" t="s">
        <v>5234</v>
      </c>
      <c r="C251" s="30" t="s">
        <v>3212</v>
      </c>
      <c r="D251" s="30" t="s">
        <v>3223</v>
      </c>
      <c r="E251" s="20" t="s">
        <v>5778</v>
      </c>
      <c r="F251" s="30" t="s">
        <v>128</v>
      </c>
      <c r="G251" s="253" t="s">
        <v>5235</v>
      </c>
      <c r="H251" s="30" t="s">
        <v>5779</v>
      </c>
      <c r="I251" s="245" t="s">
        <v>5780</v>
      </c>
      <c r="J251" s="30" t="s">
        <v>5781</v>
      </c>
      <c r="K251" s="186" t="n">
        <f aca="false">Serving!E23*0.5</f>
        <v>16384</v>
      </c>
      <c r="L251" s="186" t="n">
        <v>68000</v>
      </c>
      <c r="M251" s="30" t="s">
        <v>5773</v>
      </c>
      <c r="N251" s="20" t="s">
        <v>5784</v>
      </c>
      <c r="O251" s="6" t="s">
        <v>809</v>
      </c>
      <c r="P251" s="253" t="s">
        <v>1434</v>
      </c>
      <c r="Q251" s="49" t="n">
        <f aca="false">Serving!E23</f>
        <v>32768</v>
      </c>
      <c r="R251" s="186" t="n">
        <f aca="false">SRC_DEM_014</f>
        <v>6000</v>
      </c>
      <c r="S251" s="44" t="str">
        <f aca="false">IF(ISNUMBER($AF251),INDEX(IDX_SrcStat,$AF251),"—")</f>
        <v>Active</v>
      </c>
      <c r="T251" s="44" t="n">
        <f aca="false">IF(ISNUMBER($AF251),INDEX(IDX_SrcGrade,$AF251),"—")</f>
        <v>1</v>
      </c>
      <c r="U251" s="44" t="s">
        <v>5239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n">
        <f aca="false">IF(OR($H251="—",$H251=""),"—",MATCH($H251,IDX_SrcID,0))</f>
        <v>680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5786</v>
      </c>
      <c r="B252" s="253" t="s">
        <v>5234</v>
      </c>
      <c r="C252" s="30" t="s">
        <v>3212</v>
      </c>
      <c r="D252" s="30" t="s">
        <v>3224</v>
      </c>
      <c r="E252" s="20" t="s">
        <v>5787</v>
      </c>
      <c r="F252" s="30" t="s">
        <v>128</v>
      </c>
      <c r="G252" s="253" t="s">
        <v>5235</v>
      </c>
      <c r="H252" s="30" t="s">
        <v>5779</v>
      </c>
      <c r="I252" s="245" t="s">
        <v>5780</v>
      </c>
      <c r="J252" s="30" t="s">
        <v>5781</v>
      </c>
      <c r="K252" s="255" t="n">
        <v>400</v>
      </c>
      <c r="L252" s="186" t="n">
        <f aca="false">Serving!C24*2</f>
        <v>2048</v>
      </c>
      <c r="M252" s="30" t="s">
        <v>5788</v>
      </c>
      <c r="N252" s="20" t="s">
        <v>5789</v>
      </c>
      <c r="O252" s="6" t="s">
        <v>809</v>
      </c>
      <c r="P252" s="253" t="s">
        <v>1434</v>
      </c>
      <c r="Q252" s="49" t="n">
        <f aca="false">Serving!C24</f>
        <v>1024</v>
      </c>
      <c r="R252" s="186" t="n">
        <f aca="false">SRC_DEM_014</f>
        <v>6000</v>
      </c>
      <c r="S252" s="44" t="str">
        <f aca="false">IF(ISNUMBER($AF252),INDEX(IDX_SrcStat,$AF252),"—")</f>
        <v>Active</v>
      </c>
      <c r="T252" s="44" t="n">
        <f aca="false">IF(ISNUMBER($AF252),INDEX(IDX_SrcGrade,$AF252),"—")</f>
        <v>1</v>
      </c>
      <c r="U252" s="44" t="s">
        <v>5239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n">
        <f aca="false">IF(OR($H252="—",$H252=""),"—",MATCH($H252,IDX_SrcID,0))</f>
        <v>680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5790</v>
      </c>
      <c r="B253" s="253" t="s">
        <v>5234</v>
      </c>
      <c r="C253" s="30" t="s">
        <v>3212</v>
      </c>
      <c r="D253" s="30" t="s">
        <v>3225</v>
      </c>
      <c r="E253" s="20" t="s">
        <v>5787</v>
      </c>
      <c r="F253" s="30" t="s">
        <v>128</v>
      </c>
      <c r="G253" s="253" t="s">
        <v>5235</v>
      </c>
      <c r="H253" s="30" t="s">
        <v>5779</v>
      </c>
      <c r="I253" s="245" t="s">
        <v>5780</v>
      </c>
      <c r="J253" s="30" t="s">
        <v>5781</v>
      </c>
      <c r="K253" s="186" t="n">
        <f aca="false">Serving!D24*0.5</f>
        <v>1024</v>
      </c>
      <c r="L253" s="186" t="n">
        <f aca="false">Serving!D24*2</f>
        <v>4096</v>
      </c>
      <c r="M253" s="30" t="s">
        <v>5773</v>
      </c>
      <c r="N253" s="20" t="s">
        <v>5789</v>
      </c>
      <c r="O253" s="6" t="s">
        <v>809</v>
      </c>
      <c r="P253" s="253" t="s">
        <v>1434</v>
      </c>
      <c r="Q253" s="49" t="n">
        <f aca="false">Serving!D24</f>
        <v>2048</v>
      </c>
      <c r="R253" s="186" t="n">
        <f aca="false">SRC_DEM_014</f>
        <v>6000</v>
      </c>
      <c r="S253" s="44" t="str">
        <f aca="false">IF(ISNUMBER($AF253),INDEX(IDX_SrcStat,$AF253),"—")</f>
        <v>Active</v>
      </c>
      <c r="T253" s="44" t="n">
        <f aca="false">IF(ISNUMBER($AF253),INDEX(IDX_SrcGrade,$AF253),"—")</f>
        <v>1</v>
      </c>
      <c r="U253" s="44" t="s">
        <v>5239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n">
        <f aca="false">IF(OR($H253="—",$H253=""),"—",MATCH($H253,IDX_SrcID,0))</f>
        <v>680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5791</v>
      </c>
      <c r="B254" s="253" t="s">
        <v>5234</v>
      </c>
      <c r="C254" s="30" t="s">
        <v>3212</v>
      </c>
      <c r="D254" s="30" t="s">
        <v>3143</v>
      </c>
      <c r="E254" s="20" t="s">
        <v>5787</v>
      </c>
      <c r="F254" s="30" t="s">
        <v>128</v>
      </c>
      <c r="G254" s="253" t="s">
        <v>5235</v>
      </c>
      <c r="H254" s="30" t="s">
        <v>5779</v>
      </c>
      <c r="I254" s="245" t="s">
        <v>5780</v>
      </c>
      <c r="J254" s="30" t="s">
        <v>5781</v>
      </c>
      <c r="K254" s="186" t="n">
        <f aca="false">Serving!E24*0.5</f>
        <v>2048</v>
      </c>
      <c r="L254" s="186" t="n">
        <f aca="false">Serving!E24*2</f>
        <v>8192</v>
      </c>
      <c r="M254" s="30" t="s">
        <v>5773</v>
      </c>
      <c r="N254" s="20" t="s">
        <v>5789</v>
      </c>
      <c r="O254" s="6" t="s">
        <v>809</v>
      </c>
      <c r="P254" s="253" t="s">
        <v>1434</v>
      </c>
      <c r="Q254" s="49" t="n">
        <f aca="false">Serving!E24</f>
        <v>4096</v>
      </c>
      <c r="R254" s="186" t="n">
        <f aca="false">SRC_DEM_014</f>
        <v>6000</v>
      </c>
      <c r="S254" s="44" t="str">
        <f aca="false">IF(ISNUMBER($AF254),INDEX(IDX_SrcStat,$AF254),"—")</f>
        <v>Active</v>
      </c>
      <c r="T254" s="44" t="n">
        <f aca="false">IF(ISNUMBER($AF254),INDEX(IDX_SrcGrade,$AF254),"—")</f>
        <v>1</v>
      </c>
      <c r="U254" s="44" t="s">
        <v>5239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n">
        <f aca="false">IF(OR($H254="—",$H254=""),"—",MATCH($H254,IDX_SrcID,0))</f>
        <v>680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5792</v>
      </c>
      <c r="B255" s="253" t="s">
        <v>5234</v>
      </c>
      <c r="C255" s="30" t="s">
        <v>5793</v>
      </c>
      <c r="D255" s="30" t="s">
        <v>3228</v>
      </c>
      <c r="E255" s="20" t="s">
        <v>5794</v>
      </c>
      <c r="F255" s="30" t="s">
        <v>128</v>
      </c>
      <c r="G255" s="253" t="s">
        <v>5235</v>
      </c>
      <c r="H255" s="30" t="s">
        <v>809</v>
      </c>
      <c r="I255" s="6" t="s">
        <v>809</v>
      </c>
      <c r="J255" s="30" t="s">
        <v>5795</v>
      </c>
      <c r="K255" s="186" t="n">
        <f aca="false">MAX(1,Workload!C5*0.5)</f>
        <v>1</v>
      </c>
      <c r="L255" s="186" t="n">
        <f aca="false">Workload!C5*2</f>
        <v>2</v>
      </c>
      <c r="M255" s="30" t="s">
        <v>5796</v>
      </c>
      <c r="N255" s="20" t="s">
        <v>5797</v>
      </c>
      <c r="O255" s="6" t="s">
        <v>809</v>
      </c>
      <c r="P255" s="253" t="s">
        <v>1434</v>
      </c>
      <c r="Q255" s="49" t="n">
        <f aca="false">Workload!C5</f>
        <v>1</v>
      </c>
      <c r="R255" s="30" t="s">
        <v>809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5239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5798</v>
      </c>
      <c r="B256" s="253" t="s">
        <v>5234</v>
      </c>
      <c r="C256" s="30" t="s">
        <v>5793</v>
      </c>
      <c r="D256" s="30" t="s">
        <v>5676</v>
      </c>
      <c r="E256" s="20" t="s">
        <v>5794</v>
      </c>
      <c r="F256" s="30" t="s">
        <v>128</v>
      </c>
      <c r="G256" s="253" t="s">
        <v>5235</v>
      </c>
      <c r="H256" s="30" t="s">
        <v>809</v>
      </c>
      <c r="I256" s="6" t="s">
        <v>809</v>
      </c>
      <c r="J256" s="30" t="s">
        <v>5795</v>
      </c>
      <c r="K256" s="186" t="n">
        <f aca="false">MAX(1,Workload!D5*0.5)</f>
        <v>1</v>
      </c>
      <c r="L256" s="186" t="n">
        <f aca="false">Workload!D5*2</f>
        <v>2</v>
      </c>
      <c r="M256" s="30" t="s">
        <v>5796</v>
      </c>
      <c r="N256" s="20" t="s">
        <v>5797</v>
      </c>
      <c r="O256" s="6" t="s">
        <v>809</v>
      </c>
      <c r="P256" s="253" t="s">
        <v>1434</v>
      </c>
      <c r="Q256" s="49" t="n">
        <f aca="false">Workload!D5</f>
        <v>1</v>
      </c>
      <c r="R256" s="30" t="s">
        <v>809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5239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5799</v>
      </c>
      <c r="B257" s="253" t="s">
        <v>5234</v>
      </c>
      <c r="C257" s="30" t="s">
        <v>5793</v>
      </c>
      <c r="D257" s="30" t="s">
        <v>3108</v>
      </c>
      <c r="E257" s="20" t="s">
        <v>5794</v>
      </c>
      <c r="F257" s="30" t="s">
        <v>128</v>
      </c>
      <c r="G257" s="253" t="s">
        <v>5235</v>
      </c>
      <c r="H257" s="30" t="s">
        <v>809</v>
      </c>
      <c r="I257" s="6" t="s">
        <v>809</v>
      </c>
      <c r="J257" s="30" t="s">
        <v>5795</v>
      </c>
      <c r="K257" s="186" t="n">
        <f aca="false">MAX(1,Workload!E5*0.5)</f>
        <v>2</v>
      </c>
      <c r="L257" s="186" t="n">
        <f aca="false">Workload!E5*2</f>
        <v>8</v>
      </c>
      <c r="M257" s="30" t="s">
        <v>5796</v>
      </c>
      <c r="N257" s="20" t="s">
        <v>5797</v>
      </c>
      <c r="O257" s="6" t="s">
        <v>809</v>
      </c>
      <c r="P257" s="253" t="s">
        <v>1434</v>
      </c>
      <c r="Q257" s="49" t="n">
        <f aca="false">Workload!E5</f>
        <v>4</v>
      </c>
      <c r="R257" s="30" t="s">
        <v>809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5239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5800</v>
      </c>
      <c r="B258" s="253" t="s">
        <v>5234</v>
      </c>
      <c r="C258" s="30" t="s">
        <v>5793</v>
      </c>
      <c r="D258" s="30" t="s">
        <v>3248</v>
      </c>
      <c r="E258" s="20" t="s">
        <v>5794</v>
      </c>
      <c r="F258" s="30" t="s">
        <v>128</v>
      </c>
      <c r="G258" s="253" t="s">
        <v>5235</v>
      </c>
      <c r="H258" s="30" t="s">
        <v>809</v>
      </c>
      <c r="I258" s="6" t="s">
        <v>809</v>
      </c>
      <c r="J258" s="30" t="s">
        <v>5795</v>
      </c>
      <c r="K258" s="186" t="n">
        <f aca="false">MAX(1,Workload!F5*0.5)</f>
        <v>2</v>
      </c>
      <c r="L258" s="186" t="n">
        <f aca="false">Workload!F5*2</f>
        <v>8</v>
      </c>
      <c r="M258" s="30" t="s">
        <v>5796</v>
      </c>
      <c r="N258" s="20" t="s">
        <v>5797</v>
      </c>
      <c r="O258" s="6" t="s">
        <v>809</v>
      </c>
      <c r="P258" s="253" t="s">
        <v>1434</v>
      </c>
      <c r="Q258" s="49" t="n">
        <f aca="false">Workload!F5</f>
        <v>4</v>
      </c>
      <c r="R258" s="30" t="s">
        <v>809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5239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5801</v>
      </c>
      <c r="B259" s="253" t="s">
        <v>5234</v>
      </c>
      <c r="C259" s="30" t="s">
        <v>5793</v>
      </c>
      <c r="D259" s="30" t="s">
        <v>3249</v>
      </c>
      <c r="E259" s="20" t="s">
        <v>5794</v>
      </c>
      <c r="F259" s="30" t="s">
        <v>128</v>
      </c>
      <c r="G259" s="253" t="s">
        <v>5235</v>
      </c>
      <c r="H259" s="30" t="s">
        <v>809</v>
      </c>
      <c r="I259" s="6" t="s">
        <v>809</v>
      </c>
      <c r="J259" s="30" t="s">
        <v>5795</v>
      </c>
      <c r="K259" s="186" t="n">
        <f aca="false">MAX(1,Workload!G5*0.5)</f>
        <v>15</v>
      </c>
      <c r="L259" s="186" t="n">
        <f aca="false">Workload!G5*2</f>
        <v>60</v>
      </c>
      <c r="M259" s="30" t="s">
        <v>5796</v>
      </c>
      <c r="N259" s="20" t="s">
        <v>5802</v>
      </c>
      <c r="O259" s="6" t="s">
        <v>809</v>
      </c>
      <c r="P259" s="253" t="s">
        <v>1434</v>
      </c>
      <c r="Q259" s="49" t="n">
        <f aca="false">Workload!G5</f>
        <v>30</v>
      </c>
      <c r="R259" s="30" t="s">
        <v>809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5239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5803</v>
      </c>
      <c r="B260" s="253" t="s">
        <v>5234</v>
      </c>
      <c r="C260" s="30" t="s">
        <v>5793</v>
      </c>
      <c r="D260" s="30" t="s">
        <v>3172</v>
      </c>
      <c r="E260" s="20" t="s">
        <v>5804</v>
      </c>
      <c r="F260" s="30" t="s">
        <v>128</v>
      </c>
      <c r="G260" s="253" t="s">
        <v>5235</v>
      </c>
      <c r="H260" s="30" t="s">
        <v>809</v>
      </c>
      <c r="I260" s="6" t="s">
        <v>809</v>
      </c>
      <c r="J260" s="30" t="s">
        <v>5805</v>
      </c>
      <c r="K260" s="186" t="n">
        <f aca="false">Workload!C6*0.5</f>
        <v>1000</v>
      </c>
      <c r="L260" s="186" t="n">
        <f aca="false">Workload!C6*2</f>
        <v>4000</v>
      </c>
      <c r="M260" s="30" t="s">
        <v>5773</v>
      </c>
      <c r="N260" s="20" t="s">
        <v>5806</v>
      </c>
      <c r="O260" s="6" t="s">
        <v>809</v>
      </c>
      <c r="P260" s="253" t="s">
        <v>1433</v>
      </c>
      <c r="Q260" s="49" t="n">
        <f aca="false">Workload!C6</f>
        <v>2000</v>
      </c>
      <c r="R260" s="30" t="s">
        <v>809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5239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5807</v>
      </c>
      <c r="B261" s="253" t="s">
        <v>5234</v>
      </c>
      <c r="C261" s="30" t="s">
        <v>5793</v>
      </c>
      <c r="D261" s="30" t="s">
        <v>3300</v>
      </c>
      <c r="E261" s="20" t="s">
        <v>5804</v>
      </c>
      <c r="F261" s="30" t="s">
        <v>128</v>
      </c>
      <c r="G261" s="253" t="s">
        <v>5235</v>
      </c>
      <c r="H261" s="30" t="s">
        <v>809</v>
      </c>
      <c r="I261" s="6" t="s">
        <v>809</v>
      </c>
      <c r="J261" s="30" t="s">
        <v>5805</v>
      </c>
      <c r="K261" s="186" t="n">
        <f aca="false">Workload!D6*0.5</f>
        <v>1000</v>
      </c>
      <c r="L261" s="186" t="n">
        <f aca="false">Workload!D6*2</f>
        <v>4000</v>
      </c>
      <c r="M261" s="30" t="s">
        <v>5773</v>
      </c>
      <c r="N261" s="20" t="s">
        <v>5806</v>
      </c>
      <c r="O261" s="6" t="s">
        <v>809</v>
      </c>
      <c r="P261" s="253" t="s">
        <v>1433</v>
      </c>
      <c r="Q261" s="49" t="n">
        <f aca="false">Workload!D6</f>
        <v>2000</v>
      </c>
      <c r="R261" s="30" t="s">
        <v>809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5239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5808</v>
      </c>
      <c r="B262" s="253" t="s">
        <v>5234</v>
      </c>
      <c r="C262" s="30" t="s">
        <v>5793</v>
      </c>
      <c r="D262" s="30" t="s">
        <v>3109</v>
      </c>
      <c r="E262" s="20" t="s">
        <v>5804</v>
      </c>
      <c r="F262" s="30" t="s">
        <v>128</v>
      </c>
      <c r="G262" s="253" t="s">
        <v>5235</v>
      </c>
      <c r="H262" s="30" t="s">
        <v>809</v>
      </c>
      <c r="I262" s="6" t="s">
        <v>809</v>
      </c>
      <c r="J262" s="30" t="s">
        <v>5805</v>
      </c>
      <c r="K262" s="186" t="n">
        <f aca="false">Workload!E6*0.5</f>
        <v>1500</v>
      </c>
      <c r="L262" s="186" t="n">
        <f aca="false">Workload!E6*2</f>
        <v>6000</v>
      </c>
      <c r="M262" s="30" t="s">
        <v>5773</v>
      </c>
      <c r="N262" s="20" t="s">
        <v>5806</v>
      </c>
      <c r="O262" s="6" t="s">
        <v>809</v>
      </c>
      <c r="P262" s="253" t="s">
        <v>1433</v>
      </c>
      <c r="Q262" s="49" t="n">
        <f aca="false">Workload!E6</f>
        <v>3000</v>
      </c>
      <c r="R262" s="30" t="s">
        <v>809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5239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5809</v>
      </c>
      <c r="B263" s="253" t="s">
        <v>5234</v>
      </c>
      <c r="C263" s="30" t="s">
        <v>5793</v>
      </c>
      <c r="D263" s="30" t="s">
        <v>3253</v>
      </c>
      <c r="E263" s="20" t="s">
        <v>5804</v>
      </c>
      <c r="F263" s="30" t="s">
        <v>128</v>
      </c>
      <c r="G263" s="253" t="s">
        <v>5235</v>
      </c>
      <c r="H263" s="30" t="s">
        <v>809</v>
      </c>
      <c r="I263" s="6" t="s">
        <v>809</v>
      </c>
      <c r="J263" s="30" t="s">
        <v>5805</v>
      </c>
      <c r="K263" s="186" t="n">
        <f aca="false">Workload!F6*0.5</f>
        <v>1500</v>
      </c>
      <c r="L263" s="186" t="n">
        <f aca="false">Workload!F6*2</f>
        <v>6000</v>
      </c>
      <c r="M263" s="30" t="s">
        <v>5773</v>
      </c>
      <c r="N263" s="20" t="s">
        <v>5806</v>
      </c>
      <c r="O263" s="6" t="s">
        <v>809</v>
      </c>
      <c r="P263" s="253" t="s">
        <v>1433</v>
      </c>
      <c r="Q263" s="49" t="n">
        <f aca="false">Workload!F6</f>
        <v>3000</v>
      </c>
      <c r="R263" s="30" t="s">
        <v>809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5239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5810</v>
      </c>
      <c r="B264" s="253" t="s">
        <v>5234</v>
      </c>
      <c r="C264" s="30" t="s">
        <v>5793</v>
      </c>
      <c r="D264" s="30" t="s">
        <v>3254</v>
      </c>
      <c r="E264" s="20" t="s">
        <v>5804</v>
      </c>
      <c r="F264" s="30" t="s">
        <v>128</v>
      </c>
      <c r="G264" s="253" t="s">
        <v>5235</v>
      </c>
      <c r="H264" s="30" t="s">
        <v>809</v>
      </c>
      <c r="I264" s="6" t="s">
        <v>809</v>
      </c>
      <c r="J264" s="30" t="s">
        <v>5805</v>
      </c>
      <c r="K264" s="186" t="n">
        <f aca="false">Workload!G6*0.5</f>
        <v>6000</v>
      </c>
      <c r="L264" s="186" t="n">
        <f aca="false">Workload!G6*2</f>
        <v>24000</v>
      </c>
      <c r="M264" s="30" t="s">
        <v>5773</v>
      </c>
      <c r="N264" s="20" t="s">
        <v>5806</v>
      </c>
      <c r="O264" s="6" t="s">
        <v>809</v>
      </c>
      <c r="P264" s="253" t="s">
        <v>1433</v>
      </c>
      <c r="Q264" s="49" t="n">
        <f aca="false">Workload!G6</f>
        <v>12000</v>
      </c>
      <c r="R264" s="30" t="s">
        <v>809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5239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5811</v>
      </c>
      <c r="B265" s="253" t="s">
        <v>5234</v>
      </c>
      <c r="C265" s="30" t="s">
        <v>5793</v>
      </c>
      <c r="D265" s="30" t="s">
        <v>3308</v>
      </c>
      <c r="E265" s="20" t="s">
        <v>5812</v>
      </c>
      <c r="F265" s="30" t="s">
        <v>128</v>
      </c>
      <c r="G265" s="253" t="s">
        <v>5235</v>
      </c>
      <c r="H265" s="30" t="s">
        <v>809</v>
      </c>
      <c r="I265" s="6" t="s">
        <v>809</v>
      </c>
      <c r="J265" s="30" t="s">
        <v>5805</v>
      </c>
      <c r="K265" s="186" t="n">
        <f aca="false">Workload!C7*0.5</f>
        <v>250</v>
      </c>
      <c r="L265" s="186" t="n">
        <f aca="false">Workload!C7*2</f>
        <v>1000</v>
      </c>
      <c r="M265" s="30" t="s">
        <v>5773</v>
      </c>
      <c r="N265" s="20" t="s">
        <v>5806</v>
      </c>
      <c r="O265" s="6" t="s">
        <v>809</v>
      </c>
      <c r="P265" s="253" t="s">
        <v>5281</v>
      </c>
      <c r="Q265" s="49" t="n">
        <f aca="false">Workload!C7</f>
        <v>500</v>
      </c>
      <c r="R265" s="30" t="s">
        <v>809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5239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5813</v>
      </c>
      <c r="B266" s="253" t="s">
        <v>5234</v>
      </c>
      <c r="C266" s="30" t="s">
        <v>5793</v>
      </c>
      <c r="D266" s="30" t="s">
        <v>3309</v>
      </c>
      <c r="E266" s="20" t="s">
        <v>5812</v>
      </c>
      <c r="F266" s="30" t="s">
        <v>128</v>
      </c>
      <c r="G266" s="253" t="s">
        <v>5235</v>
      </c>
      <c r="H266" s="30" t="s">
        <v>809</v>
      </c>
      <c r="I266" s="6" t="s">
        <v>809</v>
      </c>
      <c r="J266" s="30" t="s">
        <v>5805</v>
      </c>
      <c r="K266" s="186" t="n">
        <f aca="false">Workload!D7*0.5</f>
        <v>250</v>
      </c>
      <c r="L266" s="186" t="n">
        <f aca="false">Workload!D7*2</f>
        <v>1000</v>
      </c>
      <c r="M266" s="30" t="s">
        <v>5773</v>
      </c>
      <c r="N266" s="20" t="s">
        <v>5806</v>
      </c>
      <c r="O266" s="6" t="s">
        <v>809</v>
      </c>
      <c r="P266" s="253" t="s">
        <v>5281</v>
      </c>
      <c r="Q266" s="49" t="n">
        <f aca="false">Workload!D7</f>
        <v>500</v>
      </c>
      <c r="R266" s="30" t="s">
        <v>809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5239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5814</v>
      </c>
      <c r="B267" s="253" t="s">
        <v>5234</v>
      </c>
      <c r="C267" s="30" t="s">
        <v>5793</v>
      </c>
      <c r="D267" s="30" t="s">
        <v>3209</v>
      </c>
      <c r="E267" s="20" t="s">
        <v>5812</v>
      </c>
      <c r="F267" s="30" t="s">
        <v>128</v>
      </c>
      <c r="G267" s="253" t="s">
        <v>5235</v>
      </c>
      <c r="H267" s="30" t="s">
        <v>809</v>
      </c>
      <c r="I267" s="6" t="s">
        <v>809</v>
      </c>
      <c r="J267" s="30" t="s">
        <v>5805</v>
      </c>
      <c r="K267" s="186" t="n">
        <f aca="false">Workload!E7*0.5</f>
        <v>600</v>
      </c>
      <c r="L267" s="186" t="n">
        <f aca="false">Workload!E7*2</f>
        <v>2400</v>
      </c>
      <c r="M267" s="30" t="s">
        <v>5773</v>
      </c>
      <c r="N267" s="20" t="s">
        <v>5806</v>
      </c>
      <c r="O267" s="6" t="s">
        <v>809</v>
      </c>
      <c r="P267" s="253" t="s">
        <v>5281</v>
      </c>
      <c r="Q267" s="49" t="n">
        <f aca="false">Workload!E7</f>
        <v>1200</v>
      </c>
      <c r="R267" s="30" t="s">
        <v>809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5239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5815</v>
      </c>
      <c r="B268" s="253" t="s">
        <v>5234</v>
      </c>
      <c r="C268" s="30" t="s">
        <v>5793</v>
      </c>
      <c r="D268" s="30" t="s">
        <v>3258</v>
      </c>
      <c r="E268" s="20" t="s">
        <v>5812</v>
      </c>
      <c r="F268" s="30" t="s">
        <v>128</v>
      </c>
      <c r="G268" s="253" t="s">
        <v>5235</v>
      </c>
      <c r="H268" s="30" t="s">
        <v>809</v>
      </c>
      <c r="I268" s="6" t="s">
        <v>809</v>
      </c>
      <c r="J268" s="30" t="s">
        <v>5805</v>
      </c>
      <c r="K268" s="186" t="n">
        <f aca="false">Workload!F7*0.5</f>
        <v>600</v>
      </c>
      <c r="L268" s="186" t="n">
        <f aca="false">Workload!F7*2</f>
        <v>2400</v>
      </c>
      <c r="M268" s="30" t="s">
        <v>5773</v>
      </c>
      <c r="N268" s="20" t="s">
        <v>5806</v>
      </c>
      <c r="O268" s="6" t="s">
        <v>809</v>
      </c>
      <c r="P268" s="253" t="s">
        <v>5281</v>
      </c>
      <c r="Q268" s="49" t="n">
        <f aca="false">Workload!F7</f>
        <v>1200</v>
      </c>
      <c r="R268" s="30" t="s">
        <v>809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5239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5816</v>
      </c>
      <c r="B269" s="253" t="s">
        <v>5234</v>
      </c>
      <c r="C269" s="30" t="s">
        <v>5793</v>
      </c>
      <c r="D269" s="30" t="s">
        <v>3259</v>
      </c>
      <c r="E269" s="20" t="s">
        <v>5812</v>
      </c>
      <c r="F269" s="30" t="s">
        <v>128</v>
      </c>
      <c r="G269" s="253" t="s">
        <v>5235</v>
      </c>
      <c r="H269" s="30" t="s">
        <v>809</v>
      </c>
      <c r="I269" s="6" t="s">
        <v>809</v>
      </c>
      <c r="J269" s="30" t="s">
        <v>5805</v>
      </c>
      <c r="K269" s="186" t="n">
        <f aca="false">Workload!G7*0.5</f>
        <v>1000</v>
      </c>
      <c r="L269" s="186" t="n">
        <f aca="false">Workload!G7*2</f>
        <v>4000</v>
      </c>
      <c r="M269" s="30" t="s">
        <v>5773</v>
      </c>
      <c r="N269" s="20" t="s">
        <v>5806</v>
      </c>
      <c r="O269" s="6" t="s">
        <v>809</v>
      </c>
      <c r="P269" s="253" t="s">
        <v>5281</v>
      </c>
      <c r="Q269" s="49" t="n">
        <f aca="false">Workload!G7</f>
        <v>2000</v>
      </c>
      <c r="R269" s="30" t="s">
        <v>809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5239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5817</v>
      </c>
      <c r="B270" s="253" t="s">
        <v>5234</v>
      </c>
      <c r="C270" s="30" t="s">
        <v>5793</v>
      </c>
      <c r="D270" s="30" t="s">
        <v>3173</v>
      </c>
      <c r="E270" s="20" t="s">
        <v>5818</v>
      </c>
      <c r="F270" s="30" t="s">
        <v>128</v>
      </c>
      <c r="G270" s="253" t="s">
        <v>5235</v>
      </c>
      <c r="H270" s="30" t="s">
        <v>809</v>
      </c>
      <c r="I270" s="6" t="s">
        <v>809</v>
      </c>
      <c r="J270" s="30" t="s">
        <v>5805</v>
      </c>
      <c r="K270" s="186" t="n">
        <f aca="false">Workload!C8*0.5</f>
        <v>0</v>
      </c>
      <c r="L270" s="186" t="n">
        <f aca="false">Workload!C8*2</f>
        <v>0</v>
      </c>
      <c r="M270" s="30" t="s">
        <v>5773</v>
      </c>
      <c r="N270" s="254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809</v>
      </c>
      <c r="P270" s="253" t="s">
        <v>5281</v>
      </c>
      <c r="Q270" s="49" t="n">
        <f aca="false">Workload!C8</f>
        <v>0</v>
      </c>
      <c r="R270" s="30" t="s">
        <v>809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5239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5819</v>
      </c>
      <c r="B271" s="253" t="s">
        <v>5234</v>
      </c>
      <c r="C271" s="30" t="s">
        <v>5793</v>
      </c>
      <c r="D271" s="30" t="s">
        <v>3344</v>
      </c>
      <c r="E271" s="20" t="s">
        <v>5818</v>
      </c>
      <c r="F271" s="30" t="s">
        <v>128</v>
      </c>
      <c r="G271" s="253" t="s">
        <v>5235</v>
      </c>
      <c r="H271" s="30" t="s">
        <v>809</v>
      </c>
      <c r="I271" s="6" t="s">
        <v>809</v>
      </c>
      <c r="J271" s="30" t="s">
        <v>5805</v>
      </c>
      <c r="K271" s="186" t="n">
        <f aca="false">Workload!D8*0.5</f>
        <v>1500</v>
      </c>
      <c r="L271" s="186" t="n">
        <f aca="false">Workload!D8*2</f>
        <v>6000</v>
      </c>
      <c r="M271" s="30" t="s">
        <v>5773</v>
      </c>
      <c r="N271" s="254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809</v>
      </c>
      <c r="P271" s="253" t="s">
        <v>5281</v>
      </c>
      <c r="Q271" s="49" t="n">
        <f aca="false">Workload!D8</f>
        <v>3000</v>
      </c>
      <c r="R271" s="30" t="s">
        <v>809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5239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5820</v>
      </c>
      <c r="B272" s="253" t="s">
        <v>5234</v>
      </c>
      <c r="C272" s="30" t="s">
        <v>5793</v>
      </c>
      <c r="D272" s="30" t="s">
        <v>3110</v>
      </c>
      <c r="E272" s="20" t="s">
        <v>5818</v>
      </c>
      <c r="F272" s="30" t="s">
        <v>128</v>
      </c>
      <c r="G272" s="253" t="s">
        <v>5235</v>
      </c>
      <c r="H272" s="30" t="s">
        <v>809</v>
      </c>
      <c r="I272" s="6" t="s">
        <v>809</v>
      </c>
      <c r="J272" s="30" t="s">
        <v>5805</v>
      </c>
      <c r="K272" s="186" t="n">
        <f aca="false">Workload!E8*0.5</f>
        <v>200</v>
      </c>
      <c r="L272" s="186" t="n">
        <f aca="false">Workload!E8*2</f>
        <v>800</v>
      </c>
      <c r="M272" s="30" t="s">
        <v>5773</v>
      </c>
      <c r="N272" s="254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809</v>
      </c>
      <c r="P272" s="253" t="s">
        <v>5281</v>
      </c>
      <c r="Q272" s="49" t="n">
        <f aca="false">Workload!E8</f>
        <v>400</v>
      </c>
      <c r="R272" s="30" t="s">
        <v>809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5239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5821</v>
      </c>
      <c r="B273" s="253" t="s">
        <v>5234</v>
      </c>
      <c r="C273" s="30" t="s">
        <v>5793</v>
      </c>
      <c r="D273" s="30" t="s">
        <v>3263</v>
      </c>
      <c r="E273" s="20" t="s">
        <v>5818</v>
      </c>
      <c r="F273" s="30" t="s">
        <v>128</v>
      </c>
      <c r="G273" s="253" t="s">
        <v>5235</v>
      </c>
      <c r="H273" s="30" t="s">
        <v>809</v>
      </c>
      <c r="I273" s="6" t="s">
        <v>809</v>
      </c>
      <c r="J273" s="30" t="s">
        <v>5805</v>
      </c>
      <c r="K273" s="186" t="n">
        <f aca="false">Workload!F8*0.5</f>
        <v>200</v>
      </c>
      <c r="L273" s="186" t="n">
        <f aca="false">Workload!F8*2</f>
        <v>800</v>
      </c>
      <c r="M273" s="30" t="s">
        <v>5773</v>
      </c>
      <c r="N273" s="254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809</v>
      </c>
      <c r="P273" s="253" t="s">
        <v>5281</v>
      </c>
      <c r="Q273" s="49" t="n">
        <f aca="false">Workload!F8</f>
        <v>400</v>
      </c>
      <c r="R273" s="30" t="s">
        <v>809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5239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5822</v>
      </c>
      <c r="B274" s="253" t="s">
        <v>5234</v>
      </c>
      <c r="C274" s="30" t="s">
        <v>5793</v>
      </c>
      <c r="D274" s="30" t="s">
        <v>3174</v>
      </c>
      <c r="E274" s="20" t="s">
        <v>5818</v>
      </c>
      <c r="F274" s="30" t="s">
        <v>128</v>
      </c>
      <c r="G274" s="253" t="s">
        <v>5235</v>
      </c>
      <c r="H274" s="30" t="s">
        <v>809</v>
      </c>
      <c r="I274" s="6" t="s">
        <v>809</v>
      </c>
      <c r="J274" s="30" t="s">
        <v>5805</v>
      </c>
      <c r="K274" s="186" t="n">
        <f aca="false">Workload!G8*0.5</f>
        <v>300</v>
      </c>
      <c r="L274" s="186" t="n">
        <f aca="false">Workload!G8*2</f>
        <v>1200</v>
      </c>
      <c r="M274" s="30" t="s">
        <v>5773</v>
      </c>
      <c r="N274" s="254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809</v>
      </c>
      <c r="P274" s="253" t="s">
        <v>1434</v>
      </c>
      <c r="Q274" s="49" t="n">
        <f aca="false">Workload!G8</f>
        <v>600</v>
      </c>
      <c r="R274" s="30" t="s">
        <v>809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5239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5823</v>
      </c>
      <c r="B275" s="253" t="s">
        <v>5234</v>
      </c>
      <c r="C275" s="30" t="s">
        <v>5793</v>
      </c>
      <c r="D275" s="30" t="s">
        <v>3175</v>
      </c>
      <c r="E275" s="20" t="s">
        <v>5824</v>
      </c>
      <c r="F275" s="30" t="s">
        <v>128</v>
      </c>
      <c r="G275" s="253" t="s">
        <v>5235</v>
      </c>
      <c r="H275" s="30" t="s">
        <v>809</v>
      </c>
      <c r="I275" s="6" t="s">
        <v>809</v>
      </c>
      <c r="J275" s="30" t="s">
        <v>5805</v>
      </c>
      <c r="K275" s="186" t="n">
        <f aca="false">Workload!C9*0.5</f>
        <v>250</v>
      </c>
      <c r="L275" s="186" t="n">
        <f aca="false">Workload!C9*2</f>
        <v>1000</v>
      </c>
      <c r="M275" s="30" t="s">
        <v>5773</v>
      </c>
      <c r="N275" s="20" t="s">
        <v>5806</v>
      </c>
      <c r="O275" s="6" t="s">
        <v>809</v>
      </c>
      <c r="P275" s="253" t="s">
        <v>5281</v>
      </c>
      <c r="Q275" s="49" t="n">
        <f aca="false">Workload!C9</f>
        <v>500</v>
      </c>
      <c r="R275" s="30" t="s">
        <v>809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5239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5825</v>
      </c>
      <c r="B276" s="253" t="s">
        <v>5234</v>
      </c>
      <c r="C276" s="30" t="s">
        <v>5793</v>
      </c>
      <c r="D276" s="30" t="s">
        <v>3111</v>
      </c>
      <c r="E276" s="20" t="s">
        <v>5824</v>
      </c>
      <c r="F276" s="30" t="s">
        <v>128</v>
      </c>
      <c r="G276" s="253" t="s">
        <v>5235</v>
      </c>
      <c r="H276" s="30" t="s">
        <v>809</v>
      </c>
      <c r="I276" s="6" t="s">
        <v>809</v>
      </c>
      <c r="J276" s="30" t="s">
        <v>5805</v>
      </c>
      <c r="K276" s="186" t="n">
        <f aca="false">Workload!D9*0.5</f>
        <v>350</v>
      </c>
      <c r="L276" s="186" t="n">
        <f aca="false">Workload!D9*2</f>
        <v>1400</v>
      </c>
      <c r="M276" s="30" t="s">
        <v>5773</v>
      </c>
      <c r="N276" s="20" t="s">
        <v>5806</v>
      </c>
      <c r="O276" s="6" t="s">
        <v>809</v>
      </c>
      <c r="P276" s="253" t="s">
        <v>5281</v>
      </c>
      <c r="Q276" s="49" t="n">
        <f aca="false">Workload!D9</f>
        <v>700</v>
      </c>
      <c r="R276" s="30" t="s">
        <v>809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5239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5826</v>
      </c>
      <c r="B277" s="253" t="s">
        <v>5234</v>
      </c>
      <c r="C277" s="30" t="s">
        <v>5793</v>
      </c>
      <c r="D277" s="30" t="s">
        <v>3112</v>
      </c>
      <c r="E277" s="20" t="s">
        <v>5824</v>
      </c>
      <c r="F277" s="30" t="s">
        <v>128</v>
      </c>
      <c r="G277" s="253" t="s">
        <v>5235</v>
      </c>
      <c r="H277" s="30" t="s">
        <v>809</v>
      </c>
      <c r="I277" s="6" t="s">
        <v>809</v>
      </c>
      <c r="J277" s="30" t="s">
        <v>5805</v>
      </c>
      <c r="K277" s="186" t="n">
        <f aca="false">Workload!E9*0.5</f>
        <v>100</v>
      </c>
      <c r="L277" s="186" t="n">
        <f aca="false">Workload!E9*2</f>
        <v>400</v>
      </c>
      <c r="M277" s="30" t="s">
        <v>5773</v>
      </c>
      <c r="N277" s="20" t="s">
        <v>5806</v>
      </c>
      <c r="O277" s="6" t="s">
        <v>809</v>
      </c>
      <c r="P277" s="253" t="s">
        <v>5281</v>
      </c>
      <c r="Q277" s="49" t="n">
        <f aca="false">Workload!E9</f>
        <v>200</v>
      </c>
      <c r="R277" s="30" t="s">
        <v>809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5239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5827</v>
      </c>
      <c r="B278" s="253" t="s">
        <v>5234</v>
      </c>
      <c r="C278" s="30" t="s">
        <v>5793</v>
      </c>
      <c r="D278" s="30" t="s">
        <v>3113</v>
      </c>
      <c r="E278" s="20" t="s">
        <v>5824</v>
      </c>
      <c r="F278" s="30" t="s">
        <v>128</v>
      </c>
      <c r="G278" s="253" t="s">
        <v>5235</v>
      </c>
      <c r="H278" s="30" t="s">
        <v>809</v>
      </c>
      <c r="I278" s="6" t="s">
        <v>809</v>
      </c>
      <c r="J278" s="30" t="s">
        <v>5805</v>
      </c>
      <c r="K278" s="186" t="n">
        <f aca="false">Workload!F9*0.5</f>
        <v>100</v>
      </c>
      <c r="L278" s="186" t="n">
        <f aca="false">Workload!F9*2</f>
        <v>400</v>
      </c>
      <c r="M278" s="30" t="s">
        <v>5773</v>
      </c>
      <c r="N278" s="20" t="s">
        <v>5806</v>
      </c>
      <c r="O278" s="6" t="s">
        <v>809</v>
      </c>
      <c r="P278" s="253" t="s">
        <v>5281</v>
      </c>
      <c r="Q278" s="49" t="n">
        <f aca="false">Workload!F9</f>
        <v>200</v>
      </c>
      <c r="R278" s="30" t="s">
        <v>809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5239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5828</v>
      </c>
      <c r="B279" s="253" t="s">
        <v>5234</v>
      </c>
      <c r="C279" s="30" t="s">
        <v>5793</v>
      </c>
      <c r="D279" s="30" t="s">
        <v>3176</v>
      </c>
      <c r="E279" s="20" t="s">
        <v>5824</v>
      </c>
      <c r="F279" s="30" t="s">
        <v>128</v>
      </c>
      <c r="G279" s="253" t="s">
        <v>5235</v>
      </c>
      <c r="H279" s="30" t="s">
        <v>809</v>
      </c>
      <c r="I279" s="6" t="s">
        <v>809</v>
      </c>
      <c r="J279" s="30" t="s">
        <v>5805</v>
      </c>
      <c r="K279" s="186" t="n">
        <f aca="false">Workload!G9*0.5</f>
        <v>200</v>
      </c>
      <c r="L279" s="186" t="n">
        <f aca="false">Workload!G9*2</f>
        <v>800</v>
      </c>
      <c r="M279" s="30" t="s">
        <v>5773</v>
      </c>
      <c r="N279" s="20" t="s">
        <v>5829</v>
      </c>
      <c r="O279" s="6" t="s">
        <v>809</v>
      </c>
      <c r="P279" s="253" t="s">
        <v>1434</v>
      </c>
      <c r="Q279" s="49" t="n">
        <f aca="false">Workload!G9</f>
        <v>400</v>
      </c>
      <c r="R279" s="30" t="s">
        <v>809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5239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5830</v>
      </c>
      <c r="B280" s="253" t="s">
        <v>5234</v>
      </c>
      <c r="C280" s="30" t="s">
        <v>5793</v>
      </c>
      <c r="D280" s="30" t="s">
        <v>3177</v>
      </c>
      <c r="E280" s="20" t="s">
        <v>5831</v>
      </c>
      <c r="F280" s="30" t="s">
        <v>128</v>
      </c>
      <c r="G280" s="253" t="s">
        <v>5235</v>
      </c>
      <c r="H280" s="30" t="s">
        <v>809</v>
      </c>
      <c r="I280" s="6" t="s">
        <v>809</v>
      </c>
      <c r="J280" s="30" t="s">
        <v>5805</v>
      </c>
      <c r="K280" s="255" t="n">
        <v>0</v>
      </c>
      <c r="L280" s="255" t="n">
        <v>1</v>
      </c>
      <c r="M280" s="30" t="s">
        <v>5832</v>
      </c>
      <c r="N280" s="254" t="str">
        <f aca="false">Workload!$H$10</f>
        <v>Assumed：多數 API 不保留前輪思考（標準 harness）</v>
      </c>
      <c r="O280" s="6" t="s">
        <v>809</v>
      </c>
      <c r="P280" s="253" t="s">
        <v>5238</v>
      </c>
      <c r="Q280" s="196" t="n">
        <f aca="false">Workload!C10</f>
        <v>0</v>
      </c>
      <c r="R280" s="30" t="s">
        <v>809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5239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5833</v>
      </c>
      <c r="B281" s="253" t="s">
        <v>5234</v>
      </c>
      <c r="C281" s="30" t="s">
        <v>5793</v>
      </c>
      <c r="D281" s="30" t="s">
        <v>3114</v>
      </c>
      <c r="E281" s="20" t="s">
        <v>5831</v>
      </c>
      <c r="F281" s="30" t="s">
        <v>128</v>
      </c>
      <c r="G281" s="253" t="s">
        <v>5235</v>
      </c>
      <c r="H281" s="30" t="s">
        <v>809</v>
      </c>
      <c r="I281" s="6" t="s">
        <v>809</v>
      </c>
      <c r="J281" s="30" t="s">
        <v>5805</v>
      </c>
      <c r="K281" s="255" t="n">
        <v>0</v>
      </c>
      <c r="L281" s="255" t="n">
        <v>1</v>
      </c>
      <c r="M281" s="30" t="s">
        <v>5832</v>
      </c>
      <c r="N281" s="254" t="str">
        <f aca="false">Workload!$H$10</f>
        <v>Assumed：多數 API 不保留前輪思考（標準 harness）</v>
      </c>
      <c r="O281" s="6" t="s">
        <v>809</v>
      </c>
      <c r="P281" s="253" t="s">
        <v>5238</v>
      </c>
      <c r="Q281" s="196" t="n">
        <f aca="false">Workload!D10</f>
        <v>0</v>
      </c>
      <c r="R281" s="30" t="s">
        <v>809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5239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5834</v>
      </c>
      <c r="B282" s="253" t="s">
        <v>5234</v>
      </c>
      <c r="C282" s="30" t="s">
        <v>5793</v>
      </c>
      <c r="D282" s="30" t="s">
        <v>3115</v>
      </c>
      <c r="E282" s="20" t="s">
        <v>5831</v>
      </c>
      <c r="F282" s="30" t="s">
        <v>128</v>
      </c>
      <c r="G282" s="253" t="s">
        <v>5235</v>
      </c>
      <c r="H282" s="30" t="s">
        <v>809</v>
      </c>
      <c r="I282" s="6" t="s">
        <v>809</v>
      </c>
      <c r="J282" s="30" t="s">
        <v>5805</v>
      </c>
      <c r="K282" s="255" t="n">
        <v>0</v>
      </c>
      <c r="L282" s="255" t="n">
        <v>1</v>
      </c>
      <c r="M282" s="30" t="s">
        <v>5832</v>
      </c>
      <c r="N282" s="254" t="str">
        <f aca="false">Workload!$H$10</f>
        <v>Assumed：多數 API 不保留前輪思考（標準 harness）</v>
      </c>
      <c r="O282" s="6" t="s">
        <v>809</v>
      </c>
      <c r="P282" s="253" t="s">
        <v>5238</v>
      </c>
      <c r="Q282" s="196" t="n">
        <f aca="false">Workload!E10</f>
        <v>0</v>
      </c>
      <c r="R282" s="30" t="s">
        <v>809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5239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5835</v>
      </c>
      <c r="B283" s="253" t="s">
        <v>5234</v>
      </c>
      <c r="C283" s="30" t="s">
        <v>5793</v>
      </c>
      <c r="D283" s="30" t="s">
        <v>3116</v>
      </c>
      <c r="E283" s="20" t="s">
        <v>5831</v>
      </c>
      <c r="F283" s="30" t="s">
        <v>128</v>
      </c>
      <c r="G283" s="253" t="s">
        <v>5235</v>
      </c>
      <c r="H283" s="30" t="s">
        <v>809</v>
      </c>
      <c r="I283" s="6" t="s">
        <v>809</v>
      </c>
      <c r="J283" s="30" t="s">
        <v>5805</v>
      </c>
      <c r="K283" s="255" t="n">
        <v>0</v>
      </c>
      <c r="L283" s="255" t="n">
        <v>1</v>
      </c>
      <c r="M283" s="30" t="s">
        <v>5832</v>
      </c>
      <c r="N283" s="254" t="str">
        <f aca="false">Workload!$H$10</f>
        <v>Assumed：多數 API 不保留前輪思考（標準 harness）</v>
      </c>
      <c r="O283" s="6" t="s">
        <v>809</v>
      </c>
      <c r="P283" s="253" t="s">
        <v>5238</v>
      </c>
      <c r="Q283" s="196" t="n">
        <f aca="false">Workload!F10</f>
        <v>0</v>
      </c>
      <c r="R283" s="30" t="s">
        <v>809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5239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5836</v>
      </c>
      <c r="B284" s="253" t="s">
        <v>5234</v>
      </c>
      <c r="C284" s="30" t="s">
        <v>5793</v>
      </c>
      <c r="D284" s="30" t="s">
        <v>3178</v>
      </c>
      <c r="E284" s="20" t="s">
        <v>5831</v>
      </c>
      <c r="F284" s="30" t="s">
        <v>128</v>
      </c>
      <c r="G284" s="253" t="s">
        <v>5235</v>
      </c>
      <c r="H284" s="30" t="s">
        <v>809</v>
      </c>
      <c r="I284" s="6" t="s">
        <v>809</v>
      </c>
      <c r="J284" s="30" t="s">
        <v>5805</v>
      </c>
      <c r="K284" s="255" t="n">
        <v>0</v>
      </c>
      <c r="L284" s="255" t="n">
        <v>1</v>
      </c>
      <c r="M284" s="30" t="s">
        <v>5832</v>
      </c>
      <c r="N284" s="254" t="str">
        <f aca="false">Workload!$H$10</f>
        <v>Assumed：多數 API 不保留前輪思考（標準 harness）</v>
      </c>
      <c r="O284" s="6" t="s">
        <v>809</v>
      </c>
      <c r="P284" s="253" t="s">
        <v>5238</v>
      </c>
      <c r="Q284" s="196" t="n">
        <f aca="false">Workload!G10</f>
        <v>0</v>
      </c>
      <c r="R284" s="30" t="s">
        <v>809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5239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5837</v>
      </c>
      <c r="B285" s="253" t="s">
        <v>5234</v>
      </c>
      <c r="C285" s="30" t="s">
        <v>5793</v>
      </c>
      <c r="D285" s="30" t="s">
        <v>3179</v>
      </c>
      <c r="E285" s="20" t="s">
        <v>5838</v>
      </c>
      <c r="F285" s="30" t="s">
        <v>128</v>
      </c>
      <c r="G285" s="253" t="s">
        <v>5235</v>
      </c>
      <c r="H285" s="30" t="s">
        <v>809</v>
      </c>
      <c r="I285" s="6" t="s">
        <v>809</v>
      </c>
      <c r="J285" s="30" t="s">
        <v>5805</v>
      </c>
      <c r="K285" s="255" t="n">
        <v>0.3</v>
      </c>
      <c r="L285" s="255" t="n">
        <v>0.7</v>
      </c>
      <c r="M285" s="30" t="s">
        <v>5839</v>
      </c>
      <c r="N285" s="254" t="str">
        <f aca="false">Workload!$H$11</f>
        <v>Assumed；代理迴圈前綴重用高</v>
      </c>
      <c r="O285" s="6" t="s">
        <v>809</v>
      </c>
      <c r="P285" s="253" t="s">
        <v>1434</v>
      </c>
      <c r="Q285" s="196" t="n">
        <f aca="false">Workload!C11</f>
        <v>0.5</v>
      </c>
      <c r="R285" s="30" t="s">
        <v>809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5239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5840</v>
      </c>
      <c r="B286" s="253" t="s">
        <v>5234</v>
      </c>
      <c r="C286" s="30" t="s">
        <v>5793</v>
      </c>
      <c r="D286" s="30" t="s">
        <v>3117</v>
      </c>
      <c r="E286" s="20" t="s">
        <v>5838</v>
      </c>
      <c r="F286" s="30" t="s">
        <v>128</v>
      </c>
      <c r="G286" s="253" t="s">
        <v>5235</v>
      </c>
      <c r="H286" s="30" t="s">
        <v>809</v>
      </c>
      <c r="I286" s="6" t="s">
        <v>809</v>
      </c>
      <c r="J286" s="30" t="s">
        <v>5805</v>
      </c>
      <c r="K286" s="255" t="n">
        <v>0.3</v>
      </c>
      <c r="L286" s="255" t="n">
        <v>0.7</v>
      </c>
      <c r="M286" s="30" t="s">
        <v>5839</v>
      </c>
      <c r="N286" s="254" t="str">
        <f aca="false">Workload!$H$11</f>
        <v>Assumed；代理迴圈前綴重用高</v>
      </c>
      <c r="O286" s="6" t="s">
        <v>809</v>
      </c>
      <c r="P286" s="253" t="s">
        <v>1434</v>
      </c>
      <c r="Q286" s="196" t="n">
        <f aca="false">Workload!D11</f>
        <v>0.5</v>
      </c>
      <c r="R286" s="30" t="s">
        <v>809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5239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5841</v>
      </c>
      <c r="B287" s="253" t="s">
        <v>5234</v>
      </c>
      <c r="C287" s="30" t="s">
        <v>5793</v>
      </c>
      <c r="D287" s="30" t="s">
        <v>3118</v>
      </c>
      <c r="E287" s="20" t="s">
        <v>5838</v>
      </c>
      <c r="F287" s="30" t="s">
        <v>128</v>
      </c>
      <c r="G287" s="253" t="s">
        <v>5235</v>
      </c>
      <c r="H287" s="30" t="s">
        <v>809</v>
      </c>
      <c r="I287" s="6" t="s">
        <v>809</v>
      </c>
      <c r="J287" s="30" t="s">
        <v>5805</v>
      </c>
      <c r="K287" s="255" t="n">
        <v>0.7</v>
      </c>
      <c r="L287" s="255" t="n">
        <v>0.95</v>
      </c>
      <c r="M287" s="30" t="s">
        <v>5842</v>
      </c>
      <c r="N287" s="254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809</v>
      </c>
      <c r="P287" s="253" t="s">
        <v>1434</v>
      </c>
      <c r="Q287" s="196" t="n">
        <f aca="false">Workload!E11</f>
        <v>0.9</v>
      </c>
      <c r="R287" s="30" t="s">
        <v>809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5239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5843</v>
      </c>
      <c r="B288" s="253" t="s">
        <v>5234</v>
      </c>
      <c r="C288" s="30" t="s">
        <v>5793</v>
      </c>
      <c r="D288" s="30" t="s">
        <v>3119</v>
      </c>
      <c r="E288" s="20" t="s">
        <v>5838</v>
      </c>
      <c r="F288" s="30" t="s">
        <v>128</v>
      </c>
      <c r="G288" s="253" t="s">
        <v>5235</v>
      </c>
      <c r="H288" s="30" t="s">
        <v>809</v>
      </c>
      <c r="I288" s="6" t="s">
        <v>809</v>
      </c>
      <c r="J288" s="30" t="s">
        <v>5805</v>
      </c>
      <c r="K288" s="255" t="n">
        <v>0.7</v>
      </c>
      <c r="L288" s="255" t="n">
        <v>0.95</v>
      </c>
      <c r="M288" s="30" t="s">
        <v>5842</v>
      </c>
      <c r="N288" s="254" t="str">
        <f aca="false">Workload!$H$11</f>
        <v>Assumed；代理迴圈前綴重用高</v>
      </c>
      <c r="O288" s="6" t="s">
        <v>809</v>
      </c>
      <c r="P288" s="253" t="s">
        <v>1434</v>
      </c>
      <c r="Q288" s="196" t="n">
        <f aca="false">Workload!F11</f>
        <v>0.9</v>
      </c>
      <c r="R288" s="30" t="s">
        <v>809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5239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5844</v>
      </c>
      <c r="B289" s="253" t="s">
        <v>5234</v>
      </c>
      <c r="C289" s="30" t="s">
        <v>5793</v>
      </c>
      <c r="D289" s="30" t="s">
        <v>3273</v>
      </c>
      <c r="E289" s="20" t="s">
        <v>5838</v>
      </c>
      <c r="F289" s="30" t="s">
        <v>128</v>
      </c>
      <c r="G289" s="253" t="s">
        <v>5235</v>
      </c>
      <c r="H289" s="30" t="s">
        <v>809</v>
      </c>
      <c r="I289" s="6" t="s">
        <v>809</v>
      </c>
      <c r="J289" s="30" t="s">
        <v>5805</v>
      </c>
      <c r="K289" s="255" t="n">
        <v>0.7</v>
      </c>
      <c r="L289" s="255" t="n">
        <v>0.95</v>
      </c>
      <c r="M289" s="30" t="s">
        <v>5842</v>
      </c>
      <c r="N289" s="254" t="str">
        <f aca="false">Workload!$H$11</f>
        <v>Assumed；代理迴圈前綴重用高</v>
      </c>
      <c r="O289" s="6" t="s">
        <v>809</v>
      </c>
      <c r="P289" s="253" t="s">
        <v>1434</v>
      </c>
      <c r="Q289" s="196" t="n">
        <f aca="false">Workload!G11</f>
        <v>0.9</v>
      </c>
      <c r="R289" s="30" t="s">
        <v>809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5239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5845</v>
      </c>
      <c r="B290" s="253" t="s">
        <v>5234</v>
      </c>
      <c r="C290" s="30" t="s">
        <v>5793</v>
      </c>
      <c r="D290" s="30" t="s">
        <v>3180</v>
      </c>
      <c r="E290" s="20" t="s">
        <v>5846</v>
      </c>
      <c r="F290" s="30" t="s">
        <v>128</v>
      </c>
      <c r="G290" s="253" t="s">
        <v>5235</v>
      </c>
      <c r="H290" s="30" t="s">
        <v>809</v>
      </c>
      <c r="I290" s="6" t="s">
        <v>809</v>
      </c>
      <c r="J290" s="30" t="s">
        <v>5805</v>
      </c>
      <c r="K290" s="255" t="n">
        <v>0</v>
      </c>
      <c r="L290" s="186" t="n">
        <f aca="false">MAX(1,Workload!C12*2)</f>
        <v>1</v>
      </c>
      <c r="M290" s="30" t="s">
        <v>5847</v>
      </c>
      <c r="N290" s="254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809</v>
      </c>
      <c r="P290" s="253" t="s">
        <v>5238</v>
      </c>
      <c r="Q290" s="33" t="n">
        <f aca="false">Workload!C12</f>
        <v>0</v>
      </c>
      <c r="R290" s="30" t="s">
        <v>809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5239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5848</v>
      </c>
      <c r="B291" s="253" t="s">
        <v>5234</v>
      </c>
      <c r="C291" s="30" t="s">
        <v>5793</v>
      </c>
      <c r="D291" s="30" t="s">
        <v>3181</v>
      </c>
      <c r="E291" s="20" t="s">
        <v>5846</v>
      </c>
      <c r="F291" s="30" t="s">
        <v>128</v>
      </c>
      <c r="G291" s="253" t="s">
        <v>5235</v>
      </c>
      <c r="H291" s="30" t="s">
        <v>809</v>
      </c>
      <c r="I291" s="6" t="s">
        <v>809</v>
      </c>
      <c r="J291" s="30" t="s">
        <v>5805</v>
      </c>
      <c r="K291" s="255" t="n">
        <v>0</v>
      </c>
      <c r="L291" s="186" t="n">
        <f aca="false">MAX(1,Workload!D12*2)</f>
        <v>1</v>
      </c>
      <c r="M291" s="30" t="s">
        <v>5847</v>
      </c>
      <c r="N291" s="254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809</v>
      </c>
      <c r="P291" s="253" t="s">
        <v>5238</v>
      </c>
      <c r="Q291" s="33" t="n">
        <f aca="false">Workload!D12</f>
        <v>0</v>
      </c>
      <c r="R291" s="30" t="s">
        <v>809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5239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5849</v>
      </c>
      <c r="B292" s="253" t="s">
        <v>5234</v>
      </c>
      <c r="C292" s="30" t="s">
        <v>5793</v>
      </c>
      <c r="D292" s="30" t="s">
        <v>3182</v>
      </c>
      <c r="E292" s="20" t="s">
        <v>5846</v>
      </c>
      <c r="F292" s="30" t="s">
        <v>128</v>
      </c>
      <c r="G292" s="253" t="s">
        <v>5235</v>
      </c>
      <c r="H292" s="30" t="s">
        <v>809</v>
      </c>
      <c r="I292" s="6" t="s">
        <v>809</v>
      </c>
      <c r="J292" s="30" t="s">
        <v>5805</v>
      </c>
      <c r="K292" s="255" t="n">
        <v>0</v>
      </c>
      <c r="L292" s="186" t="n">
        <f aca="false">MAX(1,Workload!E12*2)</f>
        <v>1</v>
      </c>
      <c r="M292" s="30" t="s">
        <v>5847</v>
      </c>
      <c r="N292" s="254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809</v>
      </c>
      <c r="P292" s="253" t="s">
        <v>5238</v>
      </c>
      <c r="Q292" s="33" t="n">
        <f aca="false">Workload!E12</f>
        <v>0</v>
      </c>
      <c r="R292" s="30" t="s">
        <v>809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5239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5850</v>
      </c>
      <c r="B293" s="253" t="s">
        <v>5234</v>
      </c>
      <c r="C293" s="30" t="s">
        <v>5793</v>
      </c>
      <c r="D293" s="30" t="s">
        <v>3183</v>
      </c>
      <c r="E293" s="20" t="s">
        <v>5846</v>
      </c>
      <c r="F293" s="30" t="s">
        <v>128</v>
      </c>
      <c r="G293" s="253" t="s">
        <v>5235</v>
      </c>
      <c r="H293" s="30" t="s">
        <v>809</v>
      </c>
      <c r="I293" s="6" t="s">
        <v>809</v>
      </c>
      <c r="J293" s="30" t="s">
        <v>5805</v>
      </c>
      <c r="K293" s="255" t="n">
        <v>0</v>
      </c>
      <c r="L293" s="186" t="n">
        <f aca="false">MAX(1,Workload!F12*2)</f>
        <v>6</v>
      </c>
      <c r="M293" s="30" t="s">
        <v>5847</v>
      </c>
      <c r="N293" s="254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809</v>
      </c>
      <c r="P293" s="253" t="s">
        <v>5238</v>
      </c>
      <c r="Q293" s="33" t="n">
        <f aca="false">Workload!F12</f>
        <v>3</v>
      </c>
      <c r="R293" s="30" t="s">
        <v>809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5239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5851</v>
      </c>
      <c r="B294" s="253" t="s">
        <v>5234</v>
      </c>
      <c r="C294" s="30" t="s">
        <v>5793</v>
      </c>
      <c r="D294" s="30" t="s">
        <v>3277</v>
      </c>
      <c r="E294" s="20" t="s">
        <v>5846</v>
      </c>
      <c r="F294" s="30" t="s">
        <v>128</v>
      </c>
      <c r="G294" s="253" t="s">
        <v>5235</v>
      </c>
      <c r="H294" s="30" t="s">
        <v>809</v>
      </c>
      <c r="I294" s="6" t="s">
        <v>809</v>
      </c>
      <c r="J294" s="30" t="s">
        <v>5805</v>
      </c>
      <c r="K294" s="255" t="n">
        <v>0</v>
      </c>
      <c r="L294" s="186" t="n">
        <f aca="false">MAX(1,Workload!G12*2)</f>
        <v>1</v>
      </c>
      <c r="M294" s="30" t="s">
        <v>5847</v>
      </c>
      <c r="N294" s="254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809</v>
      </c>
      <c r="P294" s="253" t="s">
        <v>1434</v>
      </c>
      <c r="Q294" s="33" t="n">
        <f aca="false">Workload!G12</f>
        <v>0</v>
      </c>
      <c r="R294" s="30" t="s">
        <v>809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5239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5852</v>
      </c>
      <c r="B295" s="253" t="s">
        <v>5234</v>
      </c>
      <c r="C295" s="30" t="s">
        <v>5793</v>
      </c>
      <c r="D295" s="30" t="s">
        <v>3184</v>
      </c>
      <c r="E295" s="6" t="s">
        <v>445</v>
      </c>
      <c r="F295" s="30" t="s">
        <v>118</v>
      </c>
      <c r="G295" s="253" t="s">
        <v>5235</v>
      </c>
      <c r="H295" s="30" t="s">
        <v>809</v>
      </c>
      <c r="I295" s="6" t="s">
        <v>809</v>
      </c>
      <c r="J295" s="30" t="s">
        <v>5853</v>
      </c>
      <c r="K295" s="253"/>
      <c r="L295" s="253"/>
      <c r="M295" s="30" t="s">
        <v>809</v>
      </c>
      <c r="N295" s="6" t="s">
        <v>5854</v>
      </c>
      <c r="O295" s="6" t="s">
        <v>809</v>
      </c>
      <c r="P295" s="253" t="s">
        <v>1434</v>
      </c>
      <c r="Q295" s="194" t="n">
        <f aca="false">Workload!C13</f>
        <v>1</v>
      </c>
      <c r="R295" s="30" t="s">
        <v>809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5239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5855</v>
      </c>
      <c r="B296" s="253" t="s">
        <v>5234</v>
      </c>
      <c r="C296" s="30" t="s">
        <v>5793</v>
      </c>
      <c r="D296" s="30" t="s">
        <v>3213</v>
      </c>
      <c r="E296" s="20" t="s">
        <v>5856</v>
      </c>
      <c r="F296" s="30" t="s">
        <v>118</v>
      </c>
      <c r="G296" s="253" t="s">
        <v>5235</v>
      </c>
      <c r="H296" s="30" t="s">
        <v>809</v>
      </c>
      <c r="I296" s="6" t="s">
        <v>809</v>
      </c>
      <c r="J296" s="30" t="s">
        <v>5857</v>
      </c>
      <c r="K296" s="253"/>
      <c r="L296" s="253"/>
      <c r="M296" s="30" t="s">
        <v>809</v>
      </c>
      <c r="N296" s="20" t="s">
        <v>5858</v>
      </c>
      <c r="O296" s="6" t="s">
        <v>809</v>
      </c>
      <c r="P296" s="253" t="s">
        <v>5281</v>
      </c>
      <c r="Q296" s="194" t="n">
        <f aca="false">Workload!C14</f>
        <v>1</v>
      </c>
      <c r="R296" s="30" t="s">
        <v>809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5239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5859</v>
      </c>
      <c r="B297" s="253" t="s">
        <v>5234</v>
      </c>
      <c r="C297" s="30" t="s">
        <v>5793</v>
      </c>
      <c r="D297" s="30" t="s">
        <v>3120</v>
      </c>
      <c r="E297" s="6" t="s">
        <v>445</v>
      </c>
      <c r="F297" s="30" t="s">
        <v>118</v>
      </c>
      <c r="G297" s="253" t="s">
        <v>5235</v>
      </c>
      <c r="H297" s="30" t="s">
        <v>809</v>
      </c>
      <c r="I297" s="6" t="s">
        <v>809</v>
      </c>
      <c r="J297" s="30" t="s">
        <v>5853</v>
      </c>
      <c r="K297" s="253"/>
      <c r="L297" s="253"/>
      <c r="M297" s="30" t="s">
        <v>809</v>
      </c>
      <c r="N297" s="6" t="s">
        <v>5854</v>
      </c>
      <c r="O297" s="6" t="s">
        <v>809</v>
      </c>
      <c r="P297" s="253" t="s">
        <v>1434</v>
      </c>
      <c r="Q297" s="194" t="n">
        <f aca="false">Workload!D13</f>
        <v>1</v>
      </c>
      <c r="R297" s="30" t="s">
        <v>809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5239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5860</v>
      </c>
      <c r="B298" s="253" t="s">
        <v>5234</v>
      </c>
      <c r="C298" s="30" t="s">
        <v>5793</v>
      </c>
      <c r="D298" s="30" t="s">
        <v>3122</v>
      </c>
      <c r="E298" s="20" t="s">
        <v>5856</v>
      </c>
      <c r="F298" s="30" t="s">
        <v>118</v>
      </c>
      <c r="G298" s="253" t="s">
        <v>5235</v>
      </c>
      <c r="H298" s="30" t="s">
        <v>809</v>
      </c>
      <c r="I298" s="6" t="s">
        <v>809</v>
      </c>
      <c r="J298" s="30" t="s">
        <v>5857</v>
      </c>
      <c r="K298" s="253"/>
      <c r="L298" s="253"/>
      <c r="M298" s="30" t="s">
        <v>809</v>
      </c>
      <c r="N298" s="20" t="s">
        <v>5858</v>
      </c>
      <c r="O298" s="6" t="s">
        <v>809</v>
      </c>
      <c r="P298" s="253" t="s">
        <v>5281</v>
      </c>
      <c r="Q298" s="194" t="n">
        <f aca="false">Workload!D14</f>
        <v>1</v>
      </c>
      <c r="R298" s="30" t="s">
        <v>809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5239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5861</v>
      </c>
      <c r="B299" s="253" t="s">
        <v>5234</v>
      </c>
      <c r="C299" s="30" t="s">
        <v>5793</v>
      </c>
      <c r="D299" s="30" t="s">
        <v>3121</v>
      </c>
      <c r="E299" s="6" t="s">
        <v>445</v>
      </c>
      <c r="F299" s="30" t="s">
        <v>118</v>
      </c>
      <c r="G299" s="253" t="s">
        <v>5235</v>
      </c>
      <c r="H299" s="30" t="s">
        <v>809</v>
      </c>
      <c r="I299" s="6" t="s">
        <v>809</v>
      </c>
      <c r="J299" s="30" t="s">
        <v>5853</v>
      </c>
      <c r="K299" s="253"/>
      <c r="L299" s="253"/>
      <c r="M299" s="30" t="s">
        <v>809</v>
      </c>
      <c r="N299" s="6" t="s">
        <v>5854</v>
      </c>
      <c r="O299" s="6" t="s">
        <v>809</v>
      </c>
      <c r="P299" s="253" t="s">
        <v>1434</v>
      </c>
      <c r="Q299" s="194" t="n">
        <f aca="false">Workload!E13</f>
        <v>1</v>
      </c>
      <c r="R299" s="30" t="s">
        <v>809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5239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5862</v>
      </c>
      <c r="B300" s="253" t="s">
        <v>5234</v>
      </c>
      <c r="C300" s="30" t="s">
        <v>5793</v>
      </c>
      <c r="D300" s="30" t="s">
        <v>3123</v>
      </c>
      <c r="E300" s="20" t="s">
        <v>5856</v>
      </c>
      <c r="F300" s="30" t="s">
        <v>118</v>
      </c>
      <c r="G300" s="253" t="s">
        <v>5235</v>
      </c>
      <c r="H300" s="30" t="s">
        <v>809</v>
      </c>
      <c r="I300" s="6" t="s">
        <v>809</v>
      </c>
      <c r="J300" s="30" t="s">
        <v>5857</v>
      </c>
      <c r="K300" s="253"/>
      <c r="L300" s="253"/>
      <c r="M300" s="30" t="s">
        <v>809</v>
      </c>
      <c r="N300" s="20" t="s">
        <v>5858</v>
      </c>
      <c r="O300" s="6" t="s">
        <v>809</v>
      </c>
      <c r="P300" s="253" t="s">
        <v>5281</v>
      </c>
      <c r="Q300" s="194" t="n">
        <f aca="false">Workload!E14</f>
        <v>1</v>
      </c>
      <c r="R300" s="30" t="s">
        <v>809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5239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5863</v>
      </c>
      <c r="B301" s="253" t="s">
        <v>5234</v>
      </c>
      <c r="C301" s="30" t="s">
        <v>5793</v>
      </c>
      <c r="D301" s="30" t="s">
        <v>3185</v>
      </c>
      <c r="E301" s="6" t="s">
        <v>445</v>
      </c>
      <c r="F301" s="30" t="s">
        <v>118</v>
      </c>
      <c r="G301" s="253" t="s">
        <v>5235</v>
      </c>
      <c r="H301" s="30" t="s">
        <v>809</v>
      </c>
      <c r="I301" s="6" t="s">
        <v>809</v>
      </c>
      <c r="J301" s="30" t="s">
        <v>5853</v>
      </c>
      <c r="K301" s="253"/>
      <c r="L301" s="253"/>
      <c r="M301" s="30" t="s">
        <v>809</v>
      </c>
      <c r="N301" s="6" t="s">
        <v>5854</v>
      </c>
      <c r="O301" s="6" t="s">
        <v>809</v>
      </c>
      <c r="P301" s="253" t="s">
        <v>1434</v>
      </c>
      <c r="Q301" s="194" t="n">
        <f aca="false">Workload!F13</f>
        <v>1</v>
      </c>
      <c r="R301" s="30" t="s">
        <v>809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5239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5864</v>
      </c>
      <c r="B302" s="253" t="s">
        <v>5234</v>
      </c>
      <c r="C302" s="30" t="s">
        <v>5793</v>
      </c>
      <c r="D302" s="30" t="s">
        <v>3124</v>
      </c>
      <c r="E302" s="20" t="s">
        <v>5856</v>
      </c>
      <c r="F302" s="30" t="s">
        <v>118</v>
      </c>
      <c r="G302" s="253" t="s">
        <v>5235</v>
      </c>
      <c r="H302" s="30" t="s">
        <v>809</v>
      </c>
      <c r="I302" s="6" t="s">
        <v>809</v>
      </c>
      <c r="J302" s="30" t="s">
        <v>5857</v>
      </c>
      <c r="K302" s="253"/>
      <c r="L302" s="253"/>
      <c r="M302" s="30" t="s">
        <v>809</v>
      </c>
      <c r="N302" s="20" t="s">
        <v>5858</v>
      </c>
      <c r="O302" s="6" t="s">
        <v>809</v>
      </c>
      <c r="P302" s="253" t="s">
        <v>5281</v>
      </c>
      <c r="Q302" s="194" t="n">
        <f aca="false">Workload!F14</f>
        <v>1</v>
      </c>
      <c r="R302" s="30" t="s">
        <v>809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5239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5865</v>
      </c>
      <c r="B303" s="253" t="s">
        <v>5234</v>
      </c>
      <c r="C303" s="30" t="s">
        <v>5793</v>
      </c>
      <c r="D303" s="30" t="s">
        <v>3281</v>
      </c>
      <c r="E303" s="6" t="s">
        <v>445</v>
      </c>
      <c r="F303" s="30" t="s">
        <v>118</v>
      </c>
      <c r="G303" s="253" t="s">
        <v>5235</v>
      </c>
      <c r="H303" s="30" t="s">
        <v>809</v>
      </c>
      <c r="I303" s="6" t="s">
        <v>809</v>
      </c>
      <c r="J303" s="30" t="s">
        <v>5853</v>
      </c>
      <c r="K303" s="253"/>
      <c r="L303" s="253"/>
      <c r="M303" s="30" t="s">
        <v>809</v>
      </c>
      <c r="N303" s="6" t="s">
        <v>5854</v>
      </c>
      <c r="O303" s="6" t="s">
        <v>809</v>
      </c>
      <c r="P303" s="253" t="s">
        <v>1434</v>
      </c>
      <c r="Q303" s="194" t="n">
        <f aca="false">Workload!G13</f>
        <v>1</v>
      </c>
      <c r="R303" s="30" t="s">
        <v>809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5239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5866</v>
      </c>
      <c r="B304" s="253" t="s">
        <v>5234</v>
      </c>
      <c r="C304" s="30" t="s">
        <v>5793</v>
      </c>
      <c r="D304" s="30" t="s">
        <v>3285</v>
      </c>
      <c r="E304" s="20" t="s">
        <v>5856</v>
      </c>
      <c r="F304" s="30" t="s">
        <v>118</v>
      </c>
      <c r="G304" s="253" t="s">
        <v>5235</v>
      </c>
      <c r="H304" s="30" t="s">
        <v>809</v>
      </c>
      <c r="I304" s="6" t="s">
        <v>809</v>
      </c>
      <c r="J304" s="30" t="s">
        <v>5857</v>
      </c>
      <c r="K304" s="253"/>
      <c r="L304" s="253"/>
      <c r="M304" s="30" t="s">
        <v>809</v>
      </c>
      <c r="N304" s="20" t="s">
        <v>5858</v>
      </c>
      <c r="O304" s="6" t="s">
        <v>809</v>
      </c>
      <c r="P304" s="253" t="s">
        <v>5281</v>
      </c>
      <c r="Q304" s="194" t="n">
        <f aca="false">Workload!G14</f>
        <v>1</v>
      </c>
      <c r="R304" s="30" t="s">
        <v>809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5239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5867</v>
      </c>
      <c r="B305" s="253" t="s">
        <v>5868</v>
      </c>
      <c r="C305" s="30" t="s">
        <v>5793</v>
      </c>
      <c r="D305" s="30" t="s">
        <v>3337</v>
      </c>
      <c r="E305" s="20" t="s">
        <v>5869</v>
      </c>
      <c r="F305" s="207" t="s">
        <v>128</v>
      </c>
      <c r="G305" s="253" t="s">
        <v>5235</v>
      </c>
      <c r="H305" s="30" t="s">
        <v>809</v>
      </c>
      <c r="I305" s="245" t="s">
        <v>809</v>
      </c>
      <c r="J305" s="30" t="s">
        <v>5805</v>
      </c>
      <c r="K305" s="253"/>
      <c r="L305" s="253"/>
      <c r="M305" s="253" t="s">
        <v>5023</v>
      </c>
      <c r="N305" s="20" t="s">
        <v>5870</v>
      </c>
      <c r="O305" s="6" t="s">
        <v>809</v>
      </c>
      <c r="P305" s="253" t="s">
        <v>5238</v>
      </c>
      <c r="Q305" s="33" t="n">
        <f aca="false">Workload!C40</f>
        <v>1</v>
      </c>
      <c r="R305" s="30" t="s">
        <v>809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5239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5871</v>
      </c>
      <c r="B306" s="253" t="s">
        <v>5868</v>
      </c>
      <c r="C306" s="30" t="s">
        <v>5793</v>
      </c>
      <c r="D306" s="30" t="s">
        <v>5601</v>
      </c>
      <c r="E306" s="20" t="s">
        <v>5869</v>
      </c>
      <c r="F306" s="253" t="s">
        <v>373</v>
      </c>
      <c r="G306" s="253" t="s">
        <v>5235</v>
      </c>
      <c r="H306" s="30" t="s">
        <v>5872</v>
      </c>
      <c r="I306" s="20" t="s">
        <v>5265</v>
      </c>
      <c r="J306" s="30" t="s">
        <v>809</v>
      </c>
      <c r="K306" s="253"/>
      <c r="L306" s="253"/>
      <c r="M306" s="30" t="s">
        <v>809</v>
      </c>
      <c r="N306" s="20" t="s">
        <v>5873</v>
      </c>
      <c r="O306" s="6" t="s">
        <v>809</v>
      </c>
      <c r="P306" s="253" t="s">
        <v>5238</v>
      </c>
      <c r="Q306" s="33" t="n">
        <f aca="false">Workload!E40</f>
        <v>4</v>
      </c>
      <c r="R306" s="186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5267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601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5874</v>
      </c>
      <c r="B307" s="253" t="s">
        <v>5868</v>
      </c>
      <c r="C307" s="30" t="s">
        <v>5793</v>
      </c>
      <c r="D307" s="30" t="s">
        <v>5603</v>
      </c>
      <c r="E307" s="20" t="s">
        <v>5869</v>
      </c>
      <c r="F307" s="253" t="s">
        <v>373</v>
      </c>
      <c r="G307" s="253" t="s">
        <v>5235</v>
      </c>
      <c r="H307" s="30" t="s">
        <v>5875</v>
      </c>
      <c r="I307" s="20" t="s">
        <v>5265</v>
      </c>
      <c r="J307" s="30" t="s">
        <v>809</v>
      </c>
      <c r="K307" s="253"/>
      <c r="L307" s="253"/>
      <c r="M307" s="30" t="s">
        <v>809</v>
      </c>
      <c r="N307" s="20" t="s">
        <v>5873</v>
      </c>
      <c r="O307" s="6" t="s">
        <v>809</v>
      </c>
      <c r="P307" s="253" t="s">
        <v>5238</v>
      </c>
      <c r="Q307" s="33" t="n">
        <f aca="false">Workload!F40</f>
        <v>15</v>
      </c>
      <c r="R307" s="186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5267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602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5876</v>
      </c>
      <c r="B308" s="253" t="s">
        <v>5234</v>
      </c>
      <c r="C308" s="30" t="s">
        <v>3227</v>
      </c>
      <c r="D308" s="30" t="s">
        <v>3228</v>
      </c>
      <c r="E308" s="6" t="s">
        <v>486</v>
      </c>
      <c r="F308" s="30" t="s">
        <v>133</v>
      </c>
      <c r="G308" s="253" t="s">
        <v>5235</v>
      </c>
      <c r="H308" s="30" t="s">
        <v>5877</v>
      </c>
      <c r="I308" s="20" t="s">
        <v>5878</v>
      </c>
      <c r="J308" s="30" t="s">
        <v>809</v>
      </c>
      <c r="K308" s="255" t="n">
        <v>0.15</v>
      </c>
      <c r="L308" s="255" t="n">
        <v>0.45</v>
      </c>
      <c r="M308" s="30" t="s">
        <v>5879</v>
      </c>
      <c r="N308" s="254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809</v>
      </c>
      <c r="P308" s="253" t="s">
        <v>1434</v>
      </c>
      <c r="Q308" s="196" t="n">
        <f aca="false">Calib!C5</f>
        <v>0.3</v>
      </c>
      <c r="R308" s="186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5239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341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5880</v>
      </c>
      <c r="B309" s="253" t="s">
        <v>5234</v>
      </c>
      <c r="C309" s="30" t="s">
        <v>3227</v>
      </c>
      <c r="D309" s="30" t="s">
        <v>5881</v>
      </c>
      <c r="E309" s="20" t="s">
        <v>494</v>
      </c>
      <c r="F309" s="253" t="s">
        <v>5882</v>
      </c>
      <c r="G309" s="253" t="s">
        <v>5883</v>
      </c>
      <c r="H309" s="30" t="s">
        <v>809</v>
      </c>
      <c r="I309" s="6" t="s">
        <v>809</v>
      </c>
      <c r="J309" s="30" t="s">
        <v>5884</v>
      </c>
      <c r="K309" s="253"/>
      <c r="L309" s="253"/>
      <c r="M309" s="30" t="s">
        <v>809</v>
      </c>
      <c r="N309" s="20" t="s">
        <v>5885</v>
      </c>
      <c r="O309" s="6" t="s">
        <v>809</v>
      </c>
      <c r="P309" s="30" t="s">
        <v>809</v>
      </c>
      <c r="Q309" s="186" t="s">
        <v>809</v>
      </c>
      <c r="R309" s="30" t="s">
        <v>809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809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5886</v>
      </c>
      <c r="B310" s="253" t="s">
        <v>5234</v>
      </c>
      <c r="C310" s="30" t="s">
        <v>3227</v>
      </c>
      <c r="D310" s="30" t="s">
        <v>3184</v>
      </c>
      <c r="E310" s="6" t="s">
        <v>502</v>
      </c>
      <c r="F310" s="253" t="s">
        <v>373</v>
      </c>
      <c r="G310" s="253" t="s">
        <v>5235</v>
      </c>
      <c r="H310" s="30" t="s">
        <v>5887</v>
      </c>
      <c r="I310" s="20" t="s">
        <v>5265</v>
      </c>
      <c r="J310" s="30" t="s">
        <v>809</v>
      </c>
      <c r="K310" s="253"/>
      <c r="L310" s="253"/>
      <c r="M310" s="30" t="s">
        <v>809</v>
      </c>
      <c r="N310" s="20" t="s">
        <v>5328</v>
      </c>
      <c r="O310" s="6" t="s">
        <v>809</v>
      </c>
      <c r="P310" s="253" t="s">
        <v>5238</v>
      </c>
      <c r="Q310" s="33" t="n">
        <f aca="false">Calib!C13</f>
        <v>1</v>
      </c>
      <c r="R310" s="186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5267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309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5888</v>
      </c>
      <c r="B311" s="253" t="s">
        <v>5234</v>
      </c>
      <c r="C311" s="30" t="s">
        <v>3227</v>
      </c>
      <c r="D311" s="30" t="s">
        <v>3213</v>
      </c>
      <c r="E311" s="20" t="s">
        <v>504</v>
      </c>
      <c r="F311" s="253" t="s">
        <v>373</v>
      </c>
      <c r="G311" s="253" t="s">
        <v>5235</v>
      </c>
      <c r="H311" s="30" t="s">
        <v>5887</v>
      </c>
      <c r="I311" s="20" t="s">
        <v>5265</v>
      </c>
      <c r="J311" s="30" t="s">
        <v>809</v>
      </c>
      <c r="K311" s="253"/>
      <c r="L311" s="253"/>
      <c r="M311" s="30" t="s">
        <v>809</v>
      </c>
      <c r="N311" s="20" t="s">
        <v>5328</v>
      </c>
      <c r="O311" s="6" t="s">
        <v>809</v>
      </c>
      <c r="P311" s="253" t="s">
        <v>1434</v>
      </c>
      <c r="Q311" s="49" t="n">
        <f aca="false">Calib!C14</f>
        <v>72</v>
      </c>
      <c r="R311" s="186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5267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309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5889</v>
      </c>
      <c r="B312" s="253" t="s">
        <v>5234</v>
      </c>
      <c r="C312" s="30" t="s">
        <v>3227</v>
      </c>
      <c r="D312" s="30" t="s">
        <v>3214</v>
      </c>
      <c r="E312" s="6" t="s">
        <v>506</v>
      </c>
      <c r="F312" s="253" t="s">
        <v>373</v>
      </c>
      <c r="G312" s="253" t="s">
        <v>5235</v>
      </c>
      <c r="H312" s="30" t="s">
        <v>5887</v>
      </c>
      <c r="I312" s="20" t="s">
        <v>5265</v>
      </c>
      <c r="J312" s="30" t="s">
        <v>809</v>
      </c>
      <c r="K312" s="253"/>
      <c r="L312" s="253"/>
      <c r="M312" s="30" t="s">
        <v>809</v>
      </c>
      <c r="N312" s="20" t="s">
        <v>5328</v>
      </c>
      <c r="O312" s="6" t="s">
        <v>809</v>
      </c>
      <c r="P312" s="253" t="s">
        <v>1434</v>
      </c>
      <c r="Q312" s="49" t="n">
        <f aca="false">Calib!C15</f>
        <v>8192</v>
      </c>
      <c r="R312" s="186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5267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309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5890</v>
      </c>
      <c r="B313" s="253" t="s">
        <v>5234</v>
      </c>
      <c r="C313" s="30" t="s">
        <v>3227</v>
      </c>
      <c r="D313" s="30" t="s">
        <v>3215</v>
      </c>
      <c r="E313" s="6" t="s">
        <v>508</v>
      </c>
      <c r="F313" s="253" t="s">
        <v>373</v>
      </c>
      <c r="G313" s="253" t="s">
        <v>5235</v>
      </c>
      <c r="H313" s="30" t="s">
        <v>5887</v>
      </c>
      <c r="I313" s="20" t="s">
        <v>5265</v>
      </c>
      <c r="J313" s="30" t="s">
        <v>809</v>
      </c>
      <c r="K313" s="253"/>
      <c r="L313" s="253"/>
      <c r="M313" s="30" t="s">
        <v>809</v>
      </c>
      <c r="N313" s="20" t="s">
        <v>5328</v>
      </c>
      <c r="O313" s="6" t="s">
        <v>809</v>
      </c>
      <c r="P313" s="253" t="s">
        <v>1434</v>
      </c>
      <c r="Q313" s="49" t="n">
        <f aca="false">Calib!C16</f>
        <v>1024</v>
      </c>
      <c r="R313" s="186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5267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309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5891</v>
      </c>
      <c r="B314" s="253" t="s">
        <v>5234</v>
      </c>
      <c r="C314" s="30" t="s">
        <v>3227</v>
      </c>
      <c r="D314" s="30" t="s">
        <v>3216</v>
      </c>
      <c r="E314" s="20" t="s">
        <v>5892</v>
      </c>
      <c r="F314" s="253" t="s">
        <v>373</v>
      </c>
      <c r="G314" s="253" t="s">
        <v>5235</v>
      </c>
      <c r="H314" s="30" t="s">
        <v>5887</v>
      </c>
      <c r="I314" s="20" t="s">
        <v>5893</v>
      </c>
      <c r="J314" s="30" t="s">
        <v>809</v>
      </c>
      <c r="K314" s="253"/>
      <c r="L314" s="253"/>
      <c r="M314" s="30" t="s">
        <v>809</v>
      </c>
      <c r="N314" s="20" t="s">
        <v>5328</v>
      </c>
      <c r="O314" s="6" t="s">
        <v>5894</v>
      </c>
      <c r="P314" s="253" t="s">
        <v>1434</v>
      </c>
      <c r="Q314" s="49" t="n">
        <f aca="false">Calib!C17</f>
        <v>9342.1</v>
      </c>
      <c r="R314" s="186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5267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309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5895</v>
      </c>
      <c r="B315" s="253" t="s">
        <v>5234</v>
      </c>
      <c r="C315" s="30" t="s">
        <v>3227</v>
      </c>
      <c r="D315" s="30" t="s">
        <v>3120</v>
      </c>
      <c r="E315" s="6" t="s">
        <v>502</v>
      </c>
      <c r="F315" s="253" t="s">
        <v>373</v>
      </c>
      <c r="G315" s="253" t="s">
        <v>5235</v>
      </c>
      <c r="H315" s="30" t="s">
        <v>5896</v>
      </c>
      <c r="I315" s="20" t="s">
        <v>5265</v>
      </c>
      <c r="J315" s="30" t="s">
        <v>809</v>
      </c>
      <c r="K315" s="253"/>
      <c r="L315" s="253"/>
      <c r="M315" s="30" t="s">
        <v>809</v>
      </c>
      <c r="N315" s="20" t="s">
        <v>5328</v>
      </c>
      <c r="O315" s="6" t="s">
        <v>809</v>
      </c>
      <c r="P315" s="253" t="s">
        <v>5238</v>
      </c>
      <c r="Q315" s="33" t="n">
        <f aca="false">Calib!D13</f>
        <v>1</v>
      </c>
      <c r="R315" s="186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5267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310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5897</v>
      </c>
      <c r="B316" s="253" t="s">
        <v>5234</v>
      </c>
      <c r="C316" s="30" t="s">
        <v>3227</v>
      </c>
      <c r="D316" s="30" t="s">
        <v>3122</v>
      </c>
      <c r="E316" s="20" t="s">
        <v>504</v>
      </c>
      <c r="F316" s="253" t="s">
        <v>373</v>
      </c>
      <c r="G316" s="253" t="s">
        <v>5235</v>
      </c>
      <c r="H316" s="30" t="s">
        <v>5896</v>
      </c>
      <c r="I316" s="20" t="s">
        <v>5265</v>
      </c>
      <c r="J316" s="30" t="s">
        <v>809</v>
      </c>
      <c r="K316" s="253"/>
      <c r="L316" s="253"/>
      <c r="M316" s="30" t="s">
        <v>809</v>
      </c>
      <c r="N316" s="20" t="s">
        <v>5328</v>
      </c>
      <c r="O316" s="6" t="s">
        <v>809</v>
      </c>
      <c r="P316" s="253" t="s">
        <v>1434</v>
      </c>
      <c r="Q316" s="49" t="n">
        <f aca="false">Calib!D14</f>
        <v>130</v>
      </c>
      <c r="R316" s="186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5267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310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5898</v>
      </c>
      <c r="B317" s="253" t="s">
        <v>5234</v>
      </c>
      <c r="C317" s="30" t="s">
        <v>3227</v>
      </c>
      <c r="D317" s="30" t="s">
        <v>5651</v>
      </c>
      <c r="E317" s="6" t="s">
        <v>506</v>
      </c>
      <c r="F317" s="253" t="s">
        <v>373</v>
      </c>
      <c r="G317" s="253" t="s">
        <v>5235</v>
      </c>
      <c r="H317" s="30" t="s">
        <v>5896</v>
      </c>
      <c r="I317" s="20" t="s">
        <v>5265</v>
      </c>
      <c r="J317" s="30" t="s">
        <v>809</v>
      </c>
      <c r="K317" s="253"/>
      <c r="L317" s="253"/>
      <c r="M317" s="30" t="s">
        <v>809</v>
      </c>
      <c r="N317" s="20" t="s">
        <v>5328</v>
      </c>
      <c r="O317" s="6" t="s">
        <v>809</v>
      </c>
      <c r="P317" s="253" t="s">
        <v>1434</v>
      </c>
      <c r="Q317" s="49" t="n">
        <f aca="false">Calib!D15</f>
        <v>8192</v>
      </c>
      <c r="R317" s="186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5267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310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5899</v>
      </c>
      <c r="B318" s="253" t="s">
        <v>5234</v>
      </c>
      <c r="C318" s="30" t="s">
        <v>3227</v>
      </c>
      <c r="D318" s="30" t="s">
        <v>3125</v>
      </c>
      <c r="E318" s="6" t="s">
        <v>508</v>
      </c>
      <c r="F318" s="253" t="s">
        <v>373</v>
      </c>
      <c r="G318" s="253" t="s">
        <v>5235</v>
      </c>
      <c r="H318" s="30" t="s">
        <v>5896</v>
      </c>
      <c r="I318" s="20" t="s">
        <v>5265</v>
      </c>
      <c r="J318" s="30" t="s">
        <v>809</v>
      </c>
      <c r="K318" s="253"/>
      <c r="L318" s="253"/>
      <c r="M318" s="30" t="s">
        <v>809</v>
      </c>
      <c r="N318" s="20" t="s">
        <v>5328</v>
      </c>
      <c r="O318" s="6" t="s">
        <v>809</v>
      </c>
      <c r="P318" s="253" t="s">
        <v>1434</v>
      </c>
      <c r="Q318" s="49" t="n">
        <f aca="false">Calib!D16</f>
        <v>1024</v>
      </c>
      <c r="R318" s="186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5267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310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5900</v>
      </c>
      <c r="B319" s="253" t="s">
        <v>5234</v>
      </c>
      <c r="C319" s="30" t="s">
        <v>3227</v>
      </c>
      <c r="D319" s="30" t="s">
        <v>3128</v>
      </c>
      <c r="E319" s="20" t="s">
        <v>5892</v>
      </c>
      <c r="F319" s="253" t="s">
        <v>373</v>
      </c>
      <c r="G319" s="253" t="s">
        <v>5235</v>
      </c>
      <c r="H319" s="30" t="s">
        <v>5896</v>
      </c>
      <c r="I319" s="20" t="s">
        <v>5901</v>
      </c>
      <c r="J319" s="30" t="s">
        <v>809</v>
      </c>
      <c r="K319" s="253"/>
      <c r="L319" s="253"/>
      <c r="M319" s="30" t="s">
        <v>809</v>
      </c>
      <c r="N319" s="20" t="s">
        <v>5328</v>
      </c>
      <c r="O319" s="6" t="s">
        <v>5902</v>
      </c>
      <c r="P319" s="253" t="s">
        <v>1434</v>
      </c>
      <c r="Q319" s="49" t="n">
        <f aca="false">Calib!D17</f>
        <v>3405.2</v>
      </c>
      <c r="R319" s="186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5267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310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5903</v>
      </c>
      <c r="B320" s="253" t="s">
        <v>5234</v>
      </c>
      <c r="C320" s="30" t="s">
        <v>3227</v>
      </c>
      <c r="D320" s="30" t="s">
        <v>3121</v>
      </c>
      <c r="E320" s="6" t="s">
        <v>502</v>
      </c>
      <c r="F320" s="253" t="s">
        <v>373</v>
      </c>
      <c r="G320" s="253" t="s">
        <v>5235</v>
      </c>
      <c r="H320" s="30" t="s">
        <v>5904</v>
      </c>
      <c r="I320" s="20" t="s">
        <v>5265</v>
      </c>
      <c r="J320" s="30" t="s">
        <v>809</v>
      </c>
      <c r="K320" s="253"/>
      <c r="L320" s="253"/>
      <c r="M320" s="30" t="s">
        <v>809</v>
      </c>
      <c r="N320" s="20" t="s">
        <v>5328</v>
      </c>
      <c r="O320" s="6" t="s">
        <v>809</v>
      </c>
      <c r="P320" s="253" t="s">
        <v>5238</v>
      </c>
      <c r="Q320" s="33" t="n">
        <f aca="false">Calib!E13</f>
        <v>1</v>
      </c>
      <c r="R320" s="186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5267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304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5905</v>
      </c>
      <c r="B321" s="253" t="s">
        <v>5234</v>
      </c>
      <c r="C321" s="30" t="s">
        <v>3227</v>
      </c>
      <c r="D321" s="30" t="s">
        <v>3123</v>
      </c>
      <c r="E321" s="20" t="s">
        <v>504</v>
      </c>
      <c r="F321" s="253" t="s">
        <v>373</v>
      </c>
      <c r="G321" s="253" t="s">
        <v>5235</v>
      </c>
      <c r="H321" s="30" t="s">
        <v>5904</v>
      </c>
      <c r="I321" s="20" t="s">
        <v>5265</v>
      </c>
      <c r="J321" s="30" t="s">
        <v>809</v>
      </c>
      <c r="K321" s="253"/>
      <c r="L321" s="253"/>
      <c r="M321" s="30" t="s">
        <v>809</v>
      </c>
      <c r="N321" s="20" t="s">
        <v>5328</v>
      </c>
      <c r="O321" s="6" t="s">
        <v>809</v>
      </c>
      <c r="P321" s="253" t="s">
        <v>1434</v>
      </c>
      <c r="Q321" s="49" t="n">
        <f aca="false">Calib!E14</f>
        <v>50</v>
      </c>
      <c r="R321" s="186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5267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304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5906</v>
      </c>
      <c r="B322" s="253" t="s">
        <v>5234</v>
      </c>
      <c r="C322" s="30" t="s">
        <v>3227</v>
      </c>
      <c r="D322" s="30" t="s">
        <v>3289</v>
      </c>
      <c r="E322" s="6" t="s">
        <v>506</v>
      </c>
      <c r="F322" s="253" t="s">
        <v>373</v>
      </c>
      <c r="G322" s="253" t="s">
        <v>5235</v>
      </c>
      <c r="H322" s="30" t="s">
        <v>5904</v>
      </c>
      <c r="I322" s="20" t="s">
        <v>5265</v>
      </c>
      <c r="J322" s="30" t="s">
        <v>809</v>
      </c>
      <c r="K322" s="253"/>
      <c r="L322" s="253"/>
      <c r="M322" s="30" t="s">
        <v>809</v>
      </c>
      <c r="N322" s="20" t="s">
        <v>5328</v>
      </c>
      <c r="O322" s="6" t="s">
        <v>809</v>
      </c>
      <c r="P322" s="253" t="s">
        <v>1434</v>
      </c>
      <c r="Q322" s="49" t="n">
        <f aca="false">Calib!E15</f>
        <v>8192</v>
      </c>
      <c r="R322" s="186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5267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304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5907</v>
      </c>
      <c r="B323" s="253" t="s">
        <v>5234</v>
      </c>
      <c r="C323" s="30" t="s">
        <v>3227</v>
      </c>
      <c r="D323" s="30" t="s">
        <v>3126</v>
      </c>
      <c r="E323" s="6" t="s">
        <v>508</v>
      </c>
      <c r="F323" s="253" t="s">
        <v>373</v>
      </c>
      <c r="G323" s="253" t="s">
        <v>5235</v>
      </c>
      <c r="H323" s="30" t="s">
        <v>5904</v>
      </c>
      <c r="I323" s="20" t="s">
        <v>5265</v>
      </c>
      <c r="J323" s="30" t="s">
        <v>809</v>
      </c>
      <c r="K323" s="253"/>
      <c r="L323" s="253"/>
      <c r="M323" s="30" t="s">
        <v>809</v>
      </c>
      <c r="N323" s="20" t="s">
        <v>5328</v>
      </c>
      <c r="O323" s="6" t="s">
        <v>809</v>
      </c>
      <c r="P323" s="253" t="s">
        <v>1434</v>
      </c>
      <c r="Q323" s="49" t="n">
        <f aca="false">Calib!E16</f>
        <v>1024</v>
      </c>
      <c r="R323" s="186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5267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304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5908</v>
      </c>
      <c r="B324" s="253" t="s">
        <v>5234</v>
      </c>
      <c r="C324" s="30" t="s">
        <v>3227</v>
      </c>
      <c r="D324" s="30" t="s">
        <v>3129</v>
      </c>
      <c r="E324" s="20" t="s">
        <v>5892</v>
      </c>
      <c r="F324" s="253" t="s">
        <v>373</v>
      </c>
      <c r="G324" s="253" t="s">
        <v>5235</v>
      </c>
      <c r="H324" s="30" t="s">
        <v>5904</v>
      </c>
      <c r="I324" s="20" t="s">
        <v>5265</v>
      </c>
      <c r="J324" s="30" t="s">
        <v>809</v>
      </c>
      <c r="K324" s="253"/>
      <c r="L324" s="253"/>
      <c r="M324" s="30" t="s">
        <v>809</v>
      </c>
      <c r="N324" s="20" t="s">
        <v>5328</v>
      </c>
      <c r="O324" s="6" t="s">
        <v>809</v>
      </c>
      <c r="P324" s="253" t="s">
        <v>1434</v>
      </c>
      <c r="Q324" s="49" t="n">
        <f aca="false">Calib!E17</f>
        <v>11200</v>
      </c>
      <c r="R324" s="186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5267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304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5909</v>
      </c>
      <c r="B325" s="253" t="s">
        <v>5234</v>
      </c>
      <c r="C325" s="30" t="s">
        <v>3227</v>
      </c>
      <c r="D325" s="30" t="s">
        <v>3185</v>
      </c>
      <c r="E325" s="6" t="s">
        <v>502</v>
      </c>
      <c r="F325" s="253" t="s">
        <v>373</v>
      </c>
      <c r="G325" s="253" t="s">
        <v>5235</v>
      </c>
      <c r="H325" s="30" t="s">
        <v>5910</v>
      </c>
      <c r="I325" s="20" t="s">
        <v>5265</v>
      </c>
      <c r="J325" s="30" t="s">
        <v>809</v>
      </c>
      <c r="K325" s="253"/>
      <c r="L325" s="253"/>
      <c r="M325" s="30" t="s">
        <v>809</v>
      </c>
      <c r="N325" s="20" t="s">
        <v>5328</v>
      </c>
      <c r="O325" s="6" t="s">
        <v>809</v>
      </c>
      <c r="P325" s="253" t="s">
        <v>5238</v>
      </c>
      <c r="Q325" s="33" t="n">
        <f aca="false">Calib!F13</f>
        <v>0</v>
      </c>
      <c r="R325" s="186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5267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301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5911</v>
      </c>
      <c r="B326" s="253" t="s">
        <v>5234</v>
      </c>
      <c r="C326" s="30" t="s">
        <v>3227</v>
      </c>
      <c r="D326" s="30" t="s">
        <v>3124</v>
      </c>
      <c r="E326" s="20" t="s">
        <v>504</v>
      </c>
      <c r="F326" s="253" t="s">
        <v>373</v>
      </c>
      <c r="G326" s="253" t="s">
        <v>5235</v>
      </c>
      <c r="H326" s="30" t="s">
        <v>5910</v>
      </c>
      <c r="I326" s="20" t="s">
        <v>5265</v>
      </c>
      <c r="J326" s="30" t="s">
        <v>809</v>
      </c>
      <c r="K326" s="253"/>
      <c r="L326" s="253"/>
      <c r="M326" s="30" t="s">
        <v>809</v>
      </c>
      <c r="N326" s="20" t="s">
        <v>5328</v>
      </c>
      <c r="O326" s="6" t="s">
        <v>809</v>
      </c>
      <c r="P326" s="253" t="s">
        <v>1434</v>
      </c>
      <c r="Q326" s="49" t="n">
        <f aca="false">Calib!F14</f>
        <v>27</v>
      </c>
      <c r="R326" s="186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5267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301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5912</v>
      </c>
      <c r="B327" s="253" t="s">
        <v>5234</v>
      </c>
      <c r="C327" s="30" t="s">
        <v>3227</v>
      </c>
      <c r="D327" s="30" t="s">
        <v>3290</v>
      </c>
      <c r="E327" s="6" t="s">
        <v>506</v>
      </c>
      <c r="F327" s="253" t="s">
        <v>373</v>
      </c>
      <c r="G327" s="253" t="s">
        <v>5235</v>
      </c>
      <c r="H327" s="30" t="s">
        <v>5910</v>
      </c>
      <c r="I327" s="20" t="s">
        <v>5265</v>
      </c>
      <c r="J327" s="30" t="s">
        <v>809</v>
      </c>
      <c r="K327" s="253"/>
      <c r="L327" s="253"/>
      <c r="M327" s="30" t="s">
        <v>809</v>
      </c>
      <c r="N327" s="20" t="s">
        <v>5328</v>
      </c>
      <c r="O327" s="6" t="s">
        <v>809</v>
      </c>
      <c r="P327" s="253" t="s">
        <v>1434</v>
      </c>
      <c r="Q327" s="49" t="n">
        <f aca="false">Calib!F15</f>
        <v>8192</v>
      </c>
      <c r="R327" s="186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5267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301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5913</v>
      </c>
      <c r="B328" s="253" t="s">
        <v>5234</v>
      </c>
      <c r="C328" s="30" t="s">
        <v>3227</v>
      </c>
      <c r="D328" s="30" t="s">
        <v>3127</v>
      </c>
      <c r="E328" s="6" t="s">
        <v>508</v>
      </c>
      <c r="F328" s="253" t="s">
        <v>373</v>
      </c>
      <c r="G328" s="253" t="s">
        <v>5235</v>
      </c>
      <c r="H328" s="30" t="s">
        <v>5910</v>
      </c>
      <c r="I328" s="20" t="s">
        <v>5265</v>
      </c>
      <c r="J328" s="30" t="s">
        <v>809</v>
      </c>
      <c r="K328" s="253"/>
      <c r="L328" s="253"/>
      <c r="M328" s="30" t="s">
        <v>809</v>
      </c>
      <c r="N328" s="20" t="s">
        <v>5328</v>
      </c>
      <c r="O328" s="6" t="s">
        <v>809</v>
      </c>
      <c r="P328" s="253" t="s">
        <v>1434</v>
      </c>
      <c r="Q328" s="49" t="n">
        <f aca="false">Calib!F16</f>
        <v>1024</v>
      </c>
      <c r="R328" s="186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5267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301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5914</v>
      </c>
      <c r="B329" s="253" t="s">
        <v>5234</v>
      </c>
      <c r="C329" s="30" t="s">
        <v>3227</v>
      </c>
      <c r="D329" s="30" t="s">
        <v>3130</v>
      </c>
      <c r="E329" s="20" t="s">
        <v>5892</v>
      </c>
      <c r="F329" s="253" t="s">
        <v>373</v>
      </c>
      <c r="G329" s="253" t="s">
        <v>5235</v>
      </c>
      <c r="H329" s="30" t="s">
        <v>5910</v>
      </c>
      <c r="I329" s="20" t="s">
        <v>5265</v>
      </c>
      <c r="J329" s="30" t="s">
        <v>809</v>
      </c>
      <c r="K329" s="253"/>
      <c r="L329" s="253"/>
      <c r="M329" s="30" t="s">
        <v>809</v>
      </c>
      <c r="N329" s="20" t="s">
        <v>5328</v>
      </c>
      <c r="O329" s="6" t="s">
        <v>809</v>
      </c>
      <c r="P329" s="253" t="s">
        <v>1434</v>
      </c>
      <c r="Q329" s="49" t="n">
        <f aca="false">Calib!F17</f>
        <v>6182</v>
      </c>
      <c r="R329" s="186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5267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301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5915</v>
      </c>
      <c r="B330" s="253" t="s">
        <v>5234</v>
      </c>
      <c r="C330" s="30" t="s">
        <v>3227</v>
      </c>
      <c r="D330" s="30" t="s">
        <v>3281</v>
      </c>
      <c r="E330" s="6" t="s">
        <v>502</v>
      </c>
      <c r="F330" s="253" t="s">
        <v>373</v>
      </c>
      <c r="G330" s="253" t="s">
        <v>5235</v>
      </c>
      <c r="H330" s="30" t="s">
        <v>5916</v>
      </c>
      <c r="I330" s="20" t="s">
        <v>5265</v>
      </c>
      <c r="J330" s="30" t="s">
        <v>809</v>
      </c>
      <c r="K330" s="253"/>
      <c r="L330" s="253"/>
      <c r="M330" s="30" t="s">
        <v>809</v>
      </c>
      <c r="N330" s="20" t="s">
        <v>5328</v>
      </c>
      <c r="O330" s="6" t="s">
        <v>809</v>
      </c>
      <c r="P330" s="253" t="s">
        <v>5238</v>
      </c>
      <c r="Q330" s="33" t="n">
        <f aca="false">Calib!G13</f>
        <v>0</v>
      </c>
      <c r="R330" s="186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5267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302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5917</v>
      </c>
      <c r="B331" s="253" t="s">
        <v>5234</v>
      </c>
      <c r="C331" s="30" t="s">
        <v>3227</v>
      </c>
      <c r="D331" s="30" t="s">
        <v>3285</v>
      </c>
      <c r="E331" s="20" t="s">
        <v>504</v>
      </c>
      <c r="F331" s="253" t="s">
        <v>373</v>
      </c>
      <c r="G331" s="253" t="s">
        <v>5235</v>
      </c>
      <c r="H331" s="30" t="s">
        <v>5916</v>
      </c>
      <c r="I331" s="20" t="s">
        <v>5265</v>
      </c>
      <c r="J331" s="30" t="s">
        <v>809</v>
      </c>
      <c r="K331" s="253"/>
      <c r="L331" s="253"/>
      <c r="M331" s="30" t="s">
        <v>809</v>
      </c>
      <c r="N331" s="20" t="s">
        <v>5328</v>
      </c>
      <c r="O331" s="6" t="s">
        <v>809</v>
      </c>
      <c r="P331" s="253" t="s">
        <v>1434</v>
      </c>
      <c r="Q331" s="49" t="n">
        <f aca="false">Calib!G14</f>
        <v>27</v>
      </c>
      <c r="R331" s="186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5267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302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5918</v>
      </c>
      <c r="B332" s="253" t="s">
        <v>5234</v>
      </c>
      <c r="C332" s="30" t="s">
        <v>3227</v>
      </c>
      <c r="D332" s="30" t="s">
        <v>3291</v>
      </c>
      <c r="E332" s="6" t="s">
        <v>506</v>
      </c>
      <c r="F332" s="253" t="s">
        <v>373</v>
      </c>
      <c r="G332" s="253" t="s">
        <v>5235</v>
      </c>
      <c r="H332" s="30" t="s">
        <v>5916</v>
      </c>
      <c r="I332" s="20" t="s">
        <v>5265</v>
      </c>
      <c r="J332" s="30" t="s">
        <v>809</v>
      </c>
      <c r="K332" s="253"/>
      <c r="L332" s="253"/>
      <c r="M332" s="30" t="s">
        <v>809</v>
      </c>
      <c r="N332" s="20" t="s">
        <v>5328</v>
      </c>
      <c r="O332" s="6" t="s">
        <v>809</v>
      </c>
      <c r="P332" s="253" t="s">
        <v>1434</v>
      </c>
      <c r="Q332" s="49" t="n">
        <f aca="false">Calib!G15</f>
        <v>8192</v>
      </c>
      <c r="R332" s="186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5267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302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5919</v>
      </c>
      <c r="B333" s="253" t="s">
        <v>5234</v>
      </c>
      <c r="C333" s="30" t="s">
        <v>3227</v>
      </c>
      <c r="D333" s="30" t="s">
        <v>3295</v>
      </c>
      <c r="E333" s="6" t="s">
        <v>508</v>
      </c>
      <c r="F333" s="253" t="s">
        <v>373</v>
      </c>
      <c r="G333" s="253" t="s">
        <v>5235</v>
      </c>
      <c r="H333" s="30" t="s">
        <v>5916</v>
      </c>
      <c r="I333" s="20" t="s">
        <v>5265</v>
      </c>
      <c r="J333" s="30" t="s">
        <v>809</v>
      </c>
      <c r="K333" s="253"/>
      <c r="L333" s="253"/>
      <c r="M333" s="30" t="s">
        <v>809</v>
      </c>
      <c r="N333" s="20" t="s">
        <v>5328</v>
      </c>
      <c r="O333" s="6" t="s">
        <v>809</v>
      </c>
      <c r="P333" s="253" t="s">
        <v>1434</v>
      </c>
      <c r="Q333" s="49" t="n">
        <f aca="false">Calib!G16</f>
        <v>1024</v>
      </c>
      <c r="R333" s="186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5267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302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5920</v>
      </c>
      <c r="B334" s="253" t="s">
        <v>5234</v>
      </c>
      <c r="C334" s="30" t="s">
        <v>3227</v>
      </c>
      <c r="D334" s="30" t="s">
        <v>5921</v>
      </c>
      <c r="E334" s="20" t="s">
        <v>5892</v>
      </c>
      <c r="F334" s="253" t="s">
        <v>373</v>
      </c>
      <c r="G334" s="253" t="s">
        <v>5235</v>
      </c>
      <c r="H334" s="30" t="s">
        <v>5916</v>
      </c>
      <c r="I334" s="20" t="s">
        <v>5265</v>
      </c>
      <c r="J334" s="30" t="s">
        <v>809</v>
      </c>
      <c r="K334" s="253"/>
      <c r="L334" s="253"/>
      <c r="M334" s="30" t="s">
        <v>809</v>
      </c>
      <c r="N334" s="20" t="s">
        <v>5328</v>
      </c>
      <c r="O334" s="6" t="s">
        <v>809</v>
      </c>
      <c r="P334" s="253" t="s">
        <v>1434</v>
      </c>
      <c r="Q334" s="49" t="n">
        <f aca="false">Calib!G17</f>
        <v>2189</v>
      </c>
      <c r="R334" s="186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5267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302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5922</v>
      </c>
      <c r="B335" s="253" t="s">
        <v>5234</v>
      </c>
      <c r="C335" s="30" t="s">
        <v>3227</v>
      </c>
      <c r="D335" s="30" t="s">
        <v>3282</v>
      </c>
      <c r="E335" s="6" t="s">
        <v>502</v>
      </c>
      <c r="F335" s="253" t="s">
        <v>373</v>
      </c>
      <c r="G335" s="253" t="s">
        <v>5235</v>
      </c>
      <c r="H335" s="30" t="s">
        <v>5923</v>
      </c>
      <c r="I335" s="20" t="s">
        <v>5265</v>
      </c>
      <c r="J335" s="30" t="s">
        <v>809</v>
      </c>
      <c r="K335" s="253"/>
      <c r="L335" s="253"/>
      <c r="M335" s="30" t="s">
        <v>809</v>
      </c>
      <c r="N335" s="20" t="s">
        <v>5328</v>
      </c>
      <c r="O335" s="6" t="s">
        <v>809</v>
      </c>
      <c r="P335" s="253" t="s">
        <v>5238</v>
      </c>
      <c r="Q335" s="33" t="n">
        <f aca="false">Calib!H13</f>
        <v>1</v>
      </c>
      <c r="R335" s="186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5267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314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5924</v>
      </c>
      <c r="B336" s="253" t="s">
        <v>5234</v>
      </c>
      <c r="C336" s="30" t="s">
        <v>3227</v>
      </c>
      <c r="D336" s="30" t="s">
        <v>3286</v>
      </c>
      <c r="E336" s="20" t="s">
        <v>504</v>
      </c>
      <c r="F336" s="253" t="s">
        <v>373</v>
      </c>
      <c r="G336" s="253" t="s">
        <v>5235</v>
      </c>
      <c r="H336" s="30" t="s">
        <v>5923</v>
      </c>
      <c r="I336" s="20" t="s">
        <v>5265</v>
      </c>
      <c r="J336" s="30" t="s">
        <v>809</v>
      </c>
      <c r="K336" s="253"/>
      <c r="L336" s="253"/>
      <c r="M336" s="30" t="s">
        <v>809</v>
      </c>
      <c r="N336" s="20" t="s">
        <v>5328</v>
      </c>
      <c r="O336" s="6" t="s">
        <v>809</v>
      </c>
      <c r="P336" s="253" t="s">
        <v>1434</v>
      </c>
      <c r="Q336" s="49" t="n">
        <f aca="false">Calib!H14</f>
        <v>110</v>
      </c>
      <c r="R336" s="186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5267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314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5925</v>
      </c>
      <c r="B337" s="253" t="s">
        <v>5234</v>
      </c>
      <c r="C337" s="30" t="s">
        <v>3227</v>
      </c>
      <c r="D337" s="30" t="s">
        <v>3292</v>
      </c>
      <c r="E337" s="6" t="s">
        <v>506</v>
      </c>
      <c r="F337" s="253" t="s">
        <v>373</v>
      </c>
      <c r="G337" s="253" t="s">
        <v>5235</v>
      </c>
      <c r="H337" s="30" t="s">
        <v>5923</v>
      </c>
      <c r="I337" s="20" t="s">
        <v>5265</v>
      </c>
      <c r="J337" s="30" t="s">
        <v>809</v>
      </c>
      <c r="K337" s="253"/>
      <c r="L337" s="253"/>
      <c r="M337" s="30" t="s">
        <v>809</v>
      </c>
      <c r="N337" s="20" t="s">
        <v>5328</v>
      </c>
      <c r="O337" s="6" t="s">
        <v>809</v>
      </c>
      <c r="P337" s="253" t="s">
        <v>1434</v>
      </c>
      <c r="Q337" s="49" t="n">
        <f aca="false">Calib!H15</f>
        <v>8192</v>
      </c>
      <c r="R337" s="186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5267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314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5926</v>
      </c>
      <c r="B338" s="253" t="s">
        <v>5234</v>
      </c>
      <c r="C338" s="30" t="s">
        <v>3227</v>
      </c>
      <c r="D338" s="30" t="s">
        <v>3296</v>
      </c>
      <c r="E338" s="6" t="s">
        <v>508</v>
      </c>
      <c r="F338" s="253" t="s">
        <v>373</v>
      </c>
      <c r="G338" s="253" t="s">
        <v>5235</v>
      </c>
      <c r="H338" s="30" t="s">
        <v>5923</v>
      </c>
      <c r="I338" s="20" t="s">
        <v>5265</v>
      </c>
      <c r="J338" s="30" t="s">
        <v>809</v>
      </c>
      <c r="K338" s="253"/>
      <c r="L338" s="253"/>
      <c r="M338" s="30" t="s">
        <v>809</v>
      </c>
      <c r="N338" s="20" t="s">
        <v>5328</v>
      </c>
      <c r="O338" s="6" t="s">
        <v>809</v>
      </c>
      <c r="P338" s="253" t="s">
        <v>1434</v>
      </c>
      <c r="Q338" s="49" t="n">
        <f aca="false">Calib!H16</f>
        <v>1024</v>
      </c>
      <c r="R338" s="186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5267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314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5927</v>
      </c>
      <c r="B339" s="253" t="s">
        <v>5234</v>
      </c>
      <c r="C339" s="30" t="s">
        <v>3227</v>
      </c>
      <c r="D339" s="30" t="s">
        <v>5928</v>
      </c>
      <c r="E339" s="20" t="s">
        <v>5892</v>
      </c>
      <c r="F339" s="253" t="s">
        <v>373</v>
      </c>
      <c r="G339" s="253" t="s">
        <v>5235</v>
      </c>
      <c r="H339" s="30" t="s">
        <v>5923</v>
      </c>
      <c r="I339" s="20" t="s">
        <v>5265</v>
      </c>
      <c r="J339" s="30" t="s">
        <v>809</v>
      </c>
      <c r="K339" s="253"/>
      <c r="L339" s="253"/>
      <c r="M339" s="30" t="s">
        <v>809</v>
      </c>
      <c r="N339" s="20" t="s">
        <v>5328</v>
      </c>
      <c r="O339" s="6" t="s">
        <v>809</v>
      </c>
      <c r="P339" s="253" t="s">
        <v>1434</v>
      </c>
      <c r="Q339" s="49" t="n">
        <f aca="false">Calib!H17</f>
        <v>3795.5</v>
      </c>
      <c r="R339" s="186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5267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314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5929</v>
      </c>
      <c r="B340" s="253" t="s">
        <v>5234</v>
      </c>
      <c r="C340" s="30" t="s">
        <v>3227</v>
      </c>
      <c r="D340" s="30" t="s">
        <v>5930</v>
      </c>
      <c r="E340" s="6" t="s">
        <v>502</v>
      </c>
      <c r="F340" s="253" t="s">
        <v>373</v>
      </c>
      <c r="G340" s="253" t="s">
        <v>5235</v>
      </c>
      <c r="H340" s="30" t="s">
        <v>5931</v>
      </c>
      <c r="I340" s="20" t="s">
        <v>5265</v>
      </c>
      <c r="J340" s="30" t="s">
        <v>809</v>
      </c>
      <c r="K340" s="253"/>
      <c r="L340" s="253"/>
      <c r="M340" s="30" t="s">
        <v>809</v>
      </c>
      <c r="N340" s="20" t="s">
        <v>5328</v>
      </c>
      <c r="O340" s="6" t="s">
        <v>809</v>
      </c>
      <c r="P340" s="253" t="s">
        <v>5238</v>
      </c>
      <c r="Q340" s="33" t="n">
        <f aca="false">Calib!I13</f>
        <v>1</v>
      </c>
      <c r="R340" s="186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5267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315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5932</v>
      </c>
      <c r="B341" s="253" t="s">
        <v>5234</v>
      </c>
      <c r="C341" s="30" t="s">
        <v>3227</v>
      </c>
      <c r="D341" s="30" t="s">
        <v>5933</v>
      </c>
      <c r="E341" s="20" t="s">
        <v>504</v>
      </c>
      <c r="F341" s="253" t="s">
        <v>373</v>
      </c>
      <c r="G341" s="253" t="s">
        <v>5235</v>
      </c>
      <c r="H341" s="30" t="s">
        <v>5931</v>
      </c>
      <c r="I341" s="20" t="s">
        <v>5265</v>
      </c>
      <c r="J341" s="30" t="s">
        <v>809</v>
      </c>
      <c r="K341" s="253"/>
      <c r="L341" s="253"/>
      <c r="M341" s="30" t="s">
        <v>809</v>
      </c>
      <c r="N341" s="20" t="s">
        <v>5328</v>
      </c>
      <c r="O341" s="6" t="s">
        <v>809</v>
      </c>
      <c r="P341" s="253" t="s">
        <v>1434</v>
      </c>
      <c r="Q341" s="49" t="n">
        <f aca="false">Calib!I14</f>
        <v>110</v>
      </c>
      <c r="R341" s="186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5267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315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5934</v>
      </c>
      <c r="B342" s="253" t="s">
        <v>5234</v>
      </c>
      <c r="C342" s="30" t="s">
        <v>3227</v>
      </c>
      <c r="D342" s="30" t="s">
        <v>5935</v>
      </c>
      <c r="E342" s="6" t="s">
        <v>506</v>
      </c>
      <c r="F342" s="253" t="s">
        <v>373</v>
      </c>
      <c r="G342" s="253" t="s">
        <v>5235</v>
      </c>
      <c r="H342" s="30" t="s">
        <v>5931</v>
      </c>
      <c r="I342" s="20" t="s">
        <v>5265</v>
      </c>
      <c r="J342" s="30" t="s">
        <v>809</v>
      </c>
      <c r="K342" s="253"/>
      <c r="L342" s="253"/>
      <c r="M342" s="30" t="s">
        <v>809</v>
      </c>
      <c r="N342" s="20" t="s">
        <v>5328</v>
      </c>
      <c r="O342" s="6" t="s">
        <v>809</v>
      </c>
      <c r="P342" s="253" t="s">
        <v>1434</v>
      </c>
      <c r="Q342" s="49" t="n">
        <f aca="false">Calib!I15</f>
        <v>8192</v>
      </c>
      <c r="R342" s="186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5267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315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5936</v>
      </c>
      <c r="B343" s="253" t="s">
        <v>5234</v>
      </c>
      <c r="C343" s="30" t="s">
        <v>3227</v>
      </c>
      <c r="D343" s="30" t="s">
        <v>5937</v>
      </c>
      <c r="E343" s="6" t="s">
        <v>508</v>
      </c>
      <c r="F343" s="253" t="s">
        <v>373</v>
      </c>
      <c r="G343" s="253" t="s">
        <v>5235</v>
      </c>
      <c r="H343" s="30" t="s">
        <v>5931</v>
      </c>
      <c r="I343" s="20" t="s">
        <v>5265</v>
      </c>
      <c r="J343" s="30" t="s">
        <v>809</v>
      </c>
      <c r="K343" s="253"/>
      <c r="L343" s="253"/>
      <c r="M343" s="30" t="s">
        <v>809</v>
      </c>
      <c r="N343" s="20" t="s">
        <v>5328</v>
      </c>
      <c r="O343" s="6" t="s">
        <v>809</v>
      </c>
      <c r="P343" s="253" t="s">
        <v>1434</v>
      </c>
      <c r="Q343" s="49" t="n">
        <f aca="false">Calib!I16</f>
        <v>1024</v>
      </c>
      <c r="R343" s="186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5267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315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5938</v>
      </c>
      <c r="B344" s="253" t="s">
        <v>5234</v>
      </c>
      <c r="C344" s="30" t="s">
        <v>3227</v>
      </c>
      <c r="D344" s="30" t="s">
        <v>5939</v>
      </c>
      <c r="E344" s="20" t="s">
        <v>5892</v>
      </c>
      <c r="F344" s="253" t="s">
        <v>373</v>
      </c>
      <c r="G344" s="253" t="s">
        <v>5235</v>
      </c>
      <c r="H344" s="30" t="s">
        <v>5931</v>
      </c>
      <c r="I344" s="20" t="s">
        <v>5265</v>
      </c>
      <c r="J344" s="30" t="s">
        <v>809</v>
      </c>
      <c r="K344" s="253"/>
      <c r="L344" s="253"/>
      <c r="M344" s="30" t="s">
        <v>809</v>
      </c>
      <c r="N344" s="20" t="s">
        <v>5328</v>
      </c>
      <c r="O344" s="6" t="s">
        <v>809</v>
      </c>
      <c r="P344" s="253" t="s">
        <v>1434</v>
      </c>
      <c r="Q344" s="49" t="n">
        <f aca="false">Calib!I17</f>
        <v>6522.4</v>
      </c>
      <c r="R344" s="186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5267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315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5940</v>
      </c>
      <c r="B345" s="253" t="s">
        <v>5234</v>
      </c>
      <c r="C345" s="30" t="s">
        <v>3227</v>
      </c>
      <c r="D345" s="30" t="s">
        <v>3229</v>
      </c>
      <c r="E345" s="6" t="s">
        <v>608</v>
      </c>
      <c r="F345" s="30" t="s">
        <v>176</v>
      </c>
      <c r="G345" s="253" t="s">
        <v>5235</v>
      </c>
      <c r="H345" s="30" t="s">
        <v>5941</v>
      </c>
      <c r="I345" s="20" t="s">
        <v>5942</v>
      </c>
      <c r="J345" s="30" t="s">
        <v>809</v>
      </c>
      <c r="K345" s="255" t="n">
        <v>0.8</v>
      </c>
      <c r="L345" s="255" t="n">
        <v>1.6</v>
      </c>
      <c r="M345" s="30" t="s">
        <v>5943</v>
      </c>
      <c r="N345" s="254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809</v>
      </c>
      <c r="P345" s="253" t="s">
        <v>1434</v>
      </c>
      <c r="Q345" s="194" t="n">
        <f aca="false">Calib!C67</f>
        <v>1.2</v>
      </c>
      <c r="R345" s="186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5239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342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5944</v>
      </c>
      <c r="B346" s="253" t="s">
        <v>5234</v>
      </c>
      <c r="C346" s="30" t="s">
        <v>3227</v>
      </c>
      <c r="D346" s="30" t="s">
        <v>3230</v>
      </c>
      <c r="E346" s="6" t="s">
        <v>608</v>
      </c>
      <c r="F346" s="30" t="s">
        <v>133</v>
      </c>
      <c r="G346" s="253" t="s">
        <v>5235</v>
      </c>
      <c r="H346" s="30" t="s">
        <v>5887</v>
      </c>
      <c r="I346" s="20" t="s">
        <v>5945</v>
      </c>
      <c r="J346" s="30" t="s">
        <v>809</v>
      </c>
      <c r="K346" s="255" t="n">
        <v>0.5</v>
      </c>
      <c r="L346" s="255" t="n">
        <v>1.5</v>
      </c>
      <c r="M346" s="30" t="s">
        <v>5946</v>
      </c>
      <c r="N346" s="20" t="s">
        <v>5947</v>
      </c>
      <c r="O346" s="6" t="s">
        <v>809</v>
      </c>
      <c r="P346" s="253" t="s">
        <v>1434</v>
      </c>
      <c r="Q346" s="194" t="n">
        <f aca="false">Calib!D67</f>
        <v>1</v>
      </c>
      <c r="R346" s="186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5239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309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5948</v>
      </c>
      <c r="B347" s="253" t="s">
        <v>5234</v>
      </c>
      <c r="C347" s="30" t="s">
        <v>3227</v>
      </c>
      <c r="D347" s="30" t="s">
        <v>3231</v>
      </c>
      <c r="E347" s="6" t="s">
        <v>608</v>
      </c>
      <c r="F347" s="30" t="s">
        <v>133</v>
      </c>
      <c r="G347" s="253" t="s">
        <v>5235</v>
      </c>
      <c r="H347" s="30" t="s">
        <v>5887</v>
      </c>
      <c r="I347" s="20" t="s">
        <v>5945</v>
      </c>
      <c r="J347" s="30" t="s">
        <v>809</v>
      </c>
      <c r="K347" s="255" t="n">
        <v>0.5</v>
      </c>
      <c r="L347" s="255" t="n">
        <v>1.5</v>
      </c>
      <c r="M347" s="30" t="s">
        <v>5946</v>
      </c>
      <c r="N347" s="20" t="s">
        <v>5947</v>
      </c>
      <c r="O347" s="6" t="s">
        <v>809</v>
      </c>
      <c r="P347" s="253" t="s">
        <v>1434</v>
      </c>
      <c r="Q347" s="194" t="n">
        <f aca="false">Calib!E67</f>
        <v>1</v>
      </c>
      <c r="R347" s="186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5239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309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5949</v>
      </c>
      <c r="B348" s="253" t="s">
        <v>5234</v>
      </c>
      <c r="C348" s="30" t="s">
        <v>3227</v>
      </c>
      <c r="D348" s="30" t="s">
        <v>3232</v>
      </c>
      <c r="E348" s="6" t="s">
        <v>608</v>
      </c>
      <c r="F348" s="30" t="s">
        <v>133</v>
      </c>
      <c r="G348" s="253" t="s">
        <v>5235</v>
      </c>
      <c r="H348" s="30" t="s">
        <v>5887</v>
      </c>
      <c r="I348" s="20" t="s">
        <v>5945</v>
      </c>
      <c r="J348" s="30" t="s">
        <v>809</v>
      </c>
      <c r="K348" s="255" t="n">
        <v>0.5</v>
      </c>
      <c r="L348" s="255" t="n">
        <v>1.5</v>
      </c>
      <c r="M348" s="30" t="s">
        <v>5946</v>
      </c>
      <c r="N348" s="20" t="s">
        <v>5950</v>
      </c>
      <c r="O348" s="6" t="s">
        <v>809</v>
      </c>
      <c r="P348" s="253" t="s">
        <v>1434</v>
      </c>
      <c r="Q348" s="194" t="n">
        <f aca="false">Calib!F67</f>
        <v>1</v>
      </c>
      <c r="R348" s="186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5239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309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5951</v>
      </c>
      <c r="B349" s="253" t="s">
        <v>5234</v>
      </c>
      <c r="C349" s="30" t="s">
        <v>3227</v>
      </c>
      <c r="D349" s="30" t="s">
        <v>3233</v>
      </c>
      <c r="E349" s="6" t="s">
        <v>608</v>
      </c>
      <c r="F349" s="30" t="s">
        <v>133</v>
      </c>
      <c r="G349" s="253" t="s">
        <v>5235</v>
      </c>
      <c r="H349" s="30" t="s">
        <v>5887</v>
      </c>
      <c r="I349" s="20" t="s">
        <v>5945</v>
      </c>
      <c r="J349" s="30" t="s">
        <v>809</v>
      </c>
      <c r="K349" s="255" t="n">
        <v>0.5</v>
      </c>
      <c r="L349" s="255" t="n">
        <v>1.5</v>
      </c>
      <c r="M349" s="30" t="s">
        <v>5946</v>
      </c>
      <c r="N349" s="20" t="s">
        <v>5947</v>
      </c>
      <c r="O349" s="6" t="s">
        <v>809</v>
      </c>
      <c r="P349" s="253" t="s">
        <v>1434</v>
      </c>
      <c r="Q349" s="194" t="n">
        <f aca="false">Calib!G67</f>
        <v>1</v>
      </c>
      <c r="R349" s="186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5239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309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5952</v>
      </c>
      <c r="B350" s="253" t="s">
        <v>5234</v>
      </c>
      <c r="C350" s="30" t="s">
        <v>3227</v>
      </c>
      <c r="D350" s="30" t="s">
        <v>3234</v>
      </c>
      <c r="E350" s="20" t="s">
        <v>610</v>
      </c>
      <c r="F350" s="207" t="s">
        <v>128</v>
      </c>
      <c r="G350" s="253" t="s">
        <v>5235</v>
      </c>
      <c r="H350" s="30" t="s">
        <v>809</v>
      </c>
      <c r="I350" s="6" t="s">
        <v>809</v>
      </c>
      <c r="J350" s="30" t="s">
        <v>5953</v>
      </c>
      <c r="K350" s="255" t="n">
        <v>1</v>
      </c>
      <c r="L350" s="255" t="n">
        <v>1.5</v>
      </c>
      <c r="M350" s="30" t="s">
        <v>5954</v>
      </c>
      <c r="N350" s="254" t="str">
        <f aca="false">Calib!$J$68&amp;" ｜v11.0 G1 追查：無法確認重複計算（1.5 為 v5.2 起的 Assumed 整數，非反推自 DeepSeek 241.92 µs），C68 不改；見 Decisions BB-G1"&amp;"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BB2-H4"&amp;" ｜v13.0（4-2b-1 K3）：類別由『倒推』更正為 Assumed（無來源，見 Decisions BB2-H4）；原類別字樣與 v12.0 以前的區間文字保留於本列 AL 欄。C68 隨之進入 Load_Bearing（高段 Assumed）"&amp;" ｜v13.1 D15 補登（原 J／H 欄為『—』）：決策：BB2-H4（標記更正為 Assumed、區間 1.0–1.5）、BB-G1、AF2c-J4、C2（已搜尋無可比對象）（J 欄放主要決策 BB2-H4；全部：BB2-H4＋BB-G1＋AF2c-J4＋C2）"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 ｜v11.0 G1 追查（Decisions BB-G1）：1.5 自 v5.2（2026-09-30）建檔即存在，標記 Assumed（Hopper EP 跨節點走 IB，區間 1–3），v5.2–v5.12 每層延遲＝240.4 µs（擬合 160.28 × 1.5），不是 DeepSeek 論文的 241.92 µs；該數字於 2026-10-16 才進 repo。v10.2 擬合更新為 161.19 µs 後乘積變 241.78 µs，與 241.92 µs 相差 0.06%＝巧合。物理上固定延遲（每層 all-to-all 延遲、同步）與 EP 通訊項（頻寬×資料量）也不是同一量。判定：無法確認重複計算，C68 不改。假設 C68＝1.0 的試算見 Decisions BB-G1 ｜v12.0 H4 更正（Decisions BB2-H4）：上文『倒推（v5.5 建檔時與 C67 手算配對；Excel 內無公式關聯）』一語是稽核第 2 批工作單 J4（2026-10-16，d25bb75）誤寫，無證據：v5.2–v5.12 各版工作簿的標記皆為 Assumed。正確標記：Assumed，無來源（v5.2 建檔以來的整數假設，非反推）；數值維持 1.5，區間 1.0–1.5（Gov_Map）；情境 c68_1 試算 C68＝1.0。原字樣保留，不刪改 ｜v11.0 G1 追查：無法確認重複計算（1.5 為 v5.2 起的 Assumed 整數，非反推自 DeepSeek 241.92 µs），C68 不改；見 Decisions BB-G1 ｜v12.0 H4 更正：本格標記為 Assumed，無來源（v5.2 建檔以來的整數假設，非反推）；類別欄的『倒推』與 Calib J68 的『倒推（…手算配對）』是稽核第 2 批工作單 J4 誤寫，無證據，原字樣保留；區間改為 1.0–1.5；情境 c68_1 試算。見 Decisions BB2-H4 ｜v13.0（4-2b-1 K3）：類別由『倒推』更正為 Assumed（無來源，見 Decisions BB2-H4）；原類別字樣與 v12.0 以前的區間文字保留於本列 AL 欄。C68 隨之進入 Load_Bearing（高段 Assumed） ｜v13.1 D15 補登（原 J／H 欄為『—』）：決策：BB2-H4（標記更正為 Assumed、區間 1.0–1.5）、BB-G1、AF2c-J4、C2（已搜尋無可比對象）（J 欄放主要決策 BB2-H4；全部：BB2-H4＋BB-G1＋AF2c-J4＋C2）</v>
      </c>
      <c r="O350" s="245" t="s">
        <v>5955</v>
      </c>
      <c r="P350" s="253" t="s">
        <v>1434</v>
      </c>
      <c r="Q350" s="194" t="n">
        <f aca="false">Calib!C68</f>
        <v>1.5</v>
      </c>
      <c r="R350" s="30" t="s">
        <v>809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5239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  <c r="AL350" s="1" t="s">
        <v>5956</v>
      </c>
    </row>
    <row r="351" customFormat="false" ht="15" hidden="false" customHeight="true" outlineLevel="0" collapsed="false">
      <c r="A351" s="30" t="s">
        <v>5957</v>
      </c>
      <c r="B351" s="253" t="s">
        <v>5234</v>
      </c>
      <c r="C351" s="30" t="s">
        <v>3227</v>
      </c>
      <c r="D351" s="30" t="s">
        <v>3235</v>
      </c>
      <c r="E351" s="20" t="s">
        <v>610</v>
      </c>
      <c r="F351" s="30" t="s">
        <v>128</v>
      </c>
      <c r="G351" s="253" t="s">
        <v>5235</v>
      </c>
      <c r="H351" s="30" t="s">
        <v>809</v>
      </c>
      <c r="I351" s="6" t="s">
        <v>809</v>
      </c>
      <c r="J351" s="30" t="s">
        <v>5958</v>
      </c>
      <c r="K351" s="255" t="n">
        <v>1</v>
      </c>
      <c r="L351" s="255" t="n">
        <v>1.5</v>
      </c>
      <c r="M351" s="30" t="s">
        <v>5959</v>
      </c>
      <c r="N351" s="20" t="s">
        <v>5960</v>
      </c>
      <c r="O351" s="6" t="s">
        <v>809</v>
      </c>
      <c r="P351" s="253" t="s">
        <v>1434</v>
      </c>
      <c r="Q351" s="194" t="n">
        <f aca="false">Calib!D68</f>
        <v>1</v>
      </c>
      <c r="R351" s="30" t="s">
        <v>809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5239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5961</v>
      </c>
      <c r="B352" s="253" t="s">
        <v>5234</v>
      </c>
      <c r="C352" s="30" t="s">
        <v>3227</v>
      </c>
      <c r="D352" s="30" t="s">
        <v>3236</v>
      </c>
      <c r="E352" s="20" t="s">
        <v>610</v>
      </c>
      <c r="F352" s="30" t="s">
        <v>128</v>
      </c>
      <c r="G352" s="253" t="s">
        <v>5235</v>
      </c>
      <c r="H352" s="30" t="s">
        <v>809</v>
      </c>
      <c r="I352" s="6" t="s">
        <v>809</v>
      </c>
      <c r="J352" s="30" t="s">
        <v>5958</v>
      </c>
      <c r="K352" s="255" t="n">
        <v>1</v>
      </c>
      <c r="L352" s="255" t="n">
        <v>1.5</v>
      </c>
      <c r="M352" s="30" t="s">
        <v>5959</v>
      </c>
      <c r="N352" s="20" t="s">
        <v>5960</v>
      </c>
      <c r="O352" s="6" t="s">
        <v>809</v>
      </c>
      <c r="P352" s="253" t="s">
        <v>1434</v>
      </c>
      <c r="Q352" s="194" t="n">
        <f aca="false">Calib!E68</f>
        <v>1</v>
      </c>
      <c r="R352" s="30" t="s">
        <v>809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5239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5962</v>
      </c>
      <c r="B353" s="253" t="s">
        <v>5234</v>
      </c>
      <c r="C353" s="30" t="s">
        <v>3227</v>
      </c>
      <c r="D353" s="30" t="s">
        <v>3237</v>
      </c>
      <c r="E353" s="20" t="s">
        <v>610</v>
      </c>
      <c r="F353" s="30" t="s">
        <v>128</v>
      </c>
      <c r="G353" s="253" t="s">
        <v>5235</v>
      </c>
      <c r="H353" s="30" t="s">
        <v>809</v>
      </c>
      <c r="I353" s="6" t="s">
        <v>809</v>
      </c>
      <c r="J353" s="30" t="s">
        <v>5958</v>
      </c>
      <c r="K353" s="255" t="n">
        <v>1</v>
      </c>
      <c r="L353" s="255" t="n">
        <v>1.5</v>
      </c>
      <c r="M353" s="30" t="s">
        <v>5959</v>
      </c>
      <c r="N353" s="20" t="s">
        <v>5960</v>
      </c>
      <c r="O353" s="6" t="s">
        <v>809</v>
      </c>
      <c r="P353" s="253" t="s">
        <v>1434</v>
      </c>
      <c r="Q353" s="194" t="n">
        <f aca="false">Calib!F68</f>
        <v>1</v>
      </c>
      <c r="R353" s="30" t="s">
        <v>809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5239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5963</v>
      </c>
      <c r="B354" s="253" t="s">
        <v>5234</v>
      </c>
      <c r="C354" s="30" t="s">
        <v>3227</v>
      </c>
      <c r="D354" s="30" t="s">
        <v>3238</v>
      </c>
      <c r="E354" s="20" t="s">
        <v>610</v>
      </c>
      <c r="F354" s="30" t="s">
        <v>128</v>
      </c>
      <c r="G354" s="253" t="s">
        <v>5235</v>
      </c>
      <c r="H354" s="30" t="s">
        <v>809</v>
      </c>
      <c r="I354" s="6" t="s">
        <v>809</v>
      </c>
      <c r="J354" s="30" t="s">
        <v>5958</v>
      </c>
      <c r="K354" s="255" t="n">
        <v>1</v>
      </c>
      <c r="L354" s="255" t="n">
        <v>1.5</v>
      </c>
      <c r="M354" s="30" t="s">
        <v>5959</v>
      </c>
      <c r="N354" s="20" t="s">
        <v>5960</v>
      </c>
      <c r="O354" s="6" t="s">
        <v>809</v>
      </c>
      <c r="P354" s="253" t="s">
        <v>1434</v>
      </c>
      <c r="Q354" s="194" t="n">
        <f aca="false">Calib!G68</f>
        <v>1</v>
      </c>
      <c r="R354" s="30" t="s">
        <v>809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5239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5964</v>
      </c>
      <c r="B355" s="253" t="s">
        <v>5234</v>
      </c>
      <c r="C355" s="30" t="s">
        <v>3227</v>
      </c>
      <c r="D355" s="30" t="s">
        <v>5965</v>
      </c>
      <c r="E355" s="6" t="s">
        <v>612</v>
      </c>
      <c r="F355" s="30" t="s">
        <v>5299</v>
      </c>
      <c r="G355" s="253" t="s">
        <v>5235</v>
      </c>
      <c r="H355" s="30" t="s">
        <v>809</v>
      </c>
      <c r="I355" s="20" t="s">
        <v>5966</v>
      </c>
      <c r="J355" s="30" t="s">
        <v>5459</v>
      </c>
      <c r="K355" s="255"/>
      <c r="L355" s="255"/>
      <c r="M355" s="30" t="s">
        <v>809</v>
      </c>
      <c r="N355" s="258" t="s">
        <v>5967</v>
      </c>
      <c r="O355" s="6" t="s">
        <v>5968</v>
      </c>
      <c r="P355" s="253" t="s">
        <v>5281</v>
      </c>
      <c r="Q355" s="194" t="n">
        <f aca="false">Calib!C69</f>
        <v>0.499747347145023</v>
      </c>
      <c r="R355" s="30" t="s">
        <v>809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5267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5969</v>
      </c>
      <c r="B356" s="253" t="s">
        <v>5234</v>
      </c>
      <c r="C356" s="30" t="s">
        <v>3227</v>
      </c>
      <c r="D356" s="30" t="s">
        <v>3239</v>
      </c>
      <c r="E356" s="6" t="s">
        <v>612</v>
      </c>
      <c r="F356" s="30" t="s">
        <v>128</v>
      </c>
      <c r="G356" s="253" t="s">
        <v>5235</v>
      </c>
      <c r="H356" s="30" t="s">
        <v>809</v>
      </c>
      <c r="I356" s="6" t="s">
        <v>809</v>
      </c>
      <c r="J356" s="30" t="s">
        <v>5970</v>
      </c>
      <c r="K356" s="255" t="n">
        <v>0.5</v>
      </c>
      <c r="L356" s="255" t="n">
        <v>1.5</v>
      </c>
      <c r="M356" s="30" t="s">
        <v>5971</v>
      </c>
      <c r="N356" s="6" t="s">
        <v>5972</v>
      </c>
      <c r="O356" s="6" t="s">
        <v>809</v>
      </c>
      <c r="P356" s="253" t="s">
        <v>5281</v>
      </c>
      <c r="Q356" s="194" t="n">
        <f aca="false">Calib!D69</f>
        <v>1</v>
      </c>
      <c r="R356" s="30" t="s">
        <v>809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5239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5973</v>
      </c>
      <c r="B357" s="253" t="s">
        <v>5234</v>
      </c>
      <c r="C357" s="30" t="s">
        <v>3227</v>
      </c>
      <c r="D357" s="30" t="s">
        <v>3240</v>
      </c>
      <c r="E357" s="6" t="s">
        <v>612</v>
      </c>
      <c r="F357" s="30" t="s">
        <v>128</v>
      </c>
      <c r="G357" s="253" t="s">
        <v>5235</v>
      </c>
      <c r="H357" s="30" t="s">
        <v>809</v>
      </c>
      <c r="I357" s="6" t="s">
        <v>809</v>
      </c>
      <c r="J357" s="30" t="s">
        <v>5970</v>
      </c>
      <c r="K357" s="255" t="n">
        <v>0.5</v>
      </c>
      <c r="L357" s="255" t="n">
        <v>1.5</v>
      </c>
      <c r="M357" s="30" t="s">
        <v>5971</v>
      </c>
      <c r="N357" s="6" t="s">
        <v>5972</v>
      </c>
      <c r="O357" s="6" t="s">
        <v>809</v>
      </c>
      <c r="P357" s="253" t="s">
        <v>5281</v>
      </c>
      <c r="Q357" s="194" t="n">
        <f aca="false">Calib!E69</f>
        <v>1</v>
      </c>
      <c r="R357" s="30" t="s">
        <v>809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5239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5974</v>
      </c>
      <c r="B358" s="253" t="s">
        <v>5234</v>
      </c>
      <c r="C358" s="30" t="s">
        <v>3227</v>
      </c>
      <c r="D358" s="30" t="s">
        <v>3241</v>
      </c>
      <c r="E358" s="6" t="s">
        <v>612</v>
      </c>
      <c r="F358" s="30" t="s">
        <v>128</v>
      </c>
      <c r="G358" s="253" t="s">
        <v>5235</v>
      </c>
      <c r="H358" s="30" t="s">
        <v>809</v>
      </c>
      <c r="I358" s="6" t="s">
        <v>809</v>
      </c>
      <c r="J358" s="30" t="s">
        <v>5958</v>
      </c>
      <c r="K358" s="255" t="n">
        <v>0.5</v>
      </c>
      <c r="L358" s="255" t="n">
        <v>1.5</v>
      </c>
      <c r="M358" s="30" t="s">
        <v>5971</v>
      </c>
      <c r="N358" s="6" t="s">
        <v>5975</v>
      </c>
      <c r="O358" s="6" t="s">
        <v>809</v>
      </c>
      <c r="P358" s="253" t="s">
        <v>1434</v>
      </c>
      <c r="Q358" s="194" t="n">
        <f aca="false">Calib!F69</f>
        <v>1</v>
      </c>
      <c r="R358" s="30" t="s">
        <v>809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5239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5976</v>
      </c>
      <c r="B359" s="253" t="s">
        <v>5234</v>
      </c>
      <c r="C359" s="30" t="s">
        <v>3227</v>
      </c>
      <c r="D359" s="30" t="s">
        <v>3242</v>
      </c>
      <c r="E359" s="6" t="s">
        <v>612</v>
      </c>
      <c r="F359" s="30" t="s">
        <v>128</v>
      </c>
      <c r="G359" s="253" t="s">
        <v>5235</v>
      </c>
      <c r="H359" s="30" t="s">
        <v>809</v>
      </c>
      <c r="I359" s="6" t="s">
        <v>809</v>
      </c>
      <c r="J359" s="30" t="s">
        <v>5970</v>
      </c>
      <c r="K359" s="255" t="n">
        <v>0.5</v>
      </c>
      <c r="L359" s="255" t="n">
        <v>1.5</v>
      </c>
      <c r="M359" s="30" t="s">
        <v>5971</v>
      </c>
      <c r="N359" s="6" t="s">
        <v>5972</v>
      </c>
      <c r="O359" s="6" t="s">
        <v>809</v>
      </c>
      <c r="P359" s="253" t="s">
        <v>5281</v>
      </c>
      <c r="Q359" s="194" t="n">
        <f aca="false">Calib!G69</f>
        <v>1</v>
      </c>
      <c r="R359" s="30" t="s">
        <v>809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5239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5977</v>
      </c>
      <c r="B360" s="253" t="s">
        <v>5234</v>
      </c>
      <c r="C360" s="30" t="s">
        <v>3227</v>
      </c>
      <c r="D360" s="30" t="s">
        <v>5978</v>
      </c>
      <c r="E360" s="6" t="s">
        <v>650</v>
      </c>
      <c r="F360" s="253" t="s">
        <v>5979</v>
      </c>
      <c r="G360" s="253" t="s">
        <v>5883</v>
      </c>
      <c r="H360" s="30" t="s">
        <v>809</v>
      </c>
      <c r="I360" s="6" t="s">
        <v>809</v>
      </c>
      <c r="J360" s="30" t="s">
        <v>5980</v>
      </c>
      <c r="K360" s="253"/>
      <c r="L360" s="253"/>
      <c r="M360" s="30" t="s">
        <v>809</v>
      </c>
      <c r="N360" s="6" t="s">
        <v>5981</v>
      </c>
      <c r="O360" s="6" t="s">
        <v>809</v>
      </c>
      <c r="P360" s="30" t="s">
        <v>809</v>
      </c>
      <c r="Q360" s="186" t="s">
        <v>809</v>
      </c>
      <c r="R360" s="30" t="s">
        <v>809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809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5982</v>
      </c>
      <c r="B361" s="253" t="s">
        <v>5234</v>
      </c>
      <c r="C361" s="30" t="s">
        <v>3227</v>
      </c>
      <c r="D361" s="30" t="s">
        <v>5983</v>
      </c>
      <c r="E361" s="20" t="s">
        <v>310</v>
      </c>
      <c r="F361" s="253" t="s">
        <v>373</v>
      </c>
      <c r="G361" s="253" t="s">
        <v>5235</v>
      </c>
      <c r="H361" s="30" t="s">
        <v>5984</v>
      </c>
      <c r="I361" s="20" t="s">
        <v>5265</v>
      </c>
      <c r="J361" s="30" t="s">
        <v>809</v>
      </c>
      <c r="K361" s="253"/>
      <c r="L361" s="253"/>
      <c r="M361" s="30" t="s">
        <v>809</v>
      </c>
      <c r="N361" s="20" t="s">
        <v>5328</v>
      </c>
      <c r="O361" s="6" t="s">
        <v>809</v>
      </c>
      <c r="P361" s="253" t="s">
        <v>5238</v>
      </c>
      <c r="Q361" s="49" t="n">
        <f aca="false">Calib!C100</f>
        <v>671</v>
      </c>
      <c r="R361" s="186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5267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209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5985</v>
      </c>
      <c r="B362" s="253" t="s">
        <v>5234</v>
      </c>
      <c r="C362" s="30" t="s">
        <v>3227</v>
      </c>
      <c r="D362" s="30" t="s">
        <v>5986</v>
      </c>
      <c r="E362" s="20" t="s">
        <v>313</v>
      </c>
      <c r="F362" s="253" t="s">
        <v>373</v>
      </c>
      <c r="G362" s="253" t="s">
        <v>5235</v>
      </c>
      <c r="H362" s="30" t="s">
        <v>5987</v>
      </c>
      <c r="I362" s="20" t="s">
        <v>5265</v>
      </c>
      <c r="J362" s="30" t="s">
        <v>809</v>
      </c>
      <c r="K362" s="253"/>
      <c r="L362" s="253"/>
      <c r="M362" s="30" t="s">
        <v>809</v>
      </c>
      <c r="N362" s="20" t="s">
        <v>5328</v>
      </c>
      <c r="O362" s="6" t="s">
        <v>809</v>
      </c>
      <c r="P362" s="253" t="s">
        <v>5238</v>
      </c>
      <c r="Q362" s="49" t="n">
        <f aca="false">Calib!C101</f>
        <v>37</v>
      </c>
      <c r="R362" s="186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5267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210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5988</v>
      </c>
      <c r="B363" s="253" t="s">
        <v>5234</v>
      </c>
      <c r="C363" s="30" t="s">
        <v>3227</v>
      </c>
      <c r="D363" s="30" t="s">
        <v>5989</v>
      </c>
      <c r="E363" s="20" t="s">
        <v>315</v>
      </c>
      <c r="F363" s="253" t="s">
        <v>373</v>
      </c>
      <c r="G363" s="253" t="s">
        <v>5235</v>
      </c>
      <c r="H363" s="30" t="s">
        <v>5990</v>
      </c>
      <c r="I363" s="20" t="s">
        <v>5265</v>
      </c>
      <c r="J363" s="30" t="s">
        <v>809</v>
      </c>
      <c r="K363" s="253"/>
      <c r="L363" s="253"/>
      <c r="M363" s="30" t="s">
        <v>809</v>
      </c>
      <c r="N363" s="20" t="s">
        <v>5328</v>
      </c>
      <c r="O363" s="6" t="s">
        <v>809</v>
      </c>
      <c r="P363" s="253" t="s">
        <v>5238</v>
      </c>
      <c r="Q363" s="49" t="n">
        <f aca="false">Calib!C102</f>
        <v>61</v>
      </c>
      <c r="R363" s="186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5267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211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5991</v>
      </c>
      <c r="B364" s="253" t="s">
        <v>5234</v>
      </c>
      <c r="C364" s="30" t="s">
        <v>3227</v>
      </c>
      <c r="D364" s="30" t="s">
        <v>5992</v>
      </c>
      <c r="E364" s="6" t="s">
        <v>318</v>
      </c>
      <c r="F364" s="253" t="s">
        <v>373</v>
      </c>
      <c r="G364" s="253" t="s">
        <v>5235</v>
      </c>
      <c r="H364" s="30" t="s">
        <v>5993</v>
      </c>
      <c r="I364" s="20" t="s">
        <v>5265</v>
      </c>
      <c r="J364" s="30" t="s">
        <v>809</v>
      </c>
      <c r="K364" s="253"/>
      <c r="L364" s="253"/>
      <c r="M364" s="30" t="s">
        <v>809</v>
      </c>
      <c r="N364" s="20" t="s">
        <v>5328</v>
      </c>
      <c r="O364" s="6" t="s">
        <v>809</v>
      </c>
      <c r="P364" s="253" t="s">
        <v>5238</v>
      </c>
      <c r="Q364" s="49" t="n">
        <f aca="false">Calib!C103</f>
        <v>7168</v>
      </c>
      <c r="R364" s="186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5267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212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5994</v>
      </c>
      <c r="B365" s="253" t="s">
        <v>5234</v>
      </c>
      <c r="C365" s="30" t="s">
        <v>3227</v>
      </c>
      <c r="D365" s="30" t="s">
        <v>5995</v>
      </c>
      <c r="E365" s="6" t="s">
        <v>325</v>
      </c>
      <c r="F365" s="253" t="s">
        <v>373</v>
      </c>
      <c r="G365" s="253" t="s">
        <v>5235</v>
      </c>
      <c r="H365" s="30" t="s">
        <v>5996</v>
      </c>
      <c r="I365" s="20" t="s">
        <v>5265</v>
      </c>
      <c r="J365" s="30" t="s">
        <v>809</v>
      </c>
      <c r="K365" s="253"/>
      <c r="L365" s="253"/>
      <c r="M365" s="30" t="s">
        <v>809</v>
      </c>
      <c r="N365" s="20" t="s">
        <v>5328</v>
      </c>
      <c r="O365" s="6" t="s">
        <v>809</v>
      </c>
      <c r="P365" s="253" t="s">
        <v>5238</v>
      </c>
      <c r="Q365" s="49" t="n">
        <f aca="false">Calib!C104</f>
        <v>256</v>
      </c>
      <c r="R365" s="186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5267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213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5997</v>
      </c>
      <c r="B366" s="253" t="s">
        <v>5234</v>
      </c>
      <c r="C366" s="30" t="s">
        <v>3227</v>
      </c>
      <c r="D366" s="30" t="s">
        <v>5998</v>
      </c>
      <c r="E366" s="20" t="s">
        <v>5999</v>
      </c>
      <c r="F366" s="253" t="s">
        <v>373</v>
      </c>
      <c r="G366" s="253" t="s">
        <v>5235</v>
      </c>
      <c r="H366" s="30" t="s">
        <v>6000</v>
      </c>
      <c r="I366" s="20" t="s">
        <v>5265</v>
      </c>
      <c r="J366" s="30" t="s">
        <v>809</v>
      </c>
      <c r="K366" s="253"/>
      <c r="L366" s="253"/>
      <c r="M366" s="30" t="s">
        <v>809</v>
      </c>
      <c r="N366" s="20" t="s">
        <v>5328</v>
      </c>
      <c r="O366" s="6" t="s">
        <v>809</v>
      </c>
      <c r="P366" s="253" t="s">
        <v>5238</v>
      </c>
      <c r="Q366" s="49" t="n">
        <f aca="false">Calib!C105</f>
        <v>8</v>
      </c>
      <c r="R366" s="186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5267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214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6001</v>
      </c>
      <c r="B367" s="253" t="s">
        <v>5234</v>
      </c>
      <c r="C367" s="30" t="s">
        <v>3227</v>
      </c>
      <c r="D367" s="30" t="s">
        <v>6002</v>
      </c>
      <c r="E367" s="6" t="s">
        <v>327</v>
      </c>
      <c r="F367" s="253" t="s">
        <v>373</v>
      </c>
      <c r="G367" s="253" t="s">
        <v>5235</v>
      </c>
      <c r="H367" s="30" t="s">
        <v>6003</v>
      </c>
      <c r="I367" s="20" t="s">
        <v>5265</v>
      </c>
      <c r="J367" s="30" t="s">
        <v>809</v>
      </c>
      <c r="K367" s="253"/>
      <c r="L367" s="253"/>
      <c r="M367" s="30" t="s">
        <v>809</v>
      </c>
      <c r="N367" s="20" t="s">
        <v>5328</v>
      </c>
      <c r="O367" s="6" t="s">
        <v>809</v>
      </c>
      <c r="P367" s="253" t="s">
        <v>5238</v>
      </c>
      <c r="Q367" s="49" t="n">
        <f aca="false">Calib!C106</f>
        <v>1</v>
      </c>
      <c r="R367" s="186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5267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215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6004</v>
      </c>
      <c r="B368" s="253" t="s">
        <v>5234</v>
      </c>
      <c r="C368" s="30" t="s">
        <v>3227</v>
      </c>
      <c r="D368" s="30" t="s">
        <v>6005</v>
      </c>
      <c r="E368" s="6" t="s">
        <v>328</v>
      </c>
      <c r="F368" s="253" t="s">
        <v>373</v>
      </c>
      <c r="G368" s="253" t="s">
        <v>5235</v>
      </c>
      <c r="H368" s="30" t="s">
        <v>6006</v>
      </c>
      <c r="I368" s="20" t="s">
        <v>5265</v>
      </c>
      <c r="J368" s="30" t="s">
        <v>809</v>
      </c>
      <c r="K368" s="253"/>
      <c r="L368" s="253"/>
      <c r="M368" s="30" t="s">
        <v>809</v>
      </c>
      <c r="N368" s="20" t="s">
        <v>5328</v>
      </c>
      <c r="O368" s="6" t="s">
        <v>809</v>
      </c>
      <c r="P368" s="253" t="s">
        <v>5238</v>
      </c>
      <c r="Q368" s="49" t="n">
        <f aca="false">Calib!C107</f>
        <v>129280</v>
      </c>
      <c r="R368" s="186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5267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216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6007</v>
      </c>
      <c r="B369" s="253" t="s">
        <v>5234</v>
      </c>
      <c r="C369" s="30" t="s">
        <v>3227</v>
      </c>
      <c r="D369" s="30" t="s">
        <v>6008</v>
      </c>
      <c r="E369" s="6" t="s">
        <v>668</v>
      </c>
      <c r="F369" s="253" t="s">
        <v>373</v>
      </c>
      <c r="G369" s="253" t="s">
        <v>5235</v>
      </c>
      <c r="H369" s="30" t="s">
        <v>6009</v>
      </c>
      <c r="I369" s="20" t="s">
        <v>5499</v>
      </c>
      <c r="J369" s="30" t="s">
        <v>809</v>
      </c>
      <c r="K369" s="253"/>
      <c r="L369" s="253"/>
      <c r="M369" s="30" t="s">
        <v>809</v>
      </c>
      <c r="N369" s="20" t="s">
        <v>5328</v>
      </c>
      <c r="O369" s="6" t="s">
        <v>809</v>
      </c>
      <c r="P369" s="253" t="s">
        <v>5238</v>
      </c>
      <c r="Q369" s="49" t="n">
        <f aca="false">Calib!C108</f>
        <v>35136</v>
      </c>
      <c r="R369" s="186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5267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217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6010</v>
      </c>
      <c r="B370" s="253" t="s">
        <v>5234</v>
      </c>
      <c r="C370" s="30" t="s">
        <v>3227</v>
      </c>
      <c r="D370" s="30" t="s">
        <v>6011</v>
      </c>
      <c r="E370" s="20" t="s">
        <v>6012</v>
      </c>
      <c r="F370" s="253" t="s">
        <v>373</v>
      </c>
      <c r="G370" s="253" t="s">
        <v>5235</v>
      </c>
      <c r="H370" s="30" t="s">
        <v>6013</v>
      </c>
      <c r="I370" s="20" t="s">
        <v>5499</v>
      </c>
      <c r="J370" s="30" t="s">
        <v>809</v>
      </c>
      <c r="K370" s="253"/>
      <c r="L370" s="253"/>
      <c r="M370" s="30" t="s">
        <v>809</v>
      </c>
      <c r="N370" s="20" t="s">
        <v>5328</v>
      </c>
      <c r="O370" s="6" t="s">
        <v>809</v>
      </c>
      <c r="P370" s="253" t="s">
        <v>5238</v>
      </c>
      <c r="Q370" s="49" t="n">
        <f aca="false">Calib!C109</f>
        <v>4997120</v>
      </c>
      <c r="R370" s="186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5267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238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6014</v>
      </c>
      <c r="B371" s="253" t="s">
        <v>5234</v>
      </c>
      <c r="C371" s="30" t="s">
        <v>3227</v>
      </c>
      <c r="D371" s="30" t="s">
        <v>6015</v>
      </c>
      <c r="E371" s="20" t="s">
        <v>6016</v>
      </c>
      <c r="F371" s="253" t="s">
        <v>373</v>
      </c>
      <c r="G371" s="253" t="s">
        <v>5235</v>
      </c>
      <c r="H371" s="30" t="s">
        <v>6017</v>
      </c>
      <c r="I371" s="20" t="s">
        <v>5265</v>
      </c>
      <c r="J371" s="30" t="s">
        <v>809</v>
      </c>
      <c r="K371" s="253"/>
      <c r="L371" s="253"/>
      <c r="M371" s="30" t="s">
        <v>809</v>
      </c>
      <c r="N371" s="20" t="s">
        <v>5328</v>
      </c>
      <c r="O371" s="6" t="s">
        <v>809</v>
      </c>
      <c r="P371" s="253" t="s">
        <v>5238</v>
      </c>
      <c r="Q371" s="49" t="n">
        <f aca="false">Calib!C110</f>
        <v>800</v>
      </c>
      <c r="R371" s="186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5267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329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6018</v>
      </c>
      <c r="B372" s="253" t="s">
        <v>5234</v>
      </c>
      <c r="C372" s="30" t="s">
        <v>3227</v>
      </c>
      <c r="D372" s="30" t="s">
        <v>6019</v>
      </c>
      <c r="E372" s="20" t="s">
        <v>6020</v>
      </c>
      <c r="F372" s="253" t="s">
        <v>373</v>
      </c>
      <c r="G372" s="253" t="s">
        <v>5235</v>
      </c>
      <c r="H372" s="30" t="s">
        <v>6021</v>
      </c>
      <c r="I372" s="20" t="s">
        <v>5265</v>
      </c>
      <c r="J372" s="30" t="s">
        <v>809</v>
      </c>
      <c r="K372" s="253"/>
      <c r="L372" s="253"/>
      <c r="M372" s="30" t="s">
        <v>809</v>
      </c>
      <c r="N372" s="20" t="s">
        <v>5328</v>
      </c>
      <c r="O372" s="6" t="s">
        <v>809</v>
      </c>
      <c r="P372" s="253" t="s">
        <v>5238</v>
      </c>
      <c r="Q372" s="49" t="n">
        <f aca="false">Calib!C111</f>
        <v>3880</v>
      </c>
      <c r="R372" s="186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5267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330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6022</v>
      </c>
      <c r="B373" s="253" t="s">
        <v>5234</v>
      </c>
      <c r="C373" s="30" t="s">
        <v>3227</v>
      </c>
      <c r="D373" s="30" t="s">
        <v>6023</v>
      </c>
      <c r="E373" s="20" t="s">
        <v>494</v>
      </c>
      <c r="F373" s="253" t="s">
        <v>5882</v>
      </c>
      <c r="G373" s="253" t="s">
        <v>5883</v>
      </c>
      <c r="H373" s="30" t="s">
        <v>809</v>
      </c>
      <c r="I373" s="6" t="s">
        <v>809</v>
      </c>
      <c r="J373" s="30" t="s">
        <v>5884</v>
      </c>
      <c r="K373" s="253"/>
      <c r="L373" s="253"/>
      <c r="M373" s="30" t="s">
        <v>809</v>
      </c>
      <c r="N373" s="6" t="s">
        <v>6024</v>
      </c>
      <c r="O373" s="6" t="s">
        <v>809</v>
      </c>
      <c r="P373" s="30" t="s">
        <v>809</v>
      </c>
      <c r="Q373" s="186" t="s">
        <v>809</v>
      </c>
      <c r="R373" s="30" t="s">
        <v>809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809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6025</v>
      </c>
      <c r="B374" s="253" t="s">
        <v>5234</v>
      </c>
      <c r="C374" s="30" t="s">
        <v>3227</v>
      </c>
      <c r="D374" s="30" t="s">
        <v>6026</v>
      </c>
      <c r="E374" s="20" t="s">
        <v>6027</v>
      </c>
      <c r="F374" s="253" t="s">
        <v>373</v>
      </c>
      <c r="G374" s="253" t="s">
        <v>5235</v>
      </c>
      <c r="H374" s="30" t="s">
        <v>6028</v>
      </c>
      <c r="I374" s="20" t="s">
        <v>5499</v>
      </c>
      <c r="J374" s="30" t="s">
        <v>809</v>
      </c>
      <c r="K374" s="253"/>
      <c r="L374" s="253"/>
      <c r="M374" s="30" t="s">
        <v>809</v>
      </c>
      <c r="N374" s="20" t="s">
        <v>5328</v>
      </c>
      <c r="O374" s="6" t="s">
        <v>809</v>
      </c>
      <c r="P374" s="253" t="s">
        <v>5238</v>
      </c>
      <c r="Q374" s="197" t="n">
        <f aca="false">Calib!C118</f>
        <v>66.6666666666667</v>
      </c>
      <c r="R374" s="186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5267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331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6029</v>
      </c>
      <c r="B375" s="253" t="s">
        <v>5234</v>
      </c>
      <c r="C375" s="30" t="s">
        <v>3227</v>
      </c>
      <c r="D375" s="30" t="s">
        <v>6030</v>
      </c>
      <c r="E375" s="20" t="s">
        <v>6027</v>
      </c>
      <c r="F375" s="253" t="s">
        <v>373</v>
      </c>
      <c r="G375" s="253" t="s">
        <v>5235</v>
      </c>
      <c r="H375" s="30" t="s">
        <v>6028</v>
      </c>
      <c r="I375" s="20" t="s">
        <v>5499</v>
      </c>
      <c r="J375" s="30" t="s">
        <v>809</v>
      </c>
      <c r="K375" s="253"/>
      <c r="L375" s="253"/>
      <c r="M375" s="30" t="s">
        <v>809</v>
      </c>
      <c r="N375" s="20" t="s">
        <v>5328</v>
      </c>
      <c r="O375" s="6" t="s">
        <v>809</v>
      </c>
      <c r="P375" s="253" t="s">
        <v>5238</v>
      </c>
      <c r="Q375" s="197" t="n">
        <f aca="false">Calib!D118</f>
        <v>66.6666666666667</v>
      </c>
      <c r="R375" s="186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5267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331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6031</v>
      </c>
      <c r="B376" s="253" t="s">
        <v>5234</v>
      </c>
      <c r="C376" s="30" t="s">
        <v>3227</v>
      </c>
      <c r="D376" s="30" t="s">
        <v>6032</v>
      </c>
      <c r="E376" s="20" t="s">
        <v>6027</v>
      </c>
      <c r="F376" s="253" t="s">
        <v>373</v>
      </c>
      <c r="G376" s="253" t="s">
        <v>5235</v>
      </c>
      <c r="H376" s="30" t="s">
        <v>6028</v>
      </c>
      <c r="I376" s="20" t="s">
        <v>5499</v>
      </c>
      <c r="J376" s="30" t="s">
        <v>809</v>
      </c>
      <c r="K376" s="253"/>
      <c r="L376" s="253"/>
      <c r="M376" s="30" t="s">
        <v>809</v>
      </c>
      <c r="N376" s="20" t="s">
        <v>5328</v>
      </c>
      <c r="O376" s="6" t="s">
        <v>809</v>
      </c>
      <c r="P376" s="253" t="s">
        <v>5238</v>
      </c>
      <c r="Q376" s="197" t="n">
        <f aca="false">Calib!E118</f>
        <v>66.6666666666667</v>
      </c>
      <c r="R376" s="186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5267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331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6033</v>
      </c>
      <c r="B377" s="253" t="s">
        <v>5234</v>
      </c>
      <c r="C377" s="30" t="s">
        <v>3227</v>
      </c>
      <c r="D377" s="30" t="s">
        <v>6034</v>
      </c>
      <c r="E377" s="20" t="s">
        <v>6027</v>
      </c>
      <c r="F377" s="253" t="s">
        <v>373</v>
      </c>
      <c r="G377" s="253" t="s">
        <v>5235</v>
      </c>
      <c r="H377" s="30" t="s">
        <v>6035</v>
      </c>
      <c r="I377" s="20" t="s">
        <v>5499</v>
      </c>
      <c r="J377" s="30" t="s">
        <v>809</v>
      </c>
      <c r="K377" s="253"/>
      <c r="L377" s="253"/>
      <c r="M377" s="30" t="s">
        <v>809</v>
      </c>
      <c r="N377" s="20" t="s">
        <v>5328</v>
      </c>
      <c r="O377" s="6" t="s">
        <v>809</v>
      </c>
      <c r="P377" s="253" t="s">
        <v>5238</v>
      </c>
      <c r="Q377" s="197" t="n">
        <f aca="false">Calib!F118</f>
        <v>12.5</v>
      </c>
      <c r="R377" s="186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5267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332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6036</v>
      </c>
      <c r="B378" s="253" t="s">
        <v>5234</v>
      </c>
      <c r="C378" s="30" t="s">
        <v>3227</v>
      </c>
      <c r="D378" s="30" t="s">
        <v>6037</v>
      </c>
      <c r="E378" s="20" t="s">
        <v>6038</v>
      </c>
      <c r="F378" s="253" t="s">
        <v>5367</v>
      </c>
      <c r="G378" s="253" t="s">
        <v>5235</v>
      </c>
      <c r="H378" s="30" t="s">
        <v>5722</v>
      </c>
      <c r="I378" s="20" t="s">
        <v>6039</v>
      </c>
      <c r="J378" s="30" t="s">
        <v>809</v>
      </c>
      <c r="K378" s="253"/>
      <c r="L378" s="253"/>
      <c r="M378" s="30" t="s">
        <v>809</v>
      </c>
      <c r="N378" s="20" t="s">
        <v>6040</v>
      </c>
      <c r="O378" s="6" t="s">
        <v>809</v>
      </c>
      <c r="P378" s="253" t="s">
        <v>5238</v>
      </c>
      <c r="Q378" s="33" t="n">
        <f aca="false">Calib!C119</f>
        <v>1</v>
      </c>
      <c r="R378" s="186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5239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335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6041</v>
      </c>
      <c r="B379" s="253" t="s">
        <v>5234</v>
      </c>
      <c r="C379" s="30" t="s">
        <v>3227</v>
      </c>
      <c r="D379" s="30" t="s">
        <v>6042</v>
      </c>
      <c r="E379" s="20" t="s">
        <v>6038</v>
      </c>
      <c r="F379" s="253" t="s">
        <v>5367</v>
      </c>
      <c r="G379" s="253" t="s">
        <v>5235</v>
      </c>
      <c r="H379" s="30" t="s">
        <v>5722</v>
      </c>
      <c r="I379" s="20" t="s">
        <v>6039</v>
      </c>
      <c r="J379" s="30" t="s">
        <v>809</v>
      </c>
      <c r="K379" s="253"/>
      <c r="L379" s="253"/>
      <c r="M379" s="30" t="s">
        <v>809</v>
      </c>
      <c r="N379" s="20" t="s">
        <v>6040</v>
      </c>
      <c r="O379" s="6" t="s">
        <v>809</v>
      </c>
      <c r="P379" s="253" t="s">
        <v>5238</v>
      </c>
      <c r="Q379" s="33" t="n">
        <f aca="false">Calib!D119</f>
        <v>1</v>
      </c>
      <c r="R379" s="186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5239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335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6043</v>
      </c>
      <c r="B380" s="253" t="s">
        <v>5234</v>
      </c>
      <c r="C380" s="30" t="s">
        <v>3227</v>
      </c>
      <c r="D380" s="30" t="s">
        <v>6044</v>
      </c>
      <c r="E380" s="20" t="s">
        <v>6038</v>
      </c>
      <c r="F380" s="253" t="s">
        <v>5367</v>
      </c>
      <c r="G380" s="253" t="s">
        <v>5235</v>
      </c>
      <c r="H380" s="30" t="s">
        <v>5722</v>
      </c>
      <c r="I380" s="20" t="s">
        <v>6039</v>
      </c>
      <c r="J380" s="30" t="s">
        <v>809</v>
      </c>
      <c r="K380" s="253"/>
      <c r="L380" s="253"/>
      <c r="M380" s="30" t="s">
        <v>809</v>
      </c>
      <c r="N380" s="20" t="s">
        <v>6040</v>
      </c>
      <c r="O380" s="6" t="s">
        <v>809</v>
      </c>
      <c r="P380" s="253" t="s">
        <v>5238</v>
      </c>
      <c r="Q380" s="33" t="n">
        <f aca="false">Calib!E119</f>
        <v>1</v>
      </c>
      <c r="R380" s="186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5239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335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6045</v>
      </c>
      <c r="B381" s="253" t="s">
        <v>5234</v>
      </c>
      <c r="C381" s="30" t="s">
        <v>3227</v>
      </c>
      <c r="D381" s="30" t="s">
        <v>6046</v>
      </c>
      <c r="E381" s="20" t="s">
        <v>6038</v>
      </c>
      <c r="F381" s="253" t="s">
        <v>5367</v>
      </c>
      <c r="G381" s="253" t="s">
        <v>5235</v>
      </c>
      <c r="H381" s="30" t="s">
        <v>5722</v>
      </c>
      <c r="I381" s="20" t="s">
        <v>6047</v>
      </c>
      <c r="J381" s="30" t="s">
        <v>809</v>
      </c>
      <c r="K381" s="253"/>
      <c r="L381" s="253"/>
      <c r="M381" s="30" t="s">
        <v>809</v>
      </c>
      <c r="N381" s="20" t="s">
        <v>6048</v>
      </c>
      <c r="O381" s="6" t="s">
        <v>809</v>
      </c>
      <c r="P381" s="253" t="s">
        <v>5238</v>
      </c>
      <c r="Q381" s="33" t="n">
        <f aca="false">Calib!F119</f>
        <v>0</v>
      </c>
      <c r="R381" s="186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5239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335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6049</v>
      </c>
      <c r="B382" s="253" t="s">
        <v>5234</v>
      </c>
      <c r="C382" s="30" t="s">
        <v>3227</v>
      </c>
      <c r="D382" s="30" t="s">
        <v>6050</v>
      </c>
      <c r="E382" s="6" t="s">
        <v>682</v>
      </c>
      <c r="F382" s="253" t="s">
        <v>373</v>
      </c>
      <c r="G382" s="253" t="s">
        <v>5235</v>
      </c>
      <c r="H382" s="30" t="s">
        <v>6051</v>
      </c>
      <c r="I382" s="20" t="s">
        <v>5499</v>
      </c>
      <c r="J382" s="30" t="s">
        <v>809</v>
      </c>
      <c r="K382" s="253"/>
      <c r="L382" s="253"/>
      <c r="M382" s="30" t="s">
        <v>809</v>
      </c>
      <c r="N382" s="20" t="s">
        <v>5328</v>
      </c>
      <c r="O382" s="6" t="s">
        <v>809</v>
      </c>
      <c r="P382" s="253" t="s">
        <v>5238</v>
      </c>
      <c r="Q382" s="49" t="n">
        <f aca="false">Calib!C120</f>
        <v>3520.91666666667</v>
      </c>
      <c r="R382" s="186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5267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328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6052</v>
      </c>
      <c r="B383" s="253" t="s">
        <v>5234</v>
      </c>
      <c r="C383" s="30" t="s">
        <v>3227</v>
      </c>
      <c r="D383" s="30" t="s">
        <v>6053</v>
      </c>
      <c r="E383" s="6" t="s">
        <v>682</v>
      </c>
      <c r="F383" s="253" t="s">
        <v>373</v>
      </c>
      <c r="G383" s="253" t="s">
        <v>5235</v>
      </c>
      <c r="H383" s="30" t="s">
        <v>6054</v>
      </c>
      <c r="I383" s="20" t="s">
        <v>5499</v>
      </c>
      <c r="J383" s="30" t="s">
        <v>809</v>
      </c>
      <c r="K383" s="253"/>
      <c r="L383" s="253"/>
      <c r="M383" s="30" t="s">
        <v>809</v>
      </c>
      <c r="N383" s="20" t="s">
        <v>5328</v>
      </c>
      <c r="O383" s="6" t="s">
        <v>809</v>
      </c>
      <c r="P383" s="253" t="s">
        <v>5238</v>
      </c>
      <c r="Q383" s="49" t="n">
        <f aca="false">Calib!D120</f>
        <v>3337.75</v>
      </c>
      <c r="R383" s="186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5267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325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6055</v>
      </c>
      <c r="B384" s="253" t="s">
        <v>5234</v>
      </c>
      <c r="C384" s="30" t="s">
        <v>3227</v>
      </c>
      <c r="D384" s="30" t="s">
        <v>6056</v>
      </c>
      <c r="E384" s="6" t="s">
        <v>682</v>
      </c>
      <c r="F384" s="253" t="s">
        <v>373</v>
      </c>
      <c r="G384" s="253" t="s">
        <v>5235</v>
      </c>
      <c r="H384" s="30" t="s">
        <v>6057</v>
      </c>
      <c r="I384" s="20" t="s">
        <v>5499</v>
      </c>
      <c r="J384" s="30" t="s">
        <v>809</v>
      </c>
      <c r="K384" s="253"/>
      <c r="L384" s="253"/>
      <c r="M384" s="30" t="s">
        <v>809</v>
      </c>
      <c r="N384" s="20" t="s">
        <v>5328</v>
      </c>
      <c r="O384" s="6" t="s">
        <v>809</v>
      </c>
      <c r="P384" s="253" t="s">
        <v>5238</v>
      </c>
      <c r="Q384" s="49" t="n">
        <f aca="false">Calib!E120</f>
        <v>9065.97222222222</v>
      </c>
      <c r="R384" s="186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5267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327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6058</v>
      </c>
      <c r="B385" s="253" t="s">
        <v>5234</v>
      </c>
      <c r="C385" s="30" t="s">
        <v>3227</v>
      </c>
      <c r="D385" s="30" t="s">
        <v>6059</v>
      </c>
      <c r="E385" s="6" t="s">
        <v>6060</v>
      </c>
      <c r="F385" s="253" t="s">
        <v>373</v>
      </c>
      <c r="G385" s="253" t="s">
        <v>5235</v>
      </c>
      <c r="H385" s="30" t="s">
        <v>6061</v>
      </c>
      <c r="I385" s="20" t="s">
        <v>5265</v>
      </c>
      <c r="J385" s="30" t="s">
        <v>809</v>
      </c>
      <c r="K385" s="253"/>
      <c r="L385" s="253"/>
      <c r="M385" s="30" t="s">
        <v>809</v>
      </c>
      <c r="N385" s="20" t="s">
        <v>6062</v>
      </c>
      <c r="O385" s="6" t="s">
        <v>809</v>
      </c>
      <c r="P385" s="253" t="s">
        <v>5238</v>
      </c>
      <c r="Q385" s="49" t="n">
        <f aca="false">Calib!F120</f>
        <v>5561.6</v>
      </c>
      <c r="R385" s="186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5267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376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6063</v>
      </c>
      <c r="B386" s="253" t="s">
        <v>5234</v>
      </c>
      <c r="C386" s="30" t="s">
        <v>6064</v>
      </c>
      <c r="D386" s="30" t="s">
        <v>3228</v>
      </c>
      <c r="E386" s="6" t="s">
        <v>4714</v>
      </c>
      <c r="F386" s="30" t="s">
        <v>128</v>
      </c>
      <c r="G386" s="253" t="s">
        <v>5235</v>
      </c>
      <c r="H386" s="30" t="s">
        <v>809</v>
      </c>
      <c r="I386" s="6" t="s">
        <v>809</v>
      </c>
      <c r="J386" s="30" t="s">
        <v>6065</v>
      </c>
      <c r="K386" s="255" t="n">
        <v>0.4</v>
      </c>
      <c r="L386" s="255" t="n">
        <v>0.8</v>
      </c>
      <c r="M386" s="30" t="s">
        <v>6066</v>
      </c>
      <c r="N386" s="254" t="str">
        <f aca="false">Energy!$F$5</f>
        <v>Assumed：pJ/FLOP＝GPU 功率 × 此比例 ÷ 峰值（滿載上限口徑），區間 0.4–0.8</v>
      </c>
      <c r="O386" s="6" t="s">
        <v>809</v>
      </c>
      <c r="P386" s="253" t="s">
        <v>5238</v>
      </c>
      <c r="Q386" s="196" t="n">
        <f aca="false">Energy!C5</f>
        <v>0.6</v>
      </c>
      <c r="R386" s="30" t="s">
        <v>809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5239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6067</v>
      </c>
      <c r="B387" s="253" t="s">
        <v>5234</v>
      </c>
      <c r="C387" s="30" t="s">
        <v>6064</v>
      </c>
      <c r="D387" s="30" t="s">
        <v>3172</v>
      </c>
      <c r="E387" s="6" t="s">
        <v>4716</v>
      </c>
      <c r="F387" s="30" t="s">
        <v>133</v>
      </c>
      <c r="G387" s="253" t="s">
        <v>5235</v>
      </c>
      <c r="H387" s="30" t="s">
        <v>6068</v>
      </c>
      <c r="I387" s="20" t="s">
        <v>6069</v>
      </c>
      <c r="J387" s="30" t="s">
        <v>809</v>
      </c>
      <c r="K387" s="255" t="n">
        <v>5</v>
      </c>
      <c r="L387" s="255" t="n">
        <v>20</v>
      </c>
      <c r="M387" s="30" t="s">
        <v>6070</v>
      </c>
      <c r="N387" s="254" t="str">
        <f aca="false">Energy!$F$6</f>
        <v>Analogy：SerDes＋交換約 1–2 pJ/bit；區間 5–20</v>
      </c>
      <c r="O387" s="6" t="s">
        <v>809</v>
      </c>
      <c r="P387" s="253" t="s">
        <v>5238</v>
      </c>
      <c r="Q387" s="33" t="n">
        <f aca="false">Energy!C6</f>
        <v>10</v>
      </c>
      <c r="R387" s="186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5239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6071</v>
      </c>
      <c r="B388" s="253" t="s">
        <v>5234</v>
      </c>
      <c r="C388" s="30" t="s">
        <v>6064</v>
      </c>
      <c r="D388" s="30" t="s">
        <v>3308</v>
      </c>
      <c r="E388" s="6" t="s">
        <v>4719</v>
      </c>
      <c r="F388" s="30" t="s">
        <v>128</v>
      </c>
      <c r="G388" s="253" t="s">
        <v>5235</v>
      </c>
      <c r="H388" s="30" t="s">
        <v>809</v>
      </c>
      <c r="I388" s="6" t="s">
        <v>809</v>
      </c>
      <c r="J388" s="30" t="s">
        <v>6065</v>
      </c>
      <c r="K388" s="255" t="n">
        <v>20</v>
      </c>
      <c r="L388" s="255" t="n">
        <v>80</v>
      </c>
      <c r="M388" s="30" t="s">
        <v>6072</v>
      </c>
      <c r="N388" s="254" t="str">
        <f aca="false">Energy!$F$7</f>
        <v>Analogy：含光模組與網卡；區間 20–80</v>
      </c>
      <c r="O388" s="6" t="s">
        <v>5545</v>
      </c>
      <c r="P388" s="253" t="s">
        <v>5238</v>
      </c>
      <c r="Q388" s="33" t="n">
        <f aca="false">Energy!C7</f>
        <v>40</v>
      </c>
      <c r="R388" s="30" t="s">
        <v>809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5239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6073</v>
      </c>
      <c r="B389" s="253" t="s">
        <v>5234</v>
      </c>
      <c r="C389" s="30" t="s">
        <v>6074</v>
      </c>
      <c r="D389" s="30" t="s">
        <v>3228</v>
      </c>
      <c r="E389" s="6" t="s">
        <v>4733</v>
      </c>
      <c r="F389" s="30" t="s">
        <v>128</v>
      </c>
      <c r="G389" s="253" t="s">
        <v>111</v>
      </c>
      <c r="H389" s="30" t="s">
        <v>809</v>
      </c>
      <c r="I389" s="6" t="s">
        <v>809</v>
      </c>
      <c r="J389" s="30" t="s">
        <v>5364</v>
      </c>
      <c r="K389" s="194" t="n">
        <f aca="false">NonNV!B5</f>
        <v>0.5</v>
      </c>
      <c r="L389" s="194" t="n">
        <f aca="false">NonNV!D5</f>
        <v>1</v>
      </c>
      <c r="M389" s="30" t="s">
        <v>809</v>
      </c>
      <c r="N389" s="254" t="str">
        <f aca="false">NonNV!$L$5</f>
        <v>MI355X 在 V4-Pro 上 26 天內吞吐提升 110 倍（S20 所屬部落格），軟體成熟度為主要不確定</v>
      </c>
      <c r="O389" s="6" t="s">
        <v>809</v>
      </c>
      <c r="P389" s="253" t="s">
        <v>5238</v>
      </c>
      <c r="Q389" s="194" t="n">
        <f aca="false">NonNV!C5</f>
        <v>0.7</v>
      </c>
      <c r="R389" s="30" t="s">
        <v>809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5239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6075</v>
      </c>
      <c r="B390" s="253" t="s">
        <v>5234</v>
      </c>
      <c r="C390" s="30" t="s">
        <v>6074</v>
      </c>
      <c r="D390" s="30" t="s">
        <v>3248</v>
      </c>
      <c r="E390" s="6" t="s">
        <v>4733</v>
      </c>
      <c r="F390" s="30" t="s">
        <v>128</v>
      </c>
      <c r="G390" s="253" t="s">
        <v>111</v>
      </c>
      <c r="H390" s="30" t="s">
        <v>809</v>
      </c>
      <c r="I390" s="6" t="s">
        <v>809</v>
      </c>
      <c r="J390" s="30" t="s">
        <v>5364</v>
      </c>
      <c r="K390" s="194" t="n">
        <f aca="false">NonNV!E5</f>
        <v>0.8</v>
      </c>
      <c r="L390" s="194" t="n">
        <f aca="false">NonNV!G5</f>
        <v>1</v>
      </c>
      <c r="M390" s="30" t="s">
        <v>809</v>
      </c>
      <c r="N390" s="254" t="str">
        <f aca="false">NonNV!$L$5</f>
        <v>MI355X 在 V4-Pro 上 26 天內吞吐提升 110 倍（S20 所屬部落格），軟體成熟度為主要不確定</v>
      </c>
      <c r="O390" s="6" t="s">
        <v>809</v>
      </c>
      <c r="P390" s="253" t="s">
        <v>5238</v>
      </c>
      <c r="Q390" s="194" t="n">
        <f aca="false">NonNV!F5</f>
        <v>0.9</v>
      </c>
      <c r="R390" s="30" t="s">
        <v>809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5239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6076</v>
      </c>
      <c r="B391" s="253" t="s">
        <v>5234</v>
      </c>
      <c r="C391" s="30" t="s">
        <v>6074</v>
      </c>
      <c r="D391" s="30" t="s">
        <v>6077</v>
      </c>
      <c r="E391" s="6" t="s">
        <v>4733</v>
      </c>
      <c r="F391" s="30" t="s">
        <v>128</v>
      </c>
      <c r="G391" s="253" t="s">
        <v>1433</v>
      </c>
      <c r="H391" s="30" t="s">
        <v>809</v>
      </c>
      <c r="I391" s="6" t="s">
        <v>809</v>
      </c>
      <c r="J391" s="30" t="s">
        <v>5364</v>
      </c>
      <c r="K391" s="253"/>
      <c r="L391" s="253"/>
      <c r="M391" s="30" t="s">
        <v>809</v>
      </c>
      <c r="N391" s="254" t="str">
        <f aca="false">NonNV!$L$5</f>
        <v>MI355X 在 V4-Pro 上 26 天內吞吐提升 110 倍（S20 所屬部落格），軟體成熟度為主要不確定</v>
      </c>
      <c r="O391" s="6" t="s">
        <v>809</v>
      </c>
      <c r="P391" s="253" t="s">
        <v>5238</v>
      </c>
      <c r="Q391" s="194" t="n">
        <f aca="false">NonNV!B5</f>
        <v>0.5</v>
      </c>
      <c r="R391" s="30" t="s">
        <v>809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5239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6078</v>
      </c>
      <c r="B392" s="253" t="s">
        <v>5234</v>
      </c>
      <c r="C392" s="30" t="s">
        <v>6074</v>
      </c>
      <c r="D392" s="30" t="s">
        <v>5676</v>
      </c>
      <c r="E392" s="6" t="s">
        <v>4733</v>
      </c>
      <c r="F392" s="30" t="s">
        <v>128</v>
      </c>
      <c r="G392" s="253" t="s">
        <v>1434</v>
      </c>
      <c r="H392" s="30" t="s">
        <v>809</v>
      </c>
      <c r="I392" s="6" t="s">
        <v>809</v>
      </c>
      <c r="J392" s="30" t="s">
        <v>5364</v>
      </c>
      <c r="K392" s="253"/>
      <c r="L392" s="253"/>
      <c r="M392" s="30" t="s">
        <v>809</v>
      </c>
      <c r="N392" s="254" t="str">
        <f aca="false">NonNV!$L$5</f>
        <v>MI355X 在 V4-Pro 上 26 天內吞吐提升 110 倍（S20 所屬部落格），軟體成熟度為主要不確定</v>
      </c>
      <c r="O392" s="6" t="s">
        <v>809</v>
      </c>
      <c r="P392" s="253" t="s">
        <v>5238</v>
      </c>
      <c r="Q392" s="194" t="n">
        <f aca="false">NonNV!D5</f>
        <v>1</v>
      </c>
      <c r="R392" s="30" t="s">
        <v>809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5239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6079</v>
      </c>
      <c r="B393" s="253" t="s">
        <v>5234</v>
      </c>
      <c r="C393" s="30" t="s">
        <v>6074</v>
      </c>
      <c r="D393" s="30" t="s">
        <v>3108</v>
      </c>
      <c r="E393" s="6" t="s">
        <v>4733</v>
      </c>
      <c r="F393" s="30" t="s">
        <v>128</v>
      </c>
      <c r="G393" s="253" t="s">
        <v>1433</v>
      </c>
      <c r="H393" s="30" t="s">
        <v>809</v>
      </c>
      <c r="I393" s="6" t="s">
        <v>809</v>
      </c>
      <c r="J393" s="30" t="s">
        <v>5364</v>
      </c>
      <c r="K393" s="253"/>
      <c r="L393" s="253"/>
      <c r="M393" s="30" t="s">
        <v>809</v>
      </c>
      <c r="N393" s="254" t="str">
        <f aca="false">NonNV!$L$5</f>
        <v>MI355X 在 V4-Pro 上 26 天內吞吐提升 110 倍（S20 所屬部落格），軟體成熟度為主要不確定</v>
      </c>
      <c r="O393" s="6" t="s">
        <v>809</v>
      </c>
      <c r="P393" s="253" t="s">
        <v>5238</v>
      </c>
      <c r="Q393" s="194" t="n">
        <f aca="false">NonNV!E5</f>
        <v>0.8</v>
      </c>
      <c r="R393" s="30" t="s">
        <v>809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5239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6080</v>
      </c>
      <c r="B394" s="253" t="s">
        <v>5234</v>
      </c>
      <c r="C394" s="30" t="s">
        <v>6074</v>
      </c>
      <c r="D394" s="30" t="s">
        <v>3249</v>
      </c>
      <c r="E394" s="6" t="s">
        <v>4733</v>
      </c>
      <c r="F394" s="30" t="s">
        <v>128</v>
      </c>
      <c r="G394" s="253" t="s">
        <v>1434</v>
      </c>
      <c r="H394" s="30" t="s">
        <v>809</v>
      </c>
      <c r="I394" s="6" t="s">
        <v>809</v>
      </c>
      <c r="J394" s="30" t="s">
        <v>5364</v>
      </c>
      <c r="K394" s="253"/>
      <c r="L394" s="253"/>
      <c r="M394" s="30" t="s">
        <v>809</v>
      </c>
      <c r="N394" s="254" t="str">
        <f aca="false">NonNV!$L$5</f>
        <v>MI355X 在 V4-Pro 上 26 天內吞吐提升 110 倍（S20 所屬部落格），軟體成熟度為主要不確定</v>
      </c>
      <c r="O394" s="6" t="s">
        <v>809</v>
      </c>
      <c r="P394" s="253" t="s">
        <v>5238</v>
      </c>
      <c r="Q394" s="194" t="n">
        <f aca="false">NonNV!G5</f>
        <v>1</v>
      </c>
      <c r="R394" s="30" t="s">
        <v>809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5239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6081</v>
      </c>
      <c r="B395" s="253" t="s">
        <v>5234</v>
      </c>
      <c r="C395" s="30" t="s">
        <v>6074</v>
      </c>
      <c r="D395" s="30" t="s">
        <v>3172</v>
      </c>
      <c r="E395" s="6" t="s">
        <v>4736</v>
      </c>
      <c r="F395" s="30" t="s">
        <v>128</v>
      </c>
      <c r="G395" s="253" t="s">
        <v>111</v>
      </c>
      <c r="H395" s="30" t="s">
        <v>809</v>
      </c>
      <c r="I395" s="6" t="s">
        <v>809</v>
      </c>
      <c r="J395" s="30" t="s">
        <v>5364</v>
      </c>
      <c r="K395" s="194" t="n">
        <f aca="false">NonNV!B6</f>
        <v>0.6</v>
      </c>
      <c r="L395" s="194" t="n">
        <f aca="false">NonNV!D6</f>
        <v>1.1</v>
      </c>
      <c r="M395" s="30" t="s">
        <v>809</v>
      </c>
      <c r="N395" s="254" t="str">
        <f aca="false">NonNV!$L$6</f>
        <v>自用為主，無公開同口徑實測</v>
      </c>
      <c r="O395" s="6" t="s">
        <v>809</v>
      </c>
      <c r="P395" s="253" t="s">
        <v>5238</v>
      </c>
      <c r="Q395" s="194" t="n">
        <f aca="false">NonNV!C6</f>
        <v>0.8</v>
      </c>
      <c r="R395" s="30" t="s">
        <v>809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5239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6082</v>
      </c>
      <c r="B396" s="253" t="s">
        <v>5234</v>
      </c>
      <c r="C396" s="30" t="s">
        <v>6074</v>
      </c>
      <c r="D396" s="30" t="s">
        <v>3253</v>
      </c>
      <c r="E396" s="6" t="s">
        <v>4736</v>
      </c>
      <c r="F396" s="30" t="s">
        <v>128</v>
      </c>
      <c r="G396" s="253" t="s">
        <v>111</v>
      </c>
      <c r="H396" s="30" t="s">
        <v>809</v>
      </c>
      <c r="I396" s="6" t="s">
        <v>809</v>
      </c>
      <c r="J396" s="30" t="s">
        <v>5364</v>
      </c>
      <c r="K396" s="194" t="n">
        <f aca="false">NonNV!E6</f>
        <v>0.7</v>
      </c>
      <c r="L396" s="194" t="n">
        <f aca="false">NonNV!G6</f>
        <v>1</v>
      </c>
      <c r="M396" s="30" t="s">
        <v>809</v>
      </c>
      <c r="N396" s="254" t="str">
        <f aca="false">NonNV!$L$6</f>
        <v>自用為主，無公開同口徑實測</v>
      </c>
      <c r="O396" s="6" t="s">
        <v>809</v>
      </c>
      <c r="P396" s="253" t="s">
        <v>5238</v>
      </c>
      <c r="Q396" s="194" t="n">
        <f aca="false">NonNV!F6</f>
        <v>0.8</v>
      </c>
      <c r="R396" s="30" t="s">
        <v>809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5239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6083</v>
      </c>
      <c r="B397" s="253" t="s">
        <v>5234</v>
      </c>
      <c r="C397" s="30" t="s">
        <v>6074</v>
      </c>
      <c r="D397" s="30" t="s">
        <v>6084</v>
      </c>
      <c r="E397" s="6" t="s">
        <v>4736</v>
      </c>
      <c r="F397" s="30" t="s">
        <v>128</v>
      </c>
      <c r="G397" s="253" t="s">
        <v>1433</v>
      </c>
      <c r="H397" s="30" t="s">
        <v>809</v>
      </c>
      <c r="I397" s="6" t="s">
        <v>809</v>
      </c>
      <c r="J397" s="30" t="s">
        <v>5364</v>
      </c>
      <c r="K397" s="253"/>
      <c r="L397" s="253"/>
      <c r="M397" s="30" t="s">
        <v>809</v>
      </c>
      <c r="N397" s="254" t="str">
        <f aca="false">NonNV!$L$6</f>
        <v>自用為主，無公開同口徑實測</v>
      </c>
      <c r="O397" s="6" t="s">
        <v>809</v>
      </c>
      <c r="P397" s="253" t="s">
        <v>5238</v>
      </c>
      <c r="Q397" s="194" t="n">
        <f aca="false">NonNV!B6</f>
        <v>0.6</v>
      </c>
      <c r="R397" s="30" t="s">
        <v>809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5239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6085</v>
      </c>
      <c r="B398" s="253" t="s">
        <v>5234</v>
      </c>
      <c r="C398" s="30" t="s">
        <v>6074</v>
      </c>
      <c r="D398" s="30" t="s">
        <v>3300</v>
      </c>
      <c r="E398" s="6" t="s">
        <v>4736</v>
      </c>
      <c r="F398" s="30" t="s">
        <v>128</v>
      </c>
      <c r="G398" s="253" t="s">
        <v>1434</v>
      </c>
      <c r="H398" s="30" t="s">
        <v>809</v>
      </c>
      <c r="I398" s="6" t="s">
        <v>809</v>
      </c>
      <c r="J398" s="30" t="s">
        <v>5364</v>
      </c>
      <c r="K398" s="253"/>
      <c r="L398" s="253"/>
      <c r="M398" s="30" t="s">
        <v>809</v>
      </c>
      <c r="N398" s="254" t="str">
        <f aca="false">NonNV!$L$6</f>
        <v>自用為主，無公開同口徑實測</v>
      </c>
      <c r="O398" s="6" t="s">
        <v>809</v>
      </c>
      <c r="P398" s="253" t="s">
        <v>5238</v>
      </c>
      <c r="Q398" s="194" t="n">
        <f aca="false">NonNV!D6</f>
        <v>1.1</v>
      </c>
      <c r="R398" s="30" t="s">
        <v>809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5239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6086</v>
      </c>
      <c r="B399" s="253" t="s">
        <v>5234</v>
      </c>
      <c r="C399" s="30" t="s">
        <v>6074</v>
      </c>
      <c r="D399" s="30" t="s">
        <v>3109</v>
      </c>
      <c r="E399" s="6" t="s">
        <v>4736</v>
      </c>
      <c r="F399" s="30" t="s">
        <v>128</v>
      </c>
      <c r="G399" s="253" t="s">
        <v>1433</v>
      </c>
      <c r="H399" s="30" t="s">
        <v>809</v>
      </c>
      <c r="I399" s="6" t="s">
        <v>809</v>
      </c>
      <c r="J399" s="30" t="s">
        <v>5364</v>
      </c>
      <c r="K399" s="253"/>
      <c r="L399" s="253"/>
      <c r="M399" s="30" t="s">
        <v>809</v>
      </c>
      <c r="N399" s="254" t="str">
        <f aca="false">NonNV!$L$6</f>
        <v>自用為主，無公開同口徑實測</v>
      </c>
      <c r="O399" s="6" t="s">
        <v>809</v>
      </c>
      <c r="P399" s="253" t="s">
        <v>5238</v>
      </c>
      <c r="Q399" s="194" t="n">
        <f aca="false">NonNV!E6</f>
        <v>0.7</v>
      </c>
      <c r="R399" s="30" t="s">
        <v>809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5239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6087</v>
      </c>
      <c r="B400" s="253" t="s">
        <v>5234</v>
      </c>
      <c r="C400" s="30" t="s">
        <v>6074</v>
      </c>
      <c r="D400" s="30" t="s">
        <v>3254</v>
      </c>
      <c r="E400" s="6" t="s">
        <v>4736</v>
      </c>
      <c r="F400" s="30" t="s">
        <v>128</v>
      </c>
      <c r="G400" s="253" t="s">
        <v>1434</v>
      </c>
      <c r="H400" s="30" t="s">
        <v>809</v>
      </c>
      <c r="I400" s="6" t="s">
        <v>809</v>
      </c>
      <c r="J400" s="30" t="s">
        <v>5364</v>
      </c>
      <c r="K400" s="253"/>
      <c r="L400" s="253"/>
      <c r="M400" s="30" t="s">
        <v>809</v>
      </c>
      <c r="N400" s="254" t="str">
        <f aca="false">NonNV!$L$6</f>
        <v>自用為主，無公開同口徑實測</v>
      </c>
      <c r="O400" s="6" t="s">
        <v>809</v>
      </c>
      <c r="P400" s="253" t="s">
        <v>5238</v>
      </c>
      <c r="Q400" s="194" t="n">
        <f aca="false">NonNV!G6</f>
        <v>1</v>
      </c>
      <c r="R400" s="30" t="s">
        <v>809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5239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6088</v>
      </c>
      <c r="B401" s="253" t="s">
        <v>5234</v>
      </c>
      <c r="C401" s="30" t="s">
        <v>6074</v>
      </c>
      <c r="D401" s="30" t="s">
        <v>3308</v>
      </c>
      <c r="E401" s="6" t="s">
        <v>4739</v>
      </c>
      <c r="F401" s="30" t="s">
        <v>128</v>
      </c>
      <c r="G401" s="253" t="s">
        <v>111</v>
      </c>
      <c r="H401" s="30" t="s">
        <v>809</v>
      </c>
      <c r="I401" s="6" t="s">
        <v>809</v>
      </c>
      <c r="J401" s="30" t="s">
        <v>5364</v>
      </c>
      <c r="K401" s="194" t="n">
        <f aca="false">NonNV!B7</f>
        <v>0.3</v>
      </c>
      <c r="L401" s="194" t="n">
        <f aca="false">NonNV!D7</f>
        <v>0.8</v>
      </c>
      <c r="M401" s="30" t="s">
        <v>809</v>
      </c>
      <c r="N401" s="254" t="str">
        <f aca="false">NonNV!$L$7</f>
        <v>OpenAI v0.5 以 2GW Trainium 合約為輸入</v>
      </c>
      <c r="O401" s="6" t="s">
        <v>809</v>
      </c>
      <c r="P401" s="253" t="s">
        <v>5238</v>
      </c>
      <c r="Q401" s="194" t="n">
        <f aca="false">NonNV!C7</f>
        <v>0.5</v>
      </c>
      <c r="R401" s="30" t="s">
        <v>809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5239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6089</v>
      </c>
      <c r="B402" s="253" t="s">
        <v>5234</v>
      </c>
      <c r="C402" s="30" t="s">
        <v>6074</v>
      </c>
      <c r="D402" s="30" t="s">
        <v>3258</v>
      </c>
      <c r="E402" s="6" t="s">
        <v>4739</v>
      </c>
      <c r="F402" s="30" t="s">
        <v>128</v>
      </c>
      <c r="G402" s="253" t="s">
        <v>111</v>
      </c>
      <c r="H402" s="30" t="s">
        <v>809</v>
      </c>
      <c r="I402" s="6" t="s">
        <v>809</v>
      </c>
      <c r="J402" s="30" t="s">
        <v>5364</v>
      </c>
      <c r="K402" s="194" t="n">
        <f aca="false">NonNV!E7</f>
        <v>0.6</v>
      </c>
      <c r="L402" s="194" t="n">
        <f aca="false">NonNV!G7</f>
        <v>0.9</v>
      </c>
      <c r="M402" s="30" t="s">
        <v>809</v>
      </c>
      <c r="N402" s="254" t="str">
        <f aca="false">NonNV!$L$7</f>
        <v>OpenAI v0.5 以 2GW Trainium 合約為輸入</v>
      </c>
      <c r="O402" s="6" t="s">
        <v>809</v>
      </c>
      <c r="P402" s="253" t="s">
        <v>5238</v>
      </c>
      <c r="Q402" s="194" t="n">
        <f aca="false">NonNV!F7</f>
        <v>0.7</v>
      </c>
      <c r="R402" s="30" t="s">
        <v>809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5239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6090</v>
      </c>
      <c r="B403" s="253" t="s">
        <v>5234</v>
      </c>
      <c r="C403" s="30" t="s">
        <v>6074</v>
      </c>
      <c r="D403" s="30" t="s">
        <v>6091</v>
      </c>
      <c r="E403" s="6" t="s">
        <v>4739</v>
      </c>
      <c r="F403" s="30" t="s">
        <v>128</v>
      </c>
      <c r="G403" s="253" t="s">
        <v>1433</v>
      </c>
      <c r="H403" s="30" t="s">
        <v>809</v>
      </c>
      <c r="I403" s="6" t="s">
        <v>809</v>
      </c>
      <c r="J403" s="30" t="s">
        <v>5364</v>
      </c>
      <c r="K403" s="253"/>
      <c r="L403" s="253"/>
      <c r="M403" s="30" t="s">
        <v>809</v>
      </c>
      <c r="N403" s="254" t="str">
        <f aca="false">NonNV!$L$7</f>
        <v>OpenAI v0.5 以 2GW Trainium 合約為輸入</v>
      </c>
      <c r="O403" s="6" t="s">
        <v>809</v>
      </c>
      <c r="P403" s="253" t="s">
        <v>5238</v>
      </c>
      <c r="Q403" s="194" t="n">
        <f aca="false">NonNV!B7</f>
        <v>0.3</v>
      </c>
      <c r="R403" s="30" t="s">
        <v>809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5239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6092</v>
      </c>
      <c r="B404" s="253" t="s">
        <v>5234</v>
      </c>
      <c r="C404" s="30" t="s">
        <v>6074</v>
      </c>
      <c r="D404" s="30" t="s">
        <v>3309</v>
      </c>
      <c r="E404" s="6" t="s">
        <v>4739</v>
      </c>
      <c r="F404" s="30" t="s">
        <v>128</v>
      </c>
      <c r="G404" s="253" t="s">
        <v>1434</v>
      </c>
      <c r="H404" s="30" t="s">
        <v>809</v>
      </c>
      <c r="I404" s="6" t="s">
        <v>809</v>
      </c>
      <c r="J404" s="30" t="s">
        <v>5364</v>
      </c>
      <c r="K404" s="253"/>
      <c r="L404" s="253"/>
      <c r="M404" s="30" t="s">
        <v>809</v>
      </c>
      <c r="N404" s="254" t="str">
        <f aca="false">NonNV!$L$7</f>
        <v>OpenAI v0.5 以 2GW Trainium 合約為輸入</v>
      </c>
      <c r="O404" s="6" t="s">
        <v>809</v>
      </c>
      <c r="P404" s="253" t="s">
        <v>5238</v>
      </c>
      <c r="Q404" s="194" t="n">
        <f aca="false">NonNV!D7</f>
        <v>0.8</v>
      </c>
      <c r="R404" s="30" t="s">
        <v>809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5239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6093</v>
      </c>
      <c r="B405" s="253" t="s">
        <v>5234</v>
      </c>
      <c r="C405" s="30" t="s">
        <v>6074</v>
      </c>
      <c r="D405" s="30" t="s">
        <v>3209</v>
      </c>
      <c r="E405" s="6" t="s">
        <v>4739</v>
      </c>
      <c r="F405" s="30" t="s">
        <v>128</v>
      </c>
      <c r="G405" s="253" t="s">
        <v>1433</v>
      </c>
      <c r="H405" s="30" t="s">
        <v>809</v>
      </c>
      <c r="I405" s="6" t="s">
        <v>809</v>
      </c>
      <c r="J405" s="30" t="s">
        <v>5364</v>
      </c>
      <c r="K405" s="253"/>
      <c r="L405" s="253"/>
      <c r="M405" s="30" t="s">
        <v>809</v>
      </c>
      <c r="N405" s="254" t="str">
        <f aca="false">NonNV!$L$7</f>
        <v>OpenAI v0.5 以 2GW Trainium 合約為輸入</v>
      </c>
      <c r="O405" s="6" t="s">
        <v>809</v>
      </c>
      <c r="P405" s="253" t="s">
        <v>5238</v>
      </c>
      <c r="Q405" s="194" t="n">
        <f aca="false">NonNV!E7</f>
        <v>0.6</v>
      </c>
      <c r="R405" s="30" t="s">
        <v>809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5239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6094</v>
      </c>
      <c r="B406" s="253" t="s">
        <v>5234</v>
      </c>
      <c r="C406" s="30" t="s">
        <v>6074</v>
      </c>
      <c r="D406" s="30" t="s">
        <v>3259</v>
      </c>
      <c r="E406" s="6" t="s">
        <v>4739</v>
      </c>
      <c r="F406" s="30" t="s">
        <v>128</v>
      </c>
      <c r="G406" s="253" t="s">
        <v>1434</v>
      </c>
      <c r="H406" s="30" t="s">
        <v>809</v>
      </c>
      <c r="I406" s="6" t="s">
        <v>809</v>
      </c>
      <c r="J406" s="30" t="s">
        <v>5364</v>
      </c>
      <c r="K406" s="253"/>
      <c r="L406" s="253"/>
      <c r="M406" s="30" t="s">
        <v>809</v>
      </c>
      <c r="N406" s="254" t="str">
        <f aca="false">NonNV!$L$7</f>
        <v>OpenAI v0.5 以 2GW Trainium 合約為輸入</v>
      </c>
      <c r="O406" s="6" t="s">
        <v>809</v>
      </c>
      <c r="P406" s="253" t="s">
        <v>5238</v>
      </c>
      <c r="Q406" s="194" t="n">
        <f aca="false">NonNV!G7</f>
        <v>0.9</v>
      </c>
      <c r="R406" s="30" t="s">
        <v>809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5239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6095</v>
      </c>
      <c r="B407" s="253" t="s">
        <v>5234</v>
      </c>
      <c r="C407" s="30" t="s">
        <v>6074</v>
      </c>
      <c r="D407" s="30" t="s">
        <v>3173</v>
      </c>
      <c r="E407" s="6" t="s">
        <v>4742</v>
      </c>
      <c r="F407" s="30" t="s">
        <v>128</v>
      </c>
      <c r="G407" s="253" t="s">
        <v>111</v>
      </c>
      <c r="H407" s="30" t="s">
        <v>809</v>
      </c>
      <c r="I407" s="6" t="s">
        <v>809</v>
      </c>
      <c r="J407" s="30" t="s">
        <v>5364</v>
      </c>
      <c r="K407" s="194" t="n">
        <f aca="false">NonNV!B8</f>
        <v>0.2</v>
      </c>
      <c r="L407" s="194" t="n">
        <f aca="false">NonNV!D8</f>
        <v>0.8</v>
      </c>
      <c r="M407" s="30" t="s">
        <v>809</v>
      </c>
      <c r="N407" s="254" t="str">
        <f aca="false">NonNV!$L$8</f>
        <v>高互動性利基；每 GW 吞吐低、單用戶速度高</v>
      </c>
      <c r="O407" s="6" t="s">
        <v>809</v>
      </c>
      <c r="P407" s="253" t="s">
        <v>5238</v>
      </c>
      <c r="Q407" s="194" t="n">
        <f aca="false">NonNV!C8</f>
        <v>0.4</v>
      </c>
      <c r="R407" s="30" t="s">
        <v>809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5239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6096</v>
      </c>
      <c r="B408" s="253" t="s">
        <v>5234</v>
      </c>
      <c r="C408" s="30" t="s">
        <v>6074</v>
      </c>
      <c r="D408" s="30" t="s">
        <v>3263</v>
      </c>
      <c r="E408" s="6" t="s">
        <v>4742</v>
      </c>
      <c r="F408" s="30" t="s">
        <v>128</v>
      </c>
      <c r="G408" s="253" t="s">
        <v>111</v>
      </c>
      <c r="H408" s="30" t="s">
        <v>809</v>
      </c>
      <c r="I408" s="6" t="s">
        <v>809</v>
      </c>
      <c r="J408" s="30" t="s">
        <v>5364</v>
      </c>
      <c r="K408" s="194" t="n">
        <f aca="false">NonNV!E8</f>
        <v>0.8</v>
      </c>
      <c r="L408" s="194" t="n">
        <f aca="false">NonNV!G8</f>
        <v>1.2</v>
      </c>
      <c r="M408" s="30" t="s">
        <v>809</v>
      </c>
      <c r="N408" s="254" t="str">
        <f aca="false">NonNV!$L$8</f>
        <v>高互動性利基；每 GW 吞吐低、單用戶速度高</v>
      </c>
      <c r="O408" s="6" t="s">
        <v>809</v>
      </c>
      <c r="P408" s="253" t="s">
        <v>5238</v>
      </c>
      <c r="Q408" s="194" t="n">
        <f aca="false">NonNV!F8</f>
        <v>1</v>
      </c>
      <c r="R408" s="30" t="s">
        <v>809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5239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6097</v>
      </c>
      <c r="B409" s="253" t="s">
        <v>5234</v>
      </c>
      <c r="C409" s="30" t="s">
        <v>6074</v>
      </c>
      <c r="D409" s="30" t="s">
        <v>6098</v>
      </c>
      <c r="E409" s="6" t="s">
        <v>4742</v>
      </c>
      <c r="F409" s="30" t="s">
        <v>128</v>
      </c>
      <c r="G409" s="253" t="s">
        <v>1433</v>
      </c>
      <c r="H409" s="30" t="s">
        <v>809</v>
      </c>
      <c r="I409" s="6" t="s">
        <v>809</v>
      </c>
      <c r="J409" s="30" t="s">
        <v>5364</v>
      </c>
      <c r="K409" s="253"/>
      <c r="L409" s="253"/>
      <c r="M409" s="30" t="s">
        <v>809</v>
      </c>
      <c r="N409" s="254" t="str">
        <f aca="false">NonNV!$L$8</f>
        <v>高互動性利基；每 GW 吞吐低、單用戶速度高</v>
      </c>
      <c r="O409" s="6" t="s">
        <v>809</v>
      </c>
      <c r="P409" s="253" t="s">
        <v>5238</v>
      </c>
      <c r="Q409" s="194" t="n">
        <f aca="false">NonNV!B8</f>
        <v>0.2</v>
      </c>
      <c r="R409" s="30" t="s">
        <v>809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5239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6099</v>
      </c>
      <c r="B410" s="253" t="s">
        <v>5234</v>
      </c>
      <c r="C410" s="30" t="s">
        <v>6074</v>
      </c>
      <c r="D410" s="30" t="s">
        <v>3344</v>
      </c>
      <c r="E410" s="6" t="s">
        <v>4742</v>
      </c>
      <c r="F410" s="30" t="s">
        <v>128</v>
      </c>
      <c r="G410" s="253" t="s">
        <v>1434</v>
      </c>
      <c r="H410" s="30" t="s">
        <v>809</v>
      </c>
      <c r="I410" s="6" t="s">
        <v>809</v>
      </c>
      <c r="J410" s="30" t="s">
        <v>5364</v>
      </c>
      <c r="K410" s="253"/>
      <c r="L410" s="253"/>
      <c r="M410" s="30" t="s">
        <v>809</v>
      </c>
      <c r="N410" s="254" t="str">
        <f aca="false">NonNV!$L$8</f>
        <v>高互動性利基；每 GW 吞吐低、單用戶速度高</v>
      </c>
      <c r="O410" s="6" t="s">
        <v>809</v>
      </c>
      <c r="P410" s="253" t="s">
        <v>5238</v>
      </c>
      <c r="Q410" s="194" t="n">
        <f aca="false">NonNV!D8</f>
        <v>0.8</v>
      </c>
      <c r="R410" s="30" t="s">
        <v>809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5239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6100</v>
      </c>
      <c r="B411" s="253" t="s">
        <v>5234</v>
      </c>
      <c r="C411" s="30" t="s">
        <v>6074</v>
      </c>
      <c r="D411" s="30" t="s">
        <v>3110</v>
      </c>
      <c r="E411" s="6" t="s">
        <v>4742</v>
      </c>
      <c r="F411" s="30" t="s">
        <v>128</v>
      </c>
      <c r="G411" s="253" t="s">
        <v>1433</v>
      </c>
      <c r="H411" s="30" t="s">
        <v>809</v>
      </c>
      <c r="I411" s="6" t="s">
        <v>809</v>
      </c>
      <c r="J411" s="30" t="s">
        <v>5364</v>
      </c>
      <c r="K411" s="253"/>
      <c r="L411" s="253"/>
      <c r="M411" s="30" t="s">
        <v>809</v>
      </c>
      <c r="N411" s="254" t="str">
        <f aca="false">NonNV!$L$8</f>
        <v>高互動性利基；每 GW 吞吐低、單用戶速度高</v>
      </c>
      <c r="O411" s="6" t="s">
        <v>809</v>
      </c>
      <c r="P411" s="253" t="s">
        <v>5238</v>
      </c>
      <c r="Q411" s="194" t="n">
        <f aca="false">NonNV!E8</f>
        <v>0.8</v>
      </c>
      <c r="R411" s="30" t="s">
        <v>809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5239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6101</v>
      </c>
      <c r="B412" s="253" t="s">
        <v>5234</v>
      </c>
      <c r="C412" s="30" t="s">
        <v>6074</v>
      </c>
      <c r="D412" s="30" t="s">
        <v>3174</v>
      </c>
      <c r="E412" s="6" t="s">
        <v>4742</v>
      </c>
      <c r="F412" s="30" t="s">
        <v>128</v>
      </c>
      <c r="G412" s="253" t="s">
        <v>1434</v>
      </c>
      <c r="H412" s="30" t="s">
        <v>809</v>
      </c>
      <c r="I412" s="6" t="s">
        <v>809</v>
      </c>
      <c r="J412" s="30" t="s">
        <v>5364</v>
      </c>
      <c r="K412" s="253"/>
      <c r="L412" s="253"/>
      <c r="M412" s="30" t="s">
        <v>809</v>
      </c>
      <c r="N412" s="254" t="str">
        <f aca="false">NonNV!$L$8</f>
        <v>高互動性利基；每 GW 吞吐低、單用戶速度高</v>
      </c>
      <c r="O412" s="6" t="s">
        <v>809</v>
      </c>
      <c r="P412" s="253" t="s">
        <v>5238</v>
      </c>
      <c r="Q412" s="194" t="n">
        <f aca="false">NonNV!G8</f>
        <v>1.2</v>
      </c>
      <c r="R412" s="30" t="s">
        <v>809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5239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6102</v>
      </c>
      <c r="B413" s="253" t="s">
        <v>5234</v>
      </c>
      <c r="C413" s="30" t="s">
        <v>6074</v>
      </c>
      <c r="D413" s="30" t="s">
        <v>3175</v>
      </c>
      <c r="E413" s="6" t="s">
        <v>4745</v>
      </c>
      <c r="F413" s="30" t="s">
        <v>128</v>
      </c>
      <c r="G413" s="253" t="s">
        <v>111</v>
      </c>
      <c r="H413" s="30" t="s">
        <v>809</v>
      </c>
      <c r="I413" s="6" t="s">
        <v>809</v>
      </c>
      <c r="J413" s="30" t="s">
        <v>5364</v>
      </c>
      <c r="K413" s="194" t="n">
        <f aca="false">NonNV!B9</f>
        <v>0.4</v>
      </c>
      <c r="L413" s="194" t="n">
        <f aca="false">NonNV!D9</f>
        <v>0.9</v>
      </c>
      <c r="M413" s="30" t="s">
        <v>809</v>
      </c>
      <c r="N413" s="254" t="str">
        <f aca="false">NonNV!$L$9</f>
        <v>無公開規格；沿用 v0.5「自研／其他 0.6（0.4–1.0）」</v>
      </c>
      <c r="O413" s="6" t="s">
        <v>809</v>
      </c>
      <c r="P413" s="253" t="s">
        <v>5238</v>
      </c>
      <c r="Q413" s="194" t="n">
        <f aca="false">NonNV!C9</f>
        <v>0.6</v>
      </c>
      <c r="R413" s="30" t="s">
        <v>809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5239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6103</v>
      </c>
      <c r="B414" s="253" t="s">
        <v>5234</v>
      </c>
      <c r="C414" s="30" t="s">
        <v>6074</v>
      </c>
      <c r="D414" s="30" t="s">
        <v>3113</v>
      </c>
      <c r="E414" s="6" t="s">
        <v>4745</v>
      </c>
      <c r="F414" s="30" t="s">
        <v>128</v>
      </c>
      <c r="G414" s="253" t="s">
        <v>111</v>
      </c>
      <c r="H414" s="30" t="s">
        <v>809</v>
      </c>
      <c r="I414" s="6" t="s">
        <v>809</v>
      </c>
      <c r="J414" s="30" t="s">
        <v>5364</v>
      </c>
      <c r="K414" s="194" t="n">
        <f aca="false">NonNV!E9</f>
        <v>0.7</v>
      </c>
      <c r="L414" s="194" t="n">
        <f aca="false">NonNV!G9</f>
        <v>1</v>
      </c>
      <c r="M414" s="30" t="s">
        <v>809</v>
      </c>
      <c r="N414" s="254" t="str">
        <f aca="false">NonNV!$L$9</f>
        <v>無公開規格；沿用 v0.5「自研／其他 0.6（0.4–1.0）」</v>
      </c>
      <c r="O414" s="6" t="s">
        <v>809</v>
      </c>
      <c r="P414" s="253" t="s">
        <v>5238</v>
      </c>
      <c r="Q414" s="194" t="n">
        <f aca="false">NonNV!F9</f>
        <v>0.8</v>
      </c>
      <c r="R414" s="30" t="s">
        <v>809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5239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6104</v>
      </c>
      <c r="B415" s="253" t="s">
        <v>5234</v>
      </c>
      <c r="C415" s="30" t="s">
        <v>6074</v>
      </c>
      <c r="D415" s="30" t="s">
        <v>6105</v>
      </c>
      <c r="E415" s="6" t="s">
        <v>4745</v>
      </c>
      <c r="F415" s="30" t="s">
        <v>128</v>
      </c>
      <c r="G415" s="253" t="s">
        <v>1433</v>
      </c>
      <c r="H415" s="30" t="s">
        <v>809</v>
      </c>
      <c r="I415" s="6" t="s">
        <v>809</v>
      </c>
      <c r="J415" s="30" t="s">
        <v>5364</v>
      </c>
      <c r="K415" s="253"/>
      <c r="L415" s="253"/>
      <c r="M415" s="30" t="s">
        <v>809</v>
      </c>
      <c r="N415" s="254" t="str">
        <f aca="false">NonNV!$L$9</f>
        <v>無公開規格；沿用 v0.5「自研／其他 0.6（0.4–1.0）」</v>
      </c>
      <c r="O415" s="6" t="s">
        <v>809</v>
      </c>
      <c r="P415" s="253" t="s">
        <v>5238</v>
      </c>
      <c r="Q415" s="194" t="n">
        <f aca="false">NonNV!B9</f>
        <v>0.4</v>
      </c>
      <c r="R415" s="30" t="s">
        <v>809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5239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6106</v>
      </c>
      <c r="B416" s="253" t="s">
        <v>5234</v>
      </c>
      <c r="C416" s="30" t="s">
        <v>6074</v>
      </c>
      <c r="D416" s="30" t="s">
        <v>3111</v>
      </c>
      <c r="E416" s="6" t="s">
        <v>4745</v>
      </c>
      <c r="F416" s="30" t="s">
        <v>128</v>
      </c>
      <c r="G416" s="253" t="s">
        <v>1434</v>
      </c>
      <c r="H416" s="30" t="s">
        <v>809</v>
      </c>
      <c r="I416" s="6" t="s">
        <v>809</v>
      </c>
      <c r="J416" s="30" t="s">
        <v>5364</v>
      </c>
      <c r="K416" s="253"/>
      <c r="L416" s="253"/>
      <c r="M416" s="30" t="s">
        <v>809</v>
      </c>
      <c r="N416" s="254" t="str">
        <f aca="false">NonNV!$L$9</f>
        <v>無公開規格；沿用 v0.5「自研／其他 0.6（0.4–1.0）」</v>
      </c>
      <c r="O416" s="6" t="s">
        <v>809</v>
      </c>
      <c r="P416" s="253" t="s">
        <v>5238</v>
      </c>
      <c r="Q416" s="194" t="n">
        <f aca="false">NonNV!D9</f>
        <v>0.9</v>
      </c>
      <c r="R416" s="30" t="s">
        <v>809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5239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6107</v>
      </c>
      <c r="B417" s="253" t="s">
        <v>5234</v>
      </c>
      <c r="C417" s="30" t="s">
        <v>6074</v>
      </c>
      <c r="D417" s="30" t="s">
        <v>3112</v>
      </c>
      <c r="E417" s="6" t="s">
        <v>4745</v>
      </c>
      <c r="F417" s="30" t="s">
        <v>128</v>
      </c>
      <c r="G417" s="253" t="s">
        <v>1433</v>
      </c>
      <c r="H417" s="30" t="s">
        <v>809</v>
      </c>
      <c r="I417" s="6" t="s">
        <v>809</v>
      </c>
      <c r="J417" s="30" t="s">
        <v>5364</v>
      </c>
      <c r="K417" s="253"/>
      <c r="L417" s="253"/>
      <c r="M417" s="30" t="s">
        <v>809</v>
      </c>
      <c r="N417" s="254" t="str">
        <f aca="false">NonNV!$L$9</f>
        <v>無公開規格；沿用 v0.5「自研／其他 0.6（0.4–1.0）」</v>
      </c>
      <c r="O417" s="6" t="s">
        <v>809</v>
      </c>
      <c r="P417" s="253" t="s">
        <v>5238</v>
      </c>
      <c r="Q417" s="194" t="n">
        <f aca="false">NonNV!E9</f>
        <v>0.7</v>
      </c>
      <c r="R417" s="30" t="s">
        <v>809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5239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6108</v>
      </c>
      <c r="B418" s="253" t="s">
        <v>5234</v>
      </c>
      <c r="C418" s="30" t="s">
        <v>6074</v>
      </c>
      <c r="D418" s="30" t="s">
        <v>3176</v>
      </c>
      <c r="E418" s="6" t="s">
        <v>4745</v>
      </c>
      <c r="F418" s="30" t="s">
        <v>128</v>
      </c>
      <c r="G418" s="253" t="s">
        <v>1434</v>
      </c>
      <c r="H418" s="30" t="s">
        <v>809</v>
      </c>
      <c r="I418" s="6" t="s">
        <v>809</v>
      </c>
      <c r="J418" s="30" t="s">
        <v>5364</v>
      </c>
      <c r="K418" s="253"/>
      <c r="L418" s="253"/>
      <c r="M418" s="30" t="s">
        <v>809</v>
      </c>
      <c r="N418" s="254" t="str">
        <f aca="false">NonNV!$L$9</f>
        <v>無公開規格；沿用 v0.5「自研／其他 0.6（0.4–1.0）」</v>
      </c>
      <c r="O418" s="6" t="s">
        <v>809</v>
      </c>
      <c r="P418" s="253" t="s">
        <v>5238</v>
      </c>
      <c r="Q418" s="194" t="n">
        <f aca="false">NonNV!G9</f>
        <v>1</v>
      </c>
      <c r="R418" s="30" t="s">
        <v>809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5239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6109</v>
      </c>
      <c r="B419" s="253" t="s">
        <v>5234</v>
      </c>
      <c r="C419" s="30" t="s">
        <v>3299</v>
      </c>
      <c r="D419" s="30" t="s">
        <v>6110</v>
      </c>
      <c r="E419" s="20" t="s">
        <v>494</v>
      </c>
      <c r="F419" s="253" t="s">
        <v>5882</v>
      </c>
      <c r="G419" s="253" t="s">
        <v>5883</v>
      </c>
      <c r="H419" s="30" t="s">
        <v>809</v>
      </c>
      <c r="I419" s="6" t="s">
        <v>809</v>
      </c>
      <c r="J419" s="30" t="s">
        <v>5884</v>
      </c>
      <c r="K419" s="253"/>
      <c r="L419" s="253"/>
      <c r="M419" s="30" t="s">
        <v>809</v>
      </c>
      <c r="N419" s="20" t="s">
        <v>6111</v>
      </c>
      <c r="O419" s="6" t="s">
        <v>809</v>
      </c>
      <c r="P419" s="30" t="s">
        <v>809</v>
      </c>
      <c r="Q419" s="186" t="s">
        <v>809</v>
      </c>
      <c r="R419" s="30" t="s">
        <v>809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809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6112</v>
      </c>
      <c r="B420" s="253" t="s">
        <v>5234</v>
      </c>
      <c r="C420" s="30" t="s">
        <v>3299</v>
      </c>
      <c r="D420" s="30" t="s">
        <v>6113</v>
      </c>
      <c r="E420" s="20" t="s">
        <v>915</v>
      </c>
      <c r="F420" s="253" t="s">
        <v>5882</v>
      </c>
      <c r="G420" s="253" t="s">
        <v>5883</v>
      </c>
      <c r="H420" s="30" t="s">
        <v>809</v>
      </c>
      <c r="I420" s="6" t="s">
        <v>809</v>
      </c>
      <c r="J420" s="30" t="s">
        <v>5884</v>
      </c>
      <c r="K420" s="253"/>
      <c r="L420" s="253"/>
      <c r="M420" s="30" t="s">
        <v>809</v>
      </c>
      <c r="N420" s="20" t="s">
        <v>6111</v>
      </c>
      <c r="O420" s="6" t="s">
        <v>809</v>
      </c>
      <c r="P420" s="30" t="s">
        <v>809</v>
      </c>
      <c r="Q420" s="186" t="s">
        <v>809</v>
      </c>
      <c r="R420" s="30" t="s">
        <v>809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809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6114</v>
      </c>
      <c r="B421" s="253" t="s">
        <v>5234</v>
      </c>
      <c r="C421" s="30" t="s">
        <v>4841</v>
      </c>
      <c r="D421" s="30" t="s">
        <v>6115</v>
      </c>
      <c r="E421" s="20" t="s">
        <v>494</v>
      </c>
      <c r="F421" s="253" t="s">
        <v>5882</v>
      </c>
      <c r="G421" s="253" t="s">
        <v>5883</v>
      </c>
      <c r="H421" s="30" t="s">
        <v>809</v>
      </c>
      <c r="I421" s="6" t="s">
        <v>809</v>
      </c>
      <c r="J421" s="30" t="s">
        <v>5884</v>
      </c>
      <c r="K421" s="253"/>
      <c r="L421" s="253"/>
      <c r="M421" s="30" t="s">
        <v>809</v>
      </c>
      <c r="N421" s="20" t="s">
        <v>6111</v>
      </c>
      <c r="O421" s="6" t="s">
        <v>809</v>
      </c>
      <c r="P421" s="30" t="s">
        <v>809</v>
      </c>
      <c r="Q421" s="186" t="s">
        <v>809</v>
      </c>
      <c r="R421" s="30" t="s">
        <v>809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809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6116</v>
      </c>
      <c r="B422" s="253" t="s">
        <v>5234</v>
      </c>
      <c r="C422" s="30" t="s">
        <v>4841</v>
      </c>
      <c r="D422" s="30" t="s">
        <v>6117</v>
      </c>
      <c r="E422" s="20" t="s">
        <v>915</v>
      </c>
      <c r="F422" s="253" t="s">
        <v>5882</v>
      </c>
      <c r="G422" s="253" t="s">
        <v>5883</v>
      </c>
      <c r="H422" s="30" t="s">
        <v>809</v>
      </c>
      <c r="I422" s="6" t="s">
        <v>809</v>
      </c>
      <c r="J422" s="30" t="s">
        <v>5884</v>
      </c>
      <c r="K422" s="253"/>
      <c r="L422" s="253"/>
      <c r="M422" s="30" t="s">
        <v>809</v>
      </c>
      <c r="N422" s="20" t="s">
        <v>6111</v>
      </c>
      <c r="O422" s="6" t="s">
        <v>809</v>
      </c>
      <c r="P422" s="30" t="s">
        <v>809</v>
      </c>
      <c r="Q422" s="186" t="s">
        <v>809</v>
      </c>
      <c r="R422" s="30" t="s">
        <v>809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809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6118</v>
      </c>
      <c r="B423" s="253" t="s">
        <v>5234</v>
      </c>
      <c r="C423" s="30" t="s">
        <v>4841</v>
      </c>
      <c r="D423" s="30" t="s">
        <v>6119</v>
      </c>
      <c r="E423" s="20" t="s">
        <v>525</v>
      </c>
      <c r="F423" s="253" t="s">
        <v>5979</v>
      </c>
      <c r="G423" s="253" t="s">
        <v>5883</v>
      </c>
      <c r="H423" s="30" t="s">
        <v>809</v>
      </c>
      <c r="I423" s="6" t="s">
        <v>809</v>
      </c>
      <c r="J423" s="30" t="s">
        <v>5980</v>
      </c>
      <c r="K423" s="253"/>
      <c r="L423" s="253"/>
      <c r="M423" s="30" t="s">
        <v>809</v>
      </c>
      <c r="N423" s="20" t="s">
        <v>6120</v>
      </c>
      <c r="O423" s="6" t="s">
        <v>809</v>
      </c>
      <c r="P423" s="253" t="s">
        <v>5238</v>
      </c>
      <c r="Q423" s="46" t="n">
        <f aca="false">Sens_Perf!M14</f>
        <v>50</v>
      </c>
      <c r="R423" s="30" t="s">
        <v>809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5239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6121</v>
      </c>
      <c r="B424" s="253" t="s">
        <v>5234</v>
      </c>
      <c r="C424" s="30" t="s">
        <v>4841</v>
      </c>
      <c r="D424" s="30" t="s">
        <v>6122</v>
      </c>
      <c r="E424" s="6" t="s">
        <v>413</v>
      </c>
      <c r="F424" s="253" t="s">
        <v>5979</v>
      </c>
      <c r="G424" s="253" t="s">
        <v>5883</v>
      </c>
      <c r="H424" s="30" t="s">
        <v>809</v>
      </c>
      <c r="I424" s="6" t="s">
        <v>809</v>
      </c>
      <c r="J424" s="30" t="s">
        <v>5980</v>
      </c>
      <c r="K424" s="253"/>
      <c r="L424" s="253"/>
      <c r="M424" s="30" t="s">
        <v>809</v>
      </c>
      <c r="N424" s="20" t="s">
        <v>6120</v>
      </c>
      <c r="O424" s="6" t="s">
        <v>809</v>
      </c>
      <c r="P424" s="30" t="s">
        <v>809</v>
      </c>
      <c r="Q424" s="186" t="s">
        <v>809</v>
      </c>
      <c r="R424" s="30" t="s">
        <v>809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809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6123</v>
      </c>
      <c r="B425" s="253" t="s">
        <v>5234</v>
      </c>
      <c r="C425" s="30" t="s">
        <v>4841</v>
      </c>
      <c r="D425" s="30" t="s">
        <v>6124</v>
      </c>
      <c r="E425" s="20" t="s">
        <v>6125</v>
      </c>
      <c r="F425" s="253" t="s">
        <v>5979</v>
      </c>
      <c r="G425" s="253" t="s">
        <v>5883</v>
      </c>
      <c r="H425" s="30" t="s">
        <v>809</v>
      </c>
      <c r="I425" s="6" t="s">
        <v>809</v>
      </c>
      <c r="J425" s="30" t="s">
        <v>5980</v>
      </c>
      <c r="K425" s="253"/>
      <c r="L425" s="253"/>
      <c r="M425" s="30" t="s">
        <v>809</v>
      </c>
      <c r="N425" s="20" t="s">
        <v>6120</v>
      </c>
      <c r="O425" s="6" t="s">
        <v>809</v>
      </c>
      <c r="P425" s="30" t="s">
        <v>809</v>
      </c>
      <c r="Q425" s="186" t="s">
        <v>809</v>
      </c>
      <c r="R425" s="30" t="s">
        <v>809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809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6126</v>
      </c>
      <c r="B426" s="253" t="s">
        <v>5234</v>
      </c>
      <c r="C426" s="30" t="s">
        <v>4841</v>
      </c>
      <c r="D426" s="30" t="s">
        <v>6127</v>
      </c>
      <c r="E426" s="20" t="s">
        <v>943</v>
      </c>
      <c r="F426" s="253" t="s">
        <v>5979</v>
      </c>
      <c r="G426" s="253" t="s">
        <v>5883</v>
      </c>
      <c r="H426" s="30" t="s">
        <v>809</v>
      </c>
      <c r="I426" s="6" t="s">
        <v>809</v>
      </c>
      <c r="J426" s="30" t="s">
        <v>5980</v>
      </c>
      <c r="K426" s="253"/>
      <c r="L426" s="253"/>
      <c r="M426" s="30" t="s">
        <v>809</v>
      </c>
      <c r="N426" s="20" t="s">
        <v>6120</v>
      </c>
      <c r="O426" s="6" t="s">
        <v>809</v>
      </c>
      <c r="P426" s="30" t="s">
        <v>809</v>
      </c>
      <c r="Q426" s="186" t="s">
        <v>809</v>
      </c>
      <c r="R426" s="30" t="s">
        <v>809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809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6128</v>
      </c>
      <c r="B427" s="253" t="s">
        <v>5234</v>
      </c>
      <c r="C427" s="30" t="s">
        <v>4841</v>
      </c>
      <c r="D427" s="30" t="s">
        <v>6129</v>
      </c>
      <c r="E427" s="20" t="s">
        <v>408</v>
      </c>
      <c r="F427" s="253" t="s">
        <v>5979</v>
      </c>
      <c r="G427" s="253" t="s">
        <v>5883</v>
      </c>
      <c r="H427" s="30" t="s">
        <v>809</v>
      </c>
      <c r="I427" s="6" t="s">
        <v>809</v>
      </c>
      <c r="J427" s="30" t="s">
        <v>5980</v>
      </c>
      <c r="K427" s="253"/>
      <c r="L427" s="253"/>
      <c r="M427" s="30" t="s">
        <v>809</v>
      </c>
      <c r="N427" s="20" t="s">
        <v>6120</v>
      </c>
      <c r="O427" s="6" t="s">
        <v>809</v>
      </c>
      <c r="P427" s="30" t="s">
        <v>809</v>
      </c>
      <c r="Q427" s="186" t="s">
        <v>809</v>
      </c>
      <c r="R427" s="30" t="s">
        <v>809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809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6130</v>
      </c>
      <c r="B428" s="253" t="s">
        <v>5234</v>
      </c>
      <c r="C428" s="30" t="s">
        <v>4841</v>
      </c>
      <c r="D428" s="30" t="s">
        <v>6131</v>
      </c>
      <c r="E428" s="6" t="s">
        <v>946</v>
      </c>
      <c r="F428" s="253" t="s">
        <v>5979</v>
      </c>
      <c r="G428" s="253" t="s">
        <v>5883</v>
      </c>
      <c r="H428" s="30" t="s">
        <v>809</v>
      </c>
      <c r="I428" s="6" t="s">
        <v>809</v>
      </c>
      <c r="J428" s="30" t="s">
        <v>5980</v>
      </c>
      <c r="K428" s="253"/>
      <c r="L428" s="253"/>
      <c r="M428" s="30" t="s">
        <v>809</v>
      </c>
      <c r="N428" s="20" t="s">
        <v>6132</v>
      </c>
      <c r="O428" s="6" t="s">
        <v>809</v>
      </c>
      <c r="P428" s="30" t="s">
        <v>809</v>
      </c>
      <c r="Q428" s="186" t="s">
        <v>809</v>
      </c>
      <c r="R428" s="30" t="s">
        <v>809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6133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6134</v>
      </c>
      <c r="B429" s="253" t="s">
        <v>5234</v>
      </c>
      <c r="C429" s="30" t="s">
        <v>4841</v>
      </c>
      <c r="D429" s="30" t="s">
        <v>6135</v>
      </c>
      <c r="E429" s="20" t="s">
        <v>6136</v>
      </c>
      <c r="F429" s="253" t="s">
        <v>5979</v>
      </c>
      <c r="G429" s="253" t="s">
        <v>5883</v>
      </c>
      <c r="H429" s="30" t="s">
        <v>809</v>
      </c>
      <c r="I429" s="6" t="s">
        <v>809</v>
      </c>
      <c r="J429" s="30" t="s">
        <v>5980</v>
      </c>
      <c r="K429" s="253"/>
      <c r="L429" s="253"/>
      <c r="M429" s="30" t="s">
        <v>809</v>
      </c>
      <c r="N429" s="20" t="s">
        <v>6137</v>
      </c>
      <c r="O429" s="6" t="s">
        <v>809</v>
      </c>
      <c r="P429" s="30" t="s">
        <v>809</v>
      </c>
      <c r="Q429" s="186" t="s">
        <v>809</v>
      </c>
      <c r="R429" s="30" t="s">
        <v>809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6133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6138</v>
      </c>
      <c r="B430" s="253" t="s">
        <v>5234</v>
      </c>
      <c r="C430" s="30" t="s">
        <v>3317</v>
      </c>
      <c r="D430" s="30" t="s">
        <v>6110</v>
      </c>
      <c r="E430" s="20" t="s">
        <v>494</v>
      </c>
      <c r="F430" s="253" t="s">
        <v>5882</v>
      </c>
      <c r="G430" s="253" t="s">
        <v>5883</v>
      </c>
      <c r="H430" s="30" t="s">
        <v>809</v>
      </c>
      <c r="I430" s="6" t="s">
        <v>809</v>
      </c>
      <c r="J430" s="30" t="s">
        <v>5884</v>
      </c>
      <c r="K430" s="253"/>
      <c r="L430" s="253"/>
      <c r="M430" s="30" t="s">
        <v>809</v>
      </c>
      <c r="N430" s="20" t="s">
        <v>6111</v>
      </c>
      <c r="O430" s="6" t="s">
        <v>809</v>
      </c>
      <c r="P430" s="30" t="s">
        <v>809</v>
      </c>
      <c r="Q430" s="186" t="s">
        <v>809</v>
      </c>
      <c r="R430" s="30" t="s">
        <v>809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809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6139</v>
      </c>
      <c r="B431" s="253" t="s">
        <v>6140</v>
      </c>
      <c r="C431" s="30" t="s">
        <v>3318</v>
      </c>
      <c r="D431" s="30" t="s">
        <v>3355</v>
      </c>
      <c r="E431" s="20" t="s">
        <v>6141</v>
      </c>
      <c r="F431" s="253" t="s">
        <v>373</v>
      </c>
      <c r="G431" s="253" t="s">
        <v>5235</v>
      </c>
      <c r="H431" s="30" t="s">
        <v>6142</v>
      </c>
      <c r="I431" s="20" t="s">
        <v>5265</v>
      </c>
      <c r="J431" s="30" t="s">
        <v>809</v>
      </c>
      <c r="K431" s="253"/>
      <c r="L431" s="253"/>
      <c r="M431" s="30" t="s">
        <v>809</v>
      </c>
      <c r="N431" s="20" t="s">
        <v>5328</v>
      </c>
      <c r="O431" s="6" t="s">
        <v>809</v>
      </c>
      <c r="P431" s="253" t="s">
        <v>1434</v>
      </c>
      <c r="Q431" s="197" t="n">
        <f aca="false">Train_In!C25</f>
        <v>32</v>
      </c>
      <c r="R431" s="186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5267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218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6143</v>
      </c>
      <c r="B432" s="253" t="s">
        <v>6140</v>
      </c>
      <c r="C432" s="30" t="s">
        <v>3318</v>
      </c>
      <c r="D432" s="30" t="s">
        <v>3188</v>
      </c>
      <c r="E432" s="20" t="s">
        <v>6141</v>
      </c>
      <c r="F432" s="253" t="s">
        <v>373</v>
      </c>
      <c r="G432" s="253" t="s">
        <v>5235</v>
      </c>
      <c r="H432" s="30" t="s">
        <v>6144</v>
      </c>
      <c r="I432" s="20" t="s">
        <v>5265</v>
      </c>
      <c r="J432" s="30" t="s">
        <v>809</v>
      </c>
      <c r="K432" s="253"/>
      <c r="L432" s="253"/>
      <c r="M432" s="30" t="s">
        <v>809</v>
      </c>
      <c r="N432" s="20" t="s">
        <v>5328</v>
      </c>
      <c r="O432" s="6" t="s">
        <v>809</v>
      </c>
      <c r="P432" s="253" t="s">
        <v>1434</v>
      </c>
      <c r="Q432" s="197" t="n">
        <f aca="false">Train_In!D25</f>
        <v>33</v>
      </c>
      <c r="R432" s="186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5267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219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6145</v>
      </c>
      <c r="B433" s="253" t="s">
        <v>6140</v>
      </c>
      <c r="C433" s="30" t="s">
        <v>3318</v>
      </c>
      <c r="D433" s="30" t="s">
        <v>3356</v>
      </c>
      <c r="E433" s="20" t="s">
        <v>6146</v>
      </c>
      <c r="F433" s="253" t="s">
        <v>373</v>
      </c>
      <c r="G433" s="253" t="s">
        <v>5235</v>
      </c>
      <c r="H433" s="30" t="s">
        <v>6147</v>
      </c>
      <c r="I433" s="20" t="s">
        <v>5265</v>
      </c>
      <c r="J433" s="30" t="s">
        <v>809</v>
      </c>
      <c r="K433" s="253"/>
      <c r="L433" s="253"/>
      <c r="M433" s="30" t="s">
        <v>809</v>
      </c>
      <c r="N433" s="20" t="s">
        <v>5328</v>
      </c>
      <c r="O433" s="6" t="s">
        <v>809</v>
      </c>
      <c r="P433" s="253" t="s">
        <v>5281</v>
      </c>
      <c r="Q433" s="49" t="n">
        <f aca="false">Train_In!C26</f>
        <v>4096</v>
      </c>
      <c r="R433" s="186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5267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220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6148</v>
      </c>
      <c r="B434" s="253" t="s">
        <v>6140</v>
      </c>
      <c r="C434" s="30" t="s">
        <v>3318</v>
      </c>
      <c r="D434" s="30" t="s">
        <v>5486</v>
      </c>
      <c r="E434" s="20" t="s">
        <v>6146</v>
      </c>
      <c r="F434" s="253" t="s">
        <v>373</v>
      </c>
      <c r="G434" s="253" t="s">
        <v>5235</v>
      </c>
      <c r="H434" s="30" t="s">
        <v>6147</v>
      </c>
      <c r="I434" s="20" t="s">
        <v>5265</v>
      </c>
      <c r="J434" s="30" t="s">
        <v>809</v>
      </c>
      <c r="K434" s="253"/>
      <c r="L434" s="253"/>
      <c r="M434" s="30" t="s">
        <v>809</v>
      </c>
      <c r="N434" s="20" t="s">
        <v>5328</v>
      </c>
      <c r="O434" s="6" t="s">
        <v>809</v>
      </c>
      <c r="P434" s="253" t="s">
        <v>5281</v>
      </c>
      <c r="Q434" s="49" t="n">
        <f aca="false">Train_In!D26</f>
        <v>4096</v>
      </c>
      <c r="R434" s="186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5267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220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6149</v>
      </c>
      <c r="B435" s="253" t="s">
        <v>6140</v>
      </c>
      <c r="C435" s="30" t="s">
        <v>3318</v>
      </c>
      <c r="D435" s="30" t="s">
        <v>3338</v>
      </c>
      <c r="E435" s="6" t="s">
        <v>1200</v>
      </c>
      <c r="F435" s="253" t="s">
        <v>373</v>
      </c>
      <c r="G435" s="253" t="s">
        <v>5235</v>
      </c>
      <c r="H435" s="30" t="s">
        <v>6150</v>
      </c>
      <c r="I435" s="20" t="s">
        <v>5265</v>
      </c>
      <c r="J435" s="30" t="s">
        <v>809</v>
      </c>
      <c r="K435" s="253"/>
      <c r="L435" s="253"/>
      <c r="M435" s="30" t="s">
        <v>809</v>
      </c>
      <c r="N435" s="20" t="s">
        <v>5328</v>
      </c>
      <c r="O435" s="6" t="s">
        <v>809</v>
      </c>
      <c r="P435" s="253" t="s">
        <v>5238</v>
      </c>
      <c r="Q435" s="197" t="n">
        <f aca="false">Train_In!C41</f>
        <v>14.8</v>
      </c>
      <c r="R435" s="186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5267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228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6151</v>
      </c>
      <c r="B436" s="253" t="s">
        <v>6140</v>
      </c>
      <c r="C436" s="30" t="s">
        <v>3318</v>
      </c>
      <c r="D436" s="30" t="s">
        <v>3339</v>
      </c>
      <c r="E436" s="6" t="s">
        <v>1202</v>
      </c>
      <c r="F436" s="253" t="s">
        <v>373</v>
      </c>
      <c r="G436" s="253" t="s">
        <v>5235</v>
      </c>
      <c r="H436" s="30" t="s">
        <v>6152</v>
      </c>
      <c r="I436" s="20" t="s">
        <v>5265</v>
      </c>
      <c r="J436" s="30" t="s">
        <v>809</v>
      </c>
      <c r="K436" s="253"/>
      <c r="L436" s="253"/>
      <c r="M436" s="30" t="s">
        <v>809</v>
      </c>
      <c r="N436" s="20" t="s">
        <v>5328</v>
      </c>
      <c r="O436" s="6" t="s">
        <v>809</v>
      </c>
      <c r="P436" s="253" t="s">
        <v>5238</v>
      </c>
      <c r="Q436" s="46" t="n">
        <f aca="false">Train_In!C42</f>
        <v>2.664</v>
      </c>
      <c r="R436" s="186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5267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229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6153</v>
      </c>
      <c r="B437" s="253" t="s">
        <v>6140</v>
      </c>
      <c r="C437" s="30" t="s">
        <v>3318</v>
      </c>
      <c r="D437" s="30" t="s">
        <v>6154</v>
      </c>
      <c r="E437" s="6" t="s">
        <v>1205</v>
      </c>
      <c r="F437" s="253" t="s">
        <v>373</v>
      </c>
      <c r="G437" s="253" t="s">
        <v>5235</v>
      </c>
      <c r="H437" s="30" t="s">
        <v>6155</v>
      </c>
      <c r="I437" s="20" t="s">
        <v>5265</v>
      </c>
      <c r="J437" s="30" t="s">
        <v>809</v>
      </c>
      <c r="K437" s="253"/>
      <c r="L437" s="253"/>
      <c r="M437" s="30" t="s">
        <v>809</v>
      </c>
      <c r="N437" s="20" t="s">
        <v>5328</v>
      </c>
      <c r="O437" s="6" t="s">
        <v>809</v>
      </c>
      <c r="P437" s="253" t="s">
        <v>5238</v>
      </c>
      <c r="Q437" s="49" t="n">
        <f aca="false">Train_In!C43</f>
        <v>4096</v>
      </c>
      <c r="R437" s="186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5267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231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6156</v>
      </c>
      <c r="B438" s="253" t="s">
        <v>6140</v>
      </c>
      <c r="C438" s="30" t="s">
        <v>3318</v>
      </c>
      <c r="D438" s="30" t="s">
        <v>6157</v>
      </c>
      <c r="E438" s="6" t="s">
        <v>1210</v>
      </c>
      <c r="F438" s="253" t="s">
        <v>373</v>
      </c>
      <c r="G438" s="253" t="s">
        <v>5235</v>
      </c>
      <c r="H438" s="30" t="s">
        <v>3989</v>
      </c>
      <c r="I438" s="20" t="s">
        <v>5265</v>
      </c>
      <c r="J438" s="30" t="s">
        <v>809</v>
      </c>
      <c r="K438" s="253"/>
      <c r="L438" s="253"/>
      <c r="M438" s="30" t="s">
        <v>809</v>
      </c>
      <c r="N438" s="20" t="s">
        <v>5328</v>
      </c>
      <c r="O438" s="6" t="s">
        <v>809</v>
      </c>
      <c r="P438" s="253" t="s">
        <v>5238</v>
      </c>
      <c r="Q438" s="201" t="n">
        <f aca="false">Train_In!C45</f>
        <v>1</v>
      </c>
      <c r="R438" s="186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5267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225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6158</v>
      </c>
      <c r="B439" s="253" t="s">
        <v>6140</v>
      </c>
      <c r="C439" s="30" t="s">
        <v>24</v>
      </c>
      <c r="D439" s="30" t="s">
        <v>6159</v>
      </c>
      <c r="E439" s="6" t="s">
        <v>856</v>
      </c>
      <c r="F439" s="253" t="s">
        <v>373</v>
      </c>
      <c r="G439" s="253" t="s">
        <v>5235</v>
      </c>
      <c r="H439" s="30" t="s">
        <v>6160</v>
      </c>
      <c r="I439" s="20" t="s">
        <v>6161</v>
      </c>
      <c r="J439" s="30" t="s">
        <v>809</v>
      </c>
      <c r="K439" s="253"/>
      <c r="L439" s="253"/>
      <c r="M439" s="30" t="s">
        <v>809</v>
      </c>
      <c r="N439" s="6" t="s">
        <v>6162</v>
      </c>
      <c r="O439" s="6" t="s">
        <v>809</v>
      </c>
      <c r="P439" s="253" t="s">
        <v>5238</v>
      </c>
      <c r="Q439" s="33" t="n">
        <f aca="false">Tech_Registry!J14</f>
        <v>4</v>
      </c>
      <c r="R439" s="186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5267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232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6163</v>
      </c>
      <c r="B440" s="253" t="s">
        <v>5234</v>
      </c>
      <c r="C440" s="30" t="s">
        <v>3208</v>
      </c>
      <c r="D440" s="30" t="s">
        <v>3198</v>
      </c>
      <c r="E440" s="20" t="s">
        <v>6164</v>
      </c>
      <c r="F440" s="30" t="s">
        <v>128</v>
      </c>
      <c r="G440" s="253" t="s">
        <v>5235</v>
      </c>
      <c r="H440" s="30" t="s">
        <v>809</v>
      </c>
      <c r="I440" s="6" t="s">
        <v>809</v>
      </c>
      <c r="J440" s="30" t="s">
        <v>5884</v>
      </c>
      <c r="K440" s="253"/>
      <c r="L440" s="253"/>
      <c r="M440" s="253" t="s">
        <v>5023</v>
      </c>
      <c r="N440" s="20" t="s">
        <v>6165</v>
      </c>
      <c r="O440" s="6" t="s">
        <v>809</v>
      </c>
      <c r="P440" s="253" t="s">
        <v>5238</v>
      </c>
      <c r="Q440" s="49" t="n">
        <f aca="false">Arch!C32</f>
        <v>128000</v>
      </c>
      <c r="R440" s="30" t="s">
        <v>809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5239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6166</v>
      </c>
      <c r="B441" s="253" t="s">
        <v>6167</v>
      </c>
      <c r="C441" s="30" t="s">
        <v>6168</v>
      </c>
      <c r="D441" s="30" t="s">
        <v>6169</v>
      </c>
      <c r="E441" s="20" t="s">
        <v>6170</v>
      </c>
      <c r="F441" s="253" t="s">
        <v>5979</v>
      </c>
      <c r="G441" s="253" t="s">
        <v>5883</v>
      </c>
      <c r="H441" s="30" t="s">
        <v>809</v>
      </c>
      <c r="I441" s="6" t="s">
        <v>809</v>
      </c>
      <c r="J441" s="30" t="s">
        <v>5980</v>
      </c>
      <c r="K441" s="253"/>
      <c r="L441" s="253"/>
      <c r="M441" s="30" t="s">
        <v>809</v>
      </c>
      <c r="N441" s="6" t="s">
        <v>6171</v>
      </c>
      <c r="O441" s="6" t="s">
        <v>809</v>
      </c>
      <c r="P441" s="30" t="s">
        <v>809</v>
      </c>
      <c r="Q441" s="186" t="s">
        <v>809</v>
      </c>
      <c r="R441" s="30" t="s">
        <v>809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809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6172</v>
      </c>
      <c r="B442" s="253" t="s">
        <v>6167</v>
      </c>
      <c r="C442" s="30" t="s">
        <v>6168</v>
      </c>
      <c r="D442" s="30" t="s">
        <v>6173</v>
      </c>
      <c r="E442" s="20" t="s">
        <v>6174</v>
      </c>
      <c r="F442" s="253" t="s">
        <v>5979</v>
      </c>
      <c r="G442" s="253" t="s">
        <v>5883</v>
      </c>
      <c r="H442" s="30" t="s">
        <v>809</v>
      </c>
      <c r="I442" s="6" t="s">
        <v>809</v>
      </c>
      <c r="J442" s="30" t="s">
        <v>5980</v>
      </c>
      <c r="K442" s="253"/>
      <c r="L442" s="253"/>
      <c r="M442" s="30" t="s">
        <v>809</v>
      </c>
      <c r="N442" s="6" t="s">
        <v>6175</v>
      </c>
      <c r="O442" s="6" t="s">
        <v>809</v>
      </c>
      <c r="P442" s="30" t="s">
        <v>809</v>
      </c>
      <c r="Q442" s="186" t="s">
        <v>809</v>
      </c>
      <c r="R442" s="30" t="s">
        <v>809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809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6176</v>
      </c>
      <c r="B443" s="253" t="s">
        <v>6167</v>
      </c>
      <c r="C443" s="30" t="s">
        <v>6177</v>
      </c>
      <c r="D443" s="30" t="s">
        <v>6178</v>
      </c>
      <c r="E443" s="6" t="s">
        <v>6179</v>
      </c>
      <c r="F443" s="253" t="s">
        <v>5979</v>
      </c>
      <c r="G443" s="253" t="s">
        <v>5235</v>
      </c>
      <c r="H443" s="30" t="s">
        <v>809</v>
      </c>
      <c r="I443" s="6" t="s">
        <v>809</v>
      </c>
      <c r="J443" s="30" t="s">
        <v>5980</v>
      </c>
      <c r="K443" s="253"/>
      <c r="L443" s="253"/>
      <c r="M443" s="30" t="s">
        <v>809</v>
      </c>
      <c r="N443" s="6" t="s">
        <v>6180</v>
      </c>
      <c r="O443" s="6" t="s">
        <v>809</v>
      </c>
      <c r="P443" s="253" t="s">
        <v>5238</v>
      </c>
      <c r="Q443" s="194" t="n">
        <f aca="false">Sens_Rev!B18</f>
        <v>0.5</v>
      </c>
      <c r="R443" s="30" t="s">
        <v>809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5239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6181</v>
      </c>
      <c r="B444" s="253" t="s">
        <v>6167</v>
      </c>
      <c r="C444" s="30" t="s">
        <v>24</v>
      </c>
      <c r="D444" s="30" t="s">
        <v>6182</v>
      </c>
      <c r="E444" s="20" t="s">
        <v>6183</v>
      </c>
      <c r="F444" s="30" t="s">
        <v>118</v>
      </c>
      <c r="G444" s="253" t="s">
        <v>5235</v>
      </c>
      <c r="H444" s="30" t="s">
        <v>809</v>
      </c>
      <c r="I444" s="6" t="s">
        <v>809</v>
      </c>
      <c r="J444" s="30" t="s">
        <v>6159</v>
      </c>
      <c r="K444" s="253"/>
      <c r="L444" s="253"/>
      <c r="M444" s="30" t="s">
        <v>809</v>
      </c>
      <c r="N444" s="6" t="s">
        <v>6184</v>
      </c>
      <c r="O444" s="6" t="s">
        <v>809</v>
      </c>
      <c r="P444" s="253" t="s">
        <v>5238</v>
      </c>
      <c r="Q444" s="33" t="n">
        <f aca="false">Tech_Registry!J17</f>
        <v>2</v>
      </c>
      <c r="R444" s="30" t="s">
        <v>809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5239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6185</v>
      </c>
      <c r="B445" s="253" t="s">
        <v>6186</v>
      </c>
      <c r="C445" s="30" t="s">
        <v>3335</v>
      </c>
      <c r="D445" s="30" t="s">
        <v>3180</v>
      </c>
      <c r="E445" s="20" t="s">
        <v>6187</v>
      </c>
      <c r="F445" s="30" t="s">
        <v>128</v>
      </c>
      <c r="G445" s="253" t="s">
        <v>111</v>
      </c>
      <c r="H445" s="30" t="s">
        <v>6188</v>
      </c>
      <c r="I445" s="245" t="s">
        <v>6189</v>
      </c>
      <c r="J445" s="30" t="s">
        <v>6190</v>
      </c>
      <c r="K445" s="196" t="n">
        <f aca="false">Cap_In!D12</f>
        <v>0.1</v>
      </c>
      <c r="L445" s="196" t="n">
        <f aca="false">Cap_In!E12</f>
        <v>0.4</v>
      </c>
      <c r="M445" s="30" t="s">
        <v>6191</v>
      </c>
      <c r="N445" s="20" t="s">
        <v>6192</v>
      </c>
      <c r="O445" s="6" t="s">
        <v>809</v>
      </c>
      <c r="P445" s="253" t="s">
        <v>5281</v>
      </c>
      <c r="Q445" s="196" t="n">
        <f aca="false">Cap_In!C12</f>
        <v>0.2</v>
      </c>
      <c r="R445" s="186" t="n">
        <f aca="false">SRC_PRC_045</f>
        <v>0.5</v>
      </c>
      <c r="S445" s="44" t="str">
        <f aca="false">IF(ISNUMBER($AF445),INDEX(IDX_SrcStat,$AF445),"—")</f>
        <v>Active</v>
      </c>
      <c r="T445" s="44" t="n">
        <f aca="false">IF(ISNUMBER($AF445),INDEX(IDX_SrcGrade,$AF445),"—")</f>
        <v>1</v>
      </c>
      <c r="U445" s="44" t="s">
        <v>5239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n">
        <f aca="false">IF(OR($H445="—",$H445=""),"—",MATCH($H445,IDX_SrcID,0))</f>
        <v>478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6193</v>
      </c>
      <c r="B446" s="253" t="s">
        <v>6186</v>
      </c>
      <c r="C446" s="30" t="s">
        <v>3335</v>
      </c>
      <c r="D446" s="30" t="s">
        <v>6194</v>
      </c>
      <c r="E446" s="20" t="s">
        <v>6187</v>
      </c>
      <c r="F446" s="30" t="s">
        <v>128</v>
      </c>
      <c r="G446" s="253" t="s">
        <v>6195</v>
      </c>
      <c r="H446" s="30" t="s">
        <v>6188</v>
      </c>
      <c r="I446" s="245" t="s">
        <v>6189</v>
      </c>
      <c r="J446" s="30" t="s">
        <v>6190</v>
      </c>
      <c r="K446" s="253"/>
      <c r="L446" s="253"/>
      <c r="M446" s="30" t="s">
        <v>6196</v>
      </c>
      <c r="N446" s="20" t="s">
        <v>6192</v>
      </c>
      <c r="O446" s="6" t="s">
        <v>809</v>
      </c>
      <c r="P446" s="253" t="s">
        <v>5281</v>
      </c>
      <c r="Q446" s="186" t="s">
        <v>809</v>
      </c>
      <c r="R446" s="186" t="n">
        <f aca="false">SRC_PRC_045</f>
        <v>0.5</v>
      </c>
      <c r="S446" s="44" t="str">
        <f aca="false">IF(ISNUMBER($AF446),INDEX(IDX_SrcStat,$AF446),"—")</f>
        <v>Active</v>
      </c>
      <c r="T446" s="44" t="n">
        <f aca="false">IF(ISNUMBER($AF446),INDEX(IDX_SrcGrade,$AF446),"—")</f>
        <v>1</v>
      </c>
      <c r="U446" s="30" t="s">
        <v>809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n">
        <f aca="false">IF(OR($H446="—",$H446=""),"—",MATCH($H446,IDX_SrcID,0))</f>
        <v>478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6197</v>
      </c>
      <c r="B447" s="253" t="s">
        <v>6186</v>
      </c>
      <c r="C447" s="30" t="s">
        <v>3335</v>
      </c>
      <c r="D447" s="30" t="s">
        <v>3184</v>
      </c>
      <c r="E447" s="20" t="s">
        <v>6198</v>
      </c>
      <c r="F447" s="30" t="s">
        <v>128</v>
      </c>
      <c r="G447" s="253" t="s">
        <v>111</v>
      </c>
      <c r="H447" s="30" t="s">
        <v>6199</v>
      </c>
      <c r="I447" s="245" t="s">
        <v>6200</v>
      </c>
      <c r="J447" s="30" t="s">
        <v>6201</v>
      </c>
      <c r="K447" s="196" t="n">
        <f aca="false">Cap_In!D13</f>
        <v>0.3</v>
      </c>
      <c r="L447" s="196" t="n">
        <f aca="false">Cap_In!E13</f>
        <v>0.75</v>
      </c>
      <c r="M447" s="30" t="s">
        <v>809</v>
      </c>
      <c r="N447" s="20" t="s">
        <v>6202</v>
      </c>
      <c r="O447" s="6" t="s">
        <v>809</v>
      </c>
      <c r="P447" s="253" t="s">
        <v>5281</v>
      </c>
      <c r="Q447" s="196" t="n">
        <f aca="false">Cap_In!C13</f>
        <v>0.55</v>
      </c>
      <c r="R447" s="186" t="n">
        <f aca="false">SRC_DEM_046</f>
        <v>0.993</v>
      </c>
      <c r="S447" s="44" t="str">
        <f aca="false">IF(ISNUMBER($AF447),INDEX(IDX_SrcStat,$AF447),"—")</f>
        <v>Active</v>
      </c>
      <c r="T447" s="44" t="n">
        <f aca="false">IF(ISNUMBER($AF447),INDEX(IDX_SrcGrade,$AF447),"—")</f>
        <v>1</v>
      </c>
      <c r="U447" s="44" t="s">
        <v>5239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n">
        <f aca="false">IF(OR($H447="—",$H447=""),"—",MATCH($H447,IDX_SrcID,0))</f>
        <v>712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6203</v>
      </c>
      <c r="B448" s="253" t="s">
        <v>6186</v>
      </c>
      <c r="C448" s="30" t="s">
        <v>3335</v>
      </c>
      <c r="D448" s="30" t="s">
        <v>6204</v>
      </c>
      <c r="E448" s="20" t="s">
        <v>6198</v>
      </c>
      <c r="F448" s="30" t="s">
        <v>128</v>
      </c>
      <c r="G448" s="253" t="s">
        <v>6195</v>
      </c>
      <c r="H448" s="30" t="s">
        <v>809</v>
      </c>
      <c r="I448" s="6" t="s">
        <v>809</v>
      </c>
      <c r="J448" s="30" t="s">
        <v>6201</v>
      </c>
      <c r="K448" s="253"/>
      <c r="L448" s="253"/>
      <c r="M448" s="30" t="s">
        <v>6205</v>
      </c>
      <c r="N448" s="20" t="s">
        <v>6206</v>
      </c>
      <c r="O448" s="6" t="s">
        <v>809</v>
      </c>
      <c r="P448" s="253" t="s">
        <v>5281</v>
      </c>
      <c r="Q448" s="186" t="s">
        <v>809</v>
      </c>
      <c r="R448" s="30" t="s">
        <v>809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809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6207</v>
      </c>
      <c r="B449" s="253" t="s">
        <v>6186</v>
      </c>
      <c r="C449" s="30" t="s">
        <v>3335</v>
      </c>
      <c r="D449" s="30" t="s">
        <v>3213</v>
      </c>
      <c r="E449" s="20" t="s">
        <v>6208</v>
      </c>
      <c r="F449" s="30" t="s">
        <v>118</v>
      </c>
      <c r="G449" s="253" t="s">
        <v>111</v>
      </c>
      <c r="H449" s="30" t="s">
        <v>809</v>
      </c>
      <c r="I449" s="6" t="s">
        <v>809</v>
      </c>
      <c r="J449" s="30" t="s">
        <v>5061</v>
      </c>
      <c r="K449" s="194" t="n">
        <f aca="false">Cap_In!D14</f>
        <v>0</v>
      </c>
      <c r="L449" s="194" t="n">
        <f aca="false">Cap_In!E14</f>
        <v>0.5</v>
      </c>
      <c r="M449" s="30" t="s">
        <v>809</v>
      </c>
      <c r="N449" s="6" t="s">
        <v>6209</v>
      </c>
      <c r="O449" s="6" t="s">
        <v>809</v>
      </c>
      <c r="P449" s="253" t="s">
        <v>5238</v>
      </c>
      <c r="Q449" s="194" t="n">
        <f aca="false">Cap_In!C14</f>
        <v>0</v>
      </c>
      <c r="R449" s="30" t="s">
        <v>809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5239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6210</v>
      </c>
      <c r="B450" s="253" t="s">
        <v>6186</v>
      </c>
      <c r="C450" s="30" t="s">
        <v>3335</v>
      </c>
      <c r="D450" s="30" t="s">
        <v>6211</v>
      </c>
      <c r="E450" s="20" t="s">
        <v>6208</v>
      </c>
      <c r="F450" s="30" t="s">
        <v>118</v>
      </c>
      <c r="G450" s="253" t="s">
        <v>6195</v>
      </c>
      <c r="H450" s="30" t="s">
        <v>809</v>
      </c>
      <c r="I450" s="6" t="s">
        <v>809</v>
      </c>
      <c r="J450" s="30" t="s">
        <v>5061</v>
      </c>
      <c r="K450" s="253"/>
      <c r="L450" s="253"/>
      <c r="M450" s="30" t="s">
        <v>6212</v>
      </c>
      <c r="N450" s="6" t="s">
        <v>6209</v>
      </c>
      <c r="O450" s="6" t="s">
        <v>809</v>
      </c>
      <c r="P450" s="253" t="s">
        <v>5238</v>
      </c>
      <c r="Q450" s="186" t="s">
        <v>809</v>
      </c>
      <c r="R450" s="30" t="s">
        <v>809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809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6213</v>
      </c>
      <c r="B451" s="253" t="s">
        <v>6186</v>
      </c>
      <c r="C451" s="30" t="s">
        <v>3335</v>
      </c>
      <c r="D451" s="30" t="s">
        <v>3214</v>
      </c>
      <c r="E451" s="20" t="s">
        <v>6214</v>
      </c>
      <c r="F451" s="253" t="s">
        <v>5979</v>
      </c>
      <c r="G451" s="253" t="s">
        <v>111</v>
      </c>
      <c r="H451" s="30" t="s">
        <v>809</v>
      </c>
      <c r="I451" s="6" t="s">
        <v>809</v>
      </c>
      <c r="J451" s="30" t="s">
        <v>5061</v>
      </c>
      <c r="K451" s="194" t="n">
        <f aca="false">Cap_In!D15</f>
        <v>0.5</v>
      </c>
      <c r="L451" s="194" t="n">
        <f aca="false">Cap_In!E15</f>
        <v>7</v>
      </c>
      <c r="M451" s="30" t="s">
        <v>809</v>
      </c>
      <c r="N451" s="20" t="s">
        <v>6215</v>
      </c>
      <c r="O451" s="6" t="s">
        <v>809</v>
      </c>
      <c r="P451" s="253" t="s">
        <v>5238</v>
      </c>
      <c r="Q451" s="194" t="n">
        <f aca="false">Cap_In!C15</f>
        <v>1</v>
      </c>
      <c r="R451" s="30" t="s">
        <v>809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5239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6216</v>
      </c>
      <c r="B452" s="253" t="s">
        <v>6186</v>
      </c>
      <c r="C452" s="30" t="s">
        <v>3335</v>
      </c>
      <c r="D452" s="30" t="s">
        <v>6217</v>
      </c>
      <c r="E452" s="20" t="s">
        <v>6214</v>
      </c>
      <c r="F452" s="253" t="s">
        <v>5979</v>
      </c>
      <c r="G452" s="253" t="s">
        <v>6195</v>
      </c>
      <c r="H452" s="30" t="s">
        <v>809</v>
      </c>
      <c r="I452" s="6" t="s">
        <v>809</v>
      </c>
      <c r="J452" s="30" t="s">
        <v>5061</v>
      </c>
      <c r="K452" s="253"/>
      <c r="L452" s="253"/>
      <c r="M452" s="30" t="s">
        <v>6218</v>
      </c>
      <c r="N452" s="20" t="s">
        <v>6215</v>
      </c>
      <c r="O452" s="6" t="s">
        <v>809</v>
      </c>
      <c r="P452" s="253" t="s">
        <v>5238</v>
      </c>
      <c r="Q452" s="186" t="s">
        <v>809</v>
      </c>
      <c r="R452" s="30" t="s">
        <v>809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809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6219</v>
      </c>
      <c r="B453" s="253" t="s">
        <v>6186</v>
      </c>
      <c r="C453" s="30" t="s">
        <v>3335</v>
      </c>
      <c r="D453" s="30" t="s">
        <v>6220</v>
      </c>
      <c r="E453" s="20" t="s">
        <v>6221</v>
      </c>
      <c r="F453" s="30" t="s">
        <v>118</v>
      </c>
      <c r="G453" s="253" t="s">
        <v>5883</v>
      </c>
      <c r="H453" s="30" t="s">
        <v>809</v>
      </c>
      <c r="I453" s="6" t="s">
        <v>809</v>
      </c>
      <c r="J453" s="30" t="s">
        <v>6222</v>
      </c>
      <c r="K453" s="253"/>
      <c r="L453" s="253"/>
      <c r="M453" s="30" t="s">
        <v>809</v>
      </c>
      <c r="N453" s="6" t="s">
        <v>6223</v>
      </c>
      <c r="O453" s="6" t="s">
        <v>809</v>
      </c>
      <c r="P453" s="253" t="s">
        <v>5238</v>
      </c>
      <c r="Q453" s="186" t="s">
        <v>809</v>
      </c>
      <c r="R453" s="30" t="s">
        <v>809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809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6224</v>
      </c>
      <c r="B454" s="253" t="s">
        <v>6186</v>
      </c>
      <c r="C454" s="30" t="s">
        <v>3335</v>
      </c>
      <c r="D454" s="30" t="s">
        <v>6225</v>
      </c>
      <c r="E454" s="20" t="s">
        <v>1453</v>
      </c>
      <c r="F454" s="30" t="s">
        <v>128</v>
      </c>
      <c r="G454" s="253" t="s">
        <v>5883</v>
      </c>
      <c r="H454" s="30" t="s">
        <v>809</v>
      </c>
      <c r="I454" s="6" t="s">
        <v>809</v>
      </c>
      <c r="J454" s="30" t="s">
        <v>5064</v>
      </c>
      <c r="K454" s="253"/>
      <c r="L454" s="253"/>
      <c r="M454" s="253" t="s">
        <v>6226</v>
      </c>
      <c r="N454" s="6" t="s">
        <v>6227</v>
      </c>
      <c r="O454" s="6" t="s">
        <v>809</v>
      </c>
      <c r="P454" s="253" t="s">
        <v>5238</v>
      </c>
      <c r="Q454" s="186" t="s">
        <v>809</v>
      </c>
      <c r="R454" s="30" t="s">
        <v>809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809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6228</v>
      </c>
      <c r="B455" s="253" t="s">
        <v>6186</v>
      </c>
      <c r="C455" s="30" t="s">
        <v>3335</v>
      </c>
      <c r="D455" s="30" t="s">
        <v>6229</v>
      </c>
      <c r="E455" s="20" t="s">
        <v>1456</v>
      </c>
      <c r="F455" s="30" t="s">
        <v>128</v>
      </c>
      <c r="G455" s="253" t="s">
        <v>1433</v>
      </c>
      <c r="H455" s="30" t="s">
        <v>809</v>
      </c>
      <c r="I455" s="6" t="s">
        <v>809</v>
      </c>
      <c r="J455" s="30" t="s">
        <v>5064</v>
      </c>
      <c r="K455" s="253"/>
      <c r="L455" s="253"/>
      <c r="M455" s="30" t="s">
        <v>809</v>
      </c>
      <c r="N455" s="6" t="s">
        <v>6227</v>
      </c>
      <c r="O455" s="6" t="s">
        <v>809</v>
      </c>
      <c r="P455" s="253" t="s">
        <v>5238</v>
      </c>
      <c r="Q455" s="186" t="s">
        <v>809</v>
      </c>
      <c r="R455" s="30" t="s">
        <v>809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809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6230</v>
      </c>
      <c r="B456" s="253" t="s">
        <v>6186</v>
      </c>
      <c r="C456" s="30" t="s">
        <v>3335</v>
      </c>
      <c r="D456" s="30" t="s">
        <v>6231</v>
      </c>
      <c r="E456" s="20" t="s">
        <v>1458</v>
      </c>
      <c r="F456" s="30" t="s">
        <v>128</v>
      </c>
      <c r="G456" s="253" t="s">
        <v>1434</v>
      </c>
      <c r="H456" s="30" t="s">
        <v>809</v>
      </c>
      <c r="I456" s="6" t="s">
        <v>809</v>
      </c>
      <c r="J456" s="30" t="s">
        <v>5064</v>
      </c>
      <c r="K456" s="253"/>
      <c r="L456" s="253"/>
      <c r="M456" s="30" t="s">
        <v>809</v>
      </c>
      <c r="N456" s="6" t="s">
        <v>6227</v>
      </c>
      <c r="O456" s="6" t="s">
        <v>809</v>
      </c>
      <c r="P456" s="253" t="s">
        <v>5238</v>
      </c>
      <c r="Q456" s="186" t="s">
        <v>809</v>
      </c>
      <c r="R456" s="30" t="s">
        <v>809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809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6232</v>
      </c>
      <c r="B457" s="253" t="s">
        <v>6186</v>
      </c>
      <c r="C457" s="30" t="s">
        <v>3335</v>
      </c>
      <c r="D457" s="30" t="s">
        <v>3226</v>
      </c>
      <c r="E457" s="20" t="s">
        <v>1461</v>
      </c>
      <c r="F457" s="253" t="s">
        <v>5367</v>
      </c>
      <c r="G457" s="253" t="s">
        <v>111</v>
      </c>
      <c r="H457" s="30" t="s">
        <v>4103</v>
      </c>
      <c r="I457" s="20" t="s">
        <v>6233</v>
      </c>
      <c r="J457" s="30" t="s">
        <v>3312</v>
      </c>
      <c r="K457" s="196" t="n">
        <f aca="false">Cap_In!D28</f>
        <v>0.3</v>
      </c>
      <c r="L457" s="196" t="n">
        <f aca="false">Cap_In!E28</f>
        <v>0.6</v>
      </c>
      <c r="M457" s="30" t="s">
        <v>809</v>
      </c>
      <c r="N457" s="20" t="s">
        <v>6234</v>
      </c>
      <c r="O457" s="6" t="s">
        <v>6235</v>
      </c>
      <c r="P457" s="253" t="s">
        <v>1434</v>
      </c>
      <c r="Q457" s="196" t="n">
        <f aca="false">Cap_In!C28</f>
        <v>0.41</v>
      </c>
      <c r="R457" s="186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5239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670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6236</v>
      </c>
      <c r="B458" s="253" t="s">
        <v>6186</v>
      </c>
      <c r="C458" s="30" t="s">
        <v>3335</v>
      </c>
      <c r="D458" s="30" t="s">
        <v>6237</v>
      </c>
      <c r="E458" s="20" t="s">
        <v>1461</v>
      </c>
      <c r="F458" s="30" t="s">
        <v>128</v>
      </c>
      <c r="G458" s="253" t="s">
        <v>6195</v>
      </c>
      <c r="H458" s="30" t="s">
        <v>809</v>
      </c>
      <c r="I458" s="6" t="s">
        <v>809</v>
      </c>
      <c r="J458" s="30" t="s">
        <v>3312</v>
      </c>
      <c r="K458" s="253"/>
      <c r="L458" s="253"/>
      <c r="M458" s="30" t="s">
        <v>6238</v>
      </c>
      <c r="N458" s="6" t="s">
        <v>6239</v>
      </c>
      <c r="O458" s="6" t="s">
        <v>809</v>
      </c>
      <c r="P458" s="253" t="s">
        <v>1434</v>
      </c>
      <c r="Q458" s="186" t="s">
        <v>809</v>
      </c>
      <c r="R458" s="30" t="s">
        <v>809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809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6240</v>
      </c>
      <c r="B459" s="253" t="s">
        <v>6186</v>
      </c>
      <c r="C459" s="30" t="s">
        <v>3335</v>
      </c>
      <c r="D459" s="30" t="s">
        <v>3192</v>
      </c>
      <c r="E459" s="20" t="s">
        <v>1464</v>
      </c>
      <c r="F459" s="253" t="s">
        <v>5367</v>
      </c>
      <c r="G459" s="253" t="s">
        <v>111</v>
      </c>
      <c r="H459" s="30" t="s">
        <v>4114</v>
      </c>
      <c r="I459" s="20" t="s">
        <v>6241</v>
      </c>
      <c r="J459" s="30" t="s">
        <v>3312</v>
      </c>
      <c r="K459" s="196" t="n">
        <f aca="false">Cap_In!D29</f>
        <v>0.35</v>
      </c>
      <c r="L459" s="196" t="n">
        <f aca="false">Cap_In!E29</f>
        <v>0.6</v>
      </c>
      <c r="M459" s="30" t="s">
        <v>809</v>
      </c>
      <c r="N459" s="20" t="s">
        <v>6242</v>
      </c>
      <c r="O459" s="6" t="s">
        <v>6243</v>
      </c>
      <c r="P459" s="253" t="s">
        <v>1434</v>
      </c>
      <c r="Q459" s="196" t="n">
        <f aca="false">Cap_In!C29</f>
        <v>0.46</v>
      </c>
      <c r="R459" s="186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5239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671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6244</v>
      </c>
      <c r="B460" s="253" t="s">
        <v>6186</v>
      </c>
      <c r="C460" s="30" t="s">
        <v>3335</v>
      </c>
      <c r="D460" s="30" t="s">
        <v>6245</v>
      </c>
      <c r="E460" s="20" t="s">
        <v>1464</v>
      </c>
      <c r="F460" s="30" t="s">
        <v>128</v>
      </c>
      <c r="G460" s="253" t="s">
        <v>6195</v>
      </c>
      <c r="H460" s="30" t="s">
        <v>809</v>
      </c>
      <c r="I460" s="6" t="s">
        <v>809</v>
      </c>
      <c r="J460" s="30" t="s">
        <v>3312</v>
      </c>
      <c r="K460" s="253"/>
      <c r="L460" s="253"/>
      <c r="M460" s="30" t="s">
        <v>6246</v>
      </c>
      <c r="N460" s="6" t="s">
        <v>6247</v>
      </c>
      <c r="O460" s="6" t="s">
        <v>809</v>
      </c>
      <c r="P460" s="253" t="s">
        <v>1434</v>
      </c>
      <c r="Q460" s="186" t="s">
        <v>809</v>
      </c>
      <c r="R460" s="30" t="s">
        <v>809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809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6248</v>
      </c>
      <c r="B461" s="253" t="s">
        <v>6186</v>
      </c>
      <c r="C461" s="30" t="s">
        <v>3335</v>
      </c>
      <c r="D461" s="30" t="s">
        <v>6249</v>
      </c>
      <c r="E461" s="20" t="s">
        <v>6250</v>
      </c>
      <c r="F461" s="30" t="s">
        <v>128</v>
      </c>
      <c r="G461" s="253" t="s">
        <v>5883</v>
      </c>
      <c r="H461" s="30" t="s">
        <v>809</v>
      </c>
      <c r="I461" s="6" t="s">
        <v>809</v>
      </c>
      <c r="J461" s="30" t="s">
        <v>3312</v>
      </c>
      <c r="K461" s="253"/>
      <c r="L461" s="253"/>
      <c r="M461" s="253" t="s">
        <v>6251</v>
      </c>
      <c r="N461" s="6" t="s">
        <v>6252</v>
      </c>
      <c r="O461" s="6" t="s">
        <v>809</v>
      </c>
      <c r="P461" s="253" t="s">
        <v>5238</v>
      </c>
      <c r="Q461" s="186" t="s">
        <v>809</v>
      </c>
      <c r="R461" s="30" t="s">
        <v>809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809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6253</v>
      </c>
      <c r="B462" s="253" t="s">
        <v>6186</v>
      </c>
      <c r="C462" s="30" t="s">
        <v>3335</v>
      </c>
      <c r="D462" s="30" t="s">
        <v>6254</v>
      </c>
      <c r="E462" s="20" t="s">
        <v>6255</v>
      </c>
      <c r="F462" s="30" t="s">
        <v>128</v>
      </c>
      <c r="G462" s="253" t="s">
        <v>5883</v>
      </c>
      <c r="H462" s="30" t="s">
        <v>809</v>
      </c>
      <c r="I462" s="6" t="s">
        <v>809</v>
      </c>
      <c r="J462" s="30" t="s">
        <v>3312</v>
      </c>
      <c r="K462" s="253"/>
      <c r="L462" s="253"/>
      <c r="M462" s="30" t="s">
        <v>6256</v>
      </c>
      <c r="N462" s="6" t="s">
        <v>6257</v>
      </c>
      <c r="O462" s="6" t="s">
        <v>809</v>
      </c>
      <c r="P462" s="253" t="s">
        <v>5238</v>
      </c>
      <c r="Q462" s="186" t="s">
        <v>809</v>
      </c>
      <c r="R462" s="30" t="s">
        <v>809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809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6258</v>
      </c>
      <c r="B463" s="253" t="s">
        <v>6186</v>
      </c>
      <c r="C463" s="30" t="s">
        <v>3335</v>
      </c>
      <c r="D463" s="30" t="s">
        <v>3329</v>
      </c>
      <c r="E463" s="20" t="s">
        <v>6259</v>
      </c>
      <c r="F463" s="30" t="s">
        <v>128</v>
      </c>
      <c r="G463" s="253" t="s">
        <v>111</v>
      </c>
      <c r="H463" s="30" t="s">
        <v>809</v>
      </c>
      <c r="I463" s="6" t="s">
        <v>809</v>
      </c>
      <c r="J463" s="30" t="s">
        <v>6260</v>
      </c>
      <c r="K463" s="33" t="n">
        <f aca="false">Cap_In!D36</f>
        <v>1</v>
      </c>
      <c r="L463" s="33" t="n">
        <f aca="false">Cap_In!E36</f>
        <v>3</v>
      </c>
      <c r="M463" s="30" t="s">
        <v>809</v>
      </c>
      <c r="N463" s="6" t="s">
        <v>6261</v>
      </c>
      <c r="O463" s="6" t="s">
        <v>809</v>
      </c>
      <c r="P463" s="253" t="s">
        <v>1434</v>
      </c>
      <c r="Q463" s="33" t="n">
        <f aca="false">Cap_In!C36</f>
        <v>2</v>
      </c>
      <c r="R463" s="30" t="s">
        <v>809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5239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6262</v>
      </c>
      <c r="B464" s="253" t="s">
        <v>6186</v>
      </c>
      <c r="C464" s="30" t="s">
        <v>3335</v>
      </c>
      <c r="D464" s="30" t="s">
        <v>6263</v>
      </c>
      <c r="E464" s="20" t="s">
        <v>6259</v>
      </c>
      <c r="F464" s="30" t="s">
        <v>128</v>
      </c>
      <c r="G464" s="253" t="s">
        <v>6195</v>
      </c>
      <c r="H464" s="30" t="s">
        <v>809</v>
      </c>
      <c r="I464" s="6" t="s">
        <v>809</v>
      </c>
      <c r="J464" s="30" t="s">
        <v>6260</v>
      </c>
      <c r="K464" s="253"/>
      <c r="L464" s="253"/>
      <c r="M464" s="30" t="s">
        <v>6264</v>
      </c>
      <c r="N464" s="6" t="s">
        <v>6265</v>
      </c>
      <c r="O464" s="6" t="s">
        <v>809</v>
      </c>
      <c r="P464" s="253" t="s">
        <v>5238</v>
      </c>
      <c r="Q464" s="186" t="s">
        <v>809</v>
      </c>
      <c r="R464" s="30" t="s">
        <v>809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809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6266</v>
      </c>
      <c r="B465" s="253" t="s">
        <v>6186</v>
      </c>
      <c r="C465" s="30" t="s">
        <v>3335</v>
      </c>
      <c r="D465" s="30" t="s">
        <v>3331</v>
      </c>
      <c r="E465" s="20" t="s">
        <v>1473</v>
      </c>
      <c r="F465" s="30" t="s">
        <v>128</v>
      </c>
      <c r="G465" s="253" t="s">
        <v>111</v>
      </c>
      <c r="H465" s="30" t="s">
        <v>809</v>
      </c>
      <c r="I465" s="6" t="s">
        <v>809</v>
      </c>
      <c r="J465" s="30" t="s">
        <v>6260</v>
      </c>
      <c r="K465" s="216" t="n">
        <f aca="false">Cap_In!D37</f>
        <v>0.0833333333333333</v>
      </c>
      <c r="L465" s="216" t="n">
        <f aca="false">Cap_In!E37</f>
        <v>1</v>
      </c>
      <c r="M465" s="30" t="s">
        <v>809</v>
      </c>
      <c r="N465" s="6" t="s">
        <v>6267</v>
      </c>
      <c r="O465" s="6" t="s">
        <v>6268</v>
      </c>
      <c r="P465" s="253" t="s">
        <v>1433</v>
      </c>
      <c r="Q465" s="216" t="n">
        <f aca="false">Cap_In!C37</f>
        <v>0.0833333333333333</v>
      </c>
      <c r="R465" s="30" t="s">
        <v>809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5239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6269</v>
      </c>
      <c r="B466" s="253" t="s">
        <v>6186</v>
      </c>
      <c r="C466" s="30" t="s">
        <v>3335</v>
      </c>
      <c r="D466" s="30" t="s">
        <v>6270</v>
      </c>
      <c r="E466" s="20" t="s">
        <v>1473</v>
      </c>
      <c r="F466" s="30" t="s">
        <v>128</v>
      </c>
      <c r="G466" s="253" t="s">
        <v>6195</v>
      </c>
      <c r="H466" s="30" t="s">
        <v>809</v>
      </c>
      <c r="I466" s="6" t="s">
        <v>809</v>
      </c>
      <c r="J466" s="30" t="s">
        <v>6260</v>
      </c>
      <c r="K466" s="253"/>
      <c r="L466" s="253"/>
      <c r="M466" s="30" t="s">
        <v>6271</v>
      </c>
      <c r="N466" s="6" t="s">
        <v>6272</v>
      </c>
      <c r="O466" s="6" t="s">
        <v>809</v>
      </c>
      <c r="P466" s="253" t="s">
        <v>1433</v>
      </c>
      <c r="Q466" s="186" t="s">
        <v>809</v>
      </c>
      <c r="R466" s="30" t="s">
        <v>809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809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6273</v>
      </c>
      <c r="B467" s="253" t="s">
        <v>6186</v>
      </c>
      <c r="C467" s="30" t="s">
        <v>3335</v>
      </c>
      <c r="D467" s="30" t="s">
        <v>3332</v>
      </c>
      <c r="E467" s="20" t="s">
        <v>1475</v>
      </c>
      <c r="F467" s="30" t="s">
        <v>128</v>
      </c>
      <c r="G467" s="253" t="s">
        <v>111</v>
      </c>
      <c r="H467" s="30" t="s">
        <v>809</v>
      </c>
      <c r="I467" s="6" t="s">
        <v>809</v>
      </c>
      <c r="J467" s="30" t="s">
        <v>6260</v>
      </c>
      <c r="K467" s="33" t="n">
        <f aca="false">Cap_In!D38</f>
        <v>1</v>
      </c>
      <c r="L467" s="33" t="n">
        <f aca="false">Cap_In!E38</f>
        <v>20</v>
      </c>
      <c r="M467" s="30" t="s">
        <v>809</v>
      </c>
      <c r="N467" s="6" t="s">
        <v>6274</v>
      </c>
      <c r="O467" s="6" t="s">
        <v>809</v>
      </c>
      <c r="P467" s="253" t="s">
        <v>1433</v>
      </c>
      <c r="Q467" s="33" t="n">
        <f aca="false">Cap_In!C38</f>
        <v>5</v>
      </c>
      <c r="R467" s="30" t="s">
        <v>809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5239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6275</v>
      </c>
      <c r="B468" s="253" t="s">
        <v>6186</v>
      </c>
      <c r="C468" s="30" t="s">
        <v>3335</v>
      </c>
      <c r="D468" s="30" t="s">
        <v>6276</v>
      </c>
      <c r="E468" s="20" t="s">
        <v>1475</v>
      </c>
      <c r="F468" s="30" t="s">
        <v>128</v>
      </c>
      <c r="G468" s="253" t="s">
        <v>6195</v>
      </c>
      <c r="H468" s="30" t="s">
        <v>809</v>
      </c>
      <c r="I468" s="6" t="s">
        <v>809</v>
      </c>
      <c r="J468" s="30" t="s">
        <v>6260</v>
      </c>
      <c r="K468" s="253"/>
      <c r="L468" s="253"/>
      <c r="M468" s="30" t="s">
        <v>6277</v>
      </c>
      <c r="N468" s="6" t="s">
        <v>6278</v>
      </c>
      <c r="O468" s="6" t="s">
        <v>809</v>
      </c>
      <c r="P468" s="253" t="s">
        <v>1433</v>
      </c>
      <c r="Q468" s="186" t="s">
        <v>809</v>
      </c>
      <c r="R468" s="30" t="s">
        <v>809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809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6279</v>
      </c>
      <c r="B469" s="253" t="s">
        <v>6186</v>
      </c>
      <c r="C469" s="30" t="s">
        <v>3335</v>
      </c>
      <c r="D469" s="30" t="s">
        <v>3336</v>
      </c>
      <c r="E469" s="6" t="s">
        <v>1478</v>
      </c>
      <c r="F469" s="30" t="s">
        <v>128</v>
      </c>
      <c r="G469" s="253" t="s">
        <v>111</v>
      </c>
      <c r="H469" s="30" t="s">
        <v>809</v>
      </c>
      <c r="I469" s="6" t="s">
        <v>809</v>
      </c>
      <c r="J469" s="30" t="s">
        <v>6260</v>
      </c>
      <c r="K469" s="194" t="n">
        <f aca="false">Cap_In!D39</f>
        <v>5</v>
      </c>
      <c r="L469" s="194" t="n">
        <f aca="false">Cap_In!E39</f>
        <v>20</v>
      </c>
      <c r="M469" s="30" t="s">
        <v>809</v>
      </c>
      <c r="N469" s="6" t="s">
        <v>6280</v>
      </c>
      <c r="O469" s="6" t="s">
        <v>809</v>
      </c>
      <c r="P469" s="253" t="s">
        <v>1433</v>
      </c>
      <c r="Q469" s="194" t="n">
        <f aca="false">Cap_In!C39</f>
        <v>10</v>
      </c>
      <c r="R469" s="30" t="s">
        <v>809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5239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6281</v>
      </c>
      <c r="B470" s="253" t="s">
        <v>6186</v>
      </c>
      <c r="C470" s="30" t="s">
        <v>3335</v>
      </c>
      <c r="D470" s="30" t="s">
        <v>6282</v>
      </c>
      <c r="E470" s="6" t="s">
        <v>1478</v>
      </c>
      <c r="F470" s="30" t="s">
        <v>128</v>
      </c>
      <c r="G470" s="253" t="s">
        <v>6195</v>
      </c>
      <c r="H470" s="30" t="s">
        <v>809</v>
      </c>
      <c r="I470" s="6" t="s">
        <v>809</v>
      </c>
      <c r="J470" s="30" t="s">
        <v>6260</v>
      </c>
      <c r="K470" s="253"/>
      <c r="L470" s="253"/>
      <c r="M470" s="30" t="s">
        <v>6283</v>
      </c>
      <c r="N470" s="6" t="s">
        <v>6284</v>
      </c>
      <c r="O470" s="6" t="s">
        <v>809</v>
      </c>
      <c r="P470" s="253" t="s">
        <v>1433</v>
      </c>
      <c r="Q470" s="186" t="s">
        <v>809</v>
      </c>
      <c r="R470" s="30" t="s">
        <v>809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809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6285</v>
      </c>
      <c r="B471" s="253" t="s">
        <v>6186</v>
      </c>
      <c r="C471" s="30" t="s">
        <v>3335</v>
      </c>
      <c r="D471" s="30" t="s">
        <v>3337</v>
      </c>
      <c r="E471" s="6" t="s">
        <v>1481</v>
      </c>
      <c r="F471" s="30" t="s">
        <v>128</v>
      </c>
      <c r="G471" s="253" t="s">
        <v>111</v>
      </c>
      <c r="H471" s="30" t="s">
        <v>809</v>
      </c>
      <c r="I471" s="6" t="s">
        <v>809</v>
      </c>
      <c r="J471" s="30" t="s">
        <v>6260</v>
      </c>
      <c r="K471" s="33" t="n">
        <f aca="false">Cap_In!D40</f>
        <v>3</v>
      </c>
      <c r="L471" s="33" t="n">
        <f aca="false">Cap_In!E40</f>
        <v>6</v>
      </c>
      <c r="M471" s="30" t="s">
        <v>809</v>
      </c>
      <c r="N471" s="6" t="s">
        <v>6286</v>
      </c>
      <c r="O471" s="6" t="s">
        <v>809</v>
      </c>
      <c r="P471" s="253" t="s">
        <v>1433</v>
      </c>
      <c r="Q471" s="33" t="n">
        <f aca="false">Cap_In!C40</f>
        <v>4</v>
      </c>
      <c r="R471" s="30" t="s">
        <v>809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5239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6287</v>
      </c>
      <c r="B472" s="253" t="s">
        <v>6186</v>
      </c>
      <c r="C472" s="30" t="s">
        <v>3335</v>
      </c>
      <c r="D472" s="30" t="s">
        <v>6288</v>
      </c>
      <c r="E472" s="6" t="s">
        <v>1481</v>
      </c>
      <c r="F472" s="30" t="s">
        <v>128</v>
      </c>
      <c r="G472" s="253" t="s">
        <v>6195</v>
      </c>
      <c r="H472" s="30" t="s">
        <v>809</v>
      </c>
      <c r="I472" s="6" t="s">
        <v>809</v>
      </c>
      <c r="J472" s="30" t="s">
        <v>6260</v>
      </c>
      <c r="K472" s="253"/>
      <c r="L472" s="253"/>
      <c r="M472" s="30" t="s">
        <v>6289</v>
      </c>
      <c r="N472" s="6" t="s">
        <v>1481</v>
      </c>
      <c r="O472" s="6" t="s">
        <v>809</v>
      </c>
      <c r="P472" s="253" t="s">
        <v>1433</v>
      </c>
      <c r="Q472" s="186" t="s">
        <v>809</v>
      </c>
      <c r="R472" s="30" t="s">
        <v>809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809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6290</v>
      </c>
      <c r="B473" s="253" t="s">
        <v>6186</v>
      </c>
      <c r="C473" s="30" t="s">
        <v>3335</v>
      </c>
      <c r="D473" s="30" t="s">
        <v>3338</v>
      </c>
      <c r="E473" s="6" t="s">
        <v>1482</v>
      </c>
      <c r="F473" s="30" t="s">
        <v>128</v>
      </c>
      <c r="G473" s="253" t="s">
        <v>111</v>
      </c>
      <c r="H473" s="30" t="s">
        <v>809</v>
      </c>
      <c r="I473" s="6" t="s">
        <v>809</v>
      </c>
      <c r="J473" s="30" t="s">
        <v>6260</v>
      </c>
      <c r="K473" s="194" t="n">
        <f aca="false">Cap_In!D41</f>
        <v>0.05</v>
      </c>
      <c r="L473" s="194" t="n">
        <f aca="false">Cap_In!E41</f>
        <v>0.3</v>
      </c>
      <c r="M473" s="30" t="s">
        <v>809</v>
      </c>
      <c r="N473" s="20" t="s">
        <v>6291</v>
      </c>
      <c r="O473" s="6" t="s">
        <v>809</v>
      </c>
      <c r="P473" s="253" t="s">
        <v>5238</v>
      </c>
      <c r="Q473" s="194" t="n">
        <f aca="false">Cap_In!C41</f>
        <v>0.1</v>
      </c>
      <c r="R473" s="30" t="s">
        <v>809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5239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6292</v>
      </c>
      <c r="B474" s="253" t="s">
        <v>6186</v>
      </c>
      <c r="C474" s="30" t="s">
        <v>3335</v>
      </c>
      <c r="D474" s="30" t="s">
        <v>6293</v>
      </c>
      <c r="E474" s="6" t="s">
        <v>1482</v>
      </c>
      <c r="F474" s="30" t="s">
        <v>128</v>
      </c>
      <c r="G474" s="253" t="s">
        <v>6195</v>
      </c>
      <c r="H474" s="30" t="s">
        <v>809</v>
      </c>
      <c r="I474" s="6" t="s">
        <v>809</v>
      </c>
      <c r="J474" s="30" t="s">
        <v>6260</v>
      </c>
      <c r="K474" s="253"/>
      <c r="L474" s="253"/>
      <c r="M474" s="30" t="s">
        <v>6294</v>
      </c>
      <c r="N474" s="20" t="s">
        <v>6291</v>
      </c>
      <c r="O474" s="6" t="s">
        <v>809</v>
      </c>
      <c r="P474" s="253" t="s">
        <v>5238</v>
      </c>
      <c r="Q474" s="186" t="s">
        <v>809</v>
      </c>
      <c r="R474" s="30" t="s">
        <v>809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809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6295</v>
      </c>
      <c r="B475" s="253" t="s">
        <v>6186</v>
      </c>
      <c r="C475" s="30" t="s">
        <v>3335</v>
      </c>
      <c r="D475" s="30" t="s">
        <v>3339</v>
      </c>
      <c r="E475" s="6" t="s">
        <v>1484</v>
      </c>
      <c r="F475" s="30" t="s">
        <v>128</v>
      </c>
      <c r="G475" s="253" t="s">
        <v>111</v>
      </c>
      <c r="H475" s="30" t="s">
        <v>809</v>
      </c>
      <c r="I475" s="6" t="s">
        <v>809</v>
      </c>
      <c r="J475" s="30" t="s">
        <v>6260</v>
      </c>
      <c r="K475" s="33" t="n">
        <f aca="false">Cap_In!D42</f>
        <v>3</v>
      </c>
      <c r="L475" s="33" t="n">
        <f aca="false">Cap_In!E42</f>
        <v>6</v>
      </c>
      <c r="M475" s="30" t="s">
        <v>809</v>
      </c>
      <c r="N475" s="6" t="s">
        <v>1484</v>
      </c>
      <c r="O475" s="6" t="s">
        <v>809</v>
      </c>
      <c r="P475" s="253" t="s">
        <v>5238</v>
      </c>
      <c r="Q475" s="33" t="n">
        <f aca="false">Cap_In!C42</f>
        <v>5</v>
      </c>
      <c r="R475" s="30" t="s">
        <v>809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5239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6296</v>
      </c>
      <c r="B476" s="253" t="s">
        <v>6186</v>
      </c>
      <c r="C476" s="30" t="s">
        <v>3335</v>
      </c>
      <c r="D476" s="30" t="s">
        <v>6297</v>
      </c>
      <c r="E476" s="6" t="s">
        <v>1484</v>
      </c>
      <c r="F476" s="30" t="s">
        <v>128</v>
      </c>
      <c r="G476" s="253" t="s">
        <v>6195</v>
      </c>
      <c r="H476" s="30" t="s">
        <v>809</v>
      </c>
      <c r="I476" s="6" t="s">
        <v>809</v>
      </c>
      <c r="J476" s="30" t="s">
        <v>6260</v>
      </c>
      <c r="K476" s="253"/>
      <c r="L476" s="253"/>
      <c r="M476" s="30" t="s">
        <v>6298</v>
      </c>
      <c r="N476" s="6" t="s">
        <v>1484</v>
      </c>
      <c r="O476" s="6" t="s">
        <v>809</v>
      </c>
      <c r="P476" s="253" t="s">
        <v>5238</v>
      </c>
      <c r="Q476" s="186" t="s">
        <v>809</v>
      </c>
      <c r="R476" s="30" t="s">
        <v>809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809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6299</v>
      </c>
      <c r="B477" s="253" t="s">
        <v>6186</v>
      </c>
      <c r="C477" s="30" t="s">
        <v>3335</v>
      </c>
      <c r="D477" s="30" t="s">
        <v>6300</v>
      </c>
      <c r="E477" s="6" t="s">
        <v>1498</v>
      </c>
      <c r="F477" s="253" t="s">
        <v>6301</v>
      </c>
      <c r="G477" s="253" t="s">
        <v>5883</v>
      </c>
      <c r="H477" s="30" t="s">
        <v>6302</v>
      </c>
      <c r="I477" s="20" t="s">
        <v>6303</v>
      </c>
      <c r="J477" s="30" t="s">
        <v>6222</v>
      </c>
      <c r="K477" s="253"/>
      <c r="L477" s="253"/>
      <c r="M477" s="253" t="s">
        <v>5023</v>
      </c>
      <c r="N477" s="20" t="s">
        <v>6304</v>
      </c>
      <c r="O477" s="6" t="s">
        <v>809</v>
      </c>
      <c r="P477" s="253" t="s">
        <v>5238</v>
      </c>
      <c r="Q477" s="186" t="s">
        <v>809</v>
      </c>
      <c r="R477" s="186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809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460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6305</v>
      </c>
      <c r="B478" s="253" t="s">
        <v>6186</v>
      </c>
      <c r="C478" s="30" t="s">
        <v>3335</v>
      </c>
      <c r="D478" s="30" t="s">
        <v>6306</v>
      </c>
      <c r="E478" s="6" t="s">
        <v>1498</v>
      </c>
      <c r="F478" s="30" t="s">
        <v>5299</v>
      </c>
      <c r="G478" s="253" t="s">
        <v>5883</v>
      </c>
      <c r="H478" s="30" t="s">
        <v>809</v>
      </c>
      <c r="I478" s="6" t="s">
        <v>809</v>
      </c>
      <c r="J478" s="30" t="s">
        <v>6307</v>
      </c>
      <c r="K478" s="253"/>
      <c r="L478" s="253"/>
      <c r="M478" s="253" t="s">
        <v>5023</v>
      </c>
      <c r="N478" s="20" t="s">
        <v>6308</v>
      </c>
      <c r="O478" s="6" t="s">
        <v>809</v>
      </c>
      <c r="P478" s="253" t="s">
        <v>5238</v>
      </c>
      <c r="Q478" s="186" t="s">
        <v>809</v>
      </c>
      <c r="R478" s="30" t="s">
        <v>809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809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6309</v>
      </c>
      <c r="B479" s="253" t="s">
        <v>6186</v>
      </c>
      <c r="C479" s="30" t="s">
        <v>3335</v>
      </c>
      <c r="D479" s="30" t="s">
        <v>6310</v>
      </c>
      <c r="E479" s="6" t="s">
        <v>1513</v>
      </c>
      <c r="F479" s="30" t="s">
        <v>128</v>
      </c>
      <c r="G479" s="253" t="s">
        <v>5235</v>
      </c>
      <c r="H479" s="30" t="s">
        <v>809</v>
      </c>
      <c r="I479" s="6" t="s">
        <v>809</v>
      </c>
      <c r="J479" s="30" t="s">
        <v>5055</v>
      </c>
      <c r="K479" s="255" t="n">
        <v>0.125</v>
      </c>
      <c r="L479" s="255" t="n">
        <v>0.5</v>
      </c>
      <c r="M479" s="30" t="s">
        <v>6311</v>
      </c>
      <c r="N479" s="6" t="s">
        <v>6312</v>
      </c>
      <c r="O479" s="6" t="s">
        <v>6313</v>
      </c>
      <c r="P479" s="253" t="s">
        <v>5238</v>
      </c>
      <c r="Q479" s="46" t="n">
        <f aca="false">Cap_In!F50</f>
        <v>0.5</v>
      </c>
      <c r="R479" s="30" t="s">
        <v>809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5239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6314</v>
      </c>
      <c r="B480" s="253" t="s">
        <v>6186</v>
      </c>
      <c r="C480" s="30" t="s">
        <v>3335</v>
      </c>
      <c r="D480" s="30" t="s">
        <v>6315</v>
      </c>
      <c r="E480" s="6" t="s">
        <v>1516</v>
      </c>
      <c r="F480" s="30" t="s">
        <v>128</v>
      </c>
      <c r="G480" s="253" t="s">
        <v>5235</v>
      </c>
      <c r="H480" s="30" t="s">
        <v>809</v>
      </c>
      <c r="I480" s="6" t="s">
        <v>809</v>
      </c>
      <c r="J480" s="30" t="s">
        <v>5055</v>
      </c>
      <c r="K480" s="255" t="n">
        <v>0.1</v>
      </c>
      <c r="L480" s="255" t="n">
        <v>0.4</v>
      </c>
      <c r="M480" s="30" t="s">
        <v>6316</v>
      </c>
      <c r="N480" s="6" t="s">
        <v>6317</v>
      </c>
      <c r="O480" s="6" t="s">
        <v>6313</v>
      </c>
      <c r="P480" s="253" t="s">
        <v>5238</v>
      </c>
      <c r="Q480" s="46" t="n">
        <f aca="false">Cap_In!F51</f>
        <v>0.2</v>
      </c>
      <c r="R480" s="30" t="s">
        <v>809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5239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6318</v>
      </c>
      <c r="B481" s="253" t="s">
        <v>6186</v>
      </c>
      <c r="C481" s="30" t="s">
        <v>3335</v>
      </c>
      <c r="D481" s="30" t="s">
        <v>6319</v>
      </c>
      <c r="E481" s="6" t="s">
        <v>1525</v>
      </c>
      <c r="F481" s="30" t="s">
        <v>133</v>
      </c>
      <c r="G481" s="253" t="s">
        <v>5235</v>
      </c>
      <c r="H481" s="30" t="s">
        <v>6320</v>
      </c>
      <c r="I481" s="20" t="s">
        <v>6321</v>
      </c>
      <c r="J481" s="30" t="s">
        <v>809</v>
      </c>
      <c r="K481" s="255" t="n">
        <v>33</v>
      </c>
      <c r="L481" s="255" t="n">
        <v>39</v>
      </c>
      <c r="M481" s="30" t="s">
        <v>6322</v>
      </c>
      <c r="N481" s="20" t="s">
        <v>6323</v>
      </c>
      <c r="O481" s="6" t="s">
        <v>6324</v>
      </c>
      <c r="P481" s="253" t="s">
        <v>5238</v>
      </c>
      <c r="Q481" s="33" t="n">
        <f aca="false">Cap_In!I53</f>
        <v>36</v>
      </c>
      <c r="R481" s="186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5239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536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6325</v>
      </c>
      <c r="B482" s="253" t="s">
        <v>6186</v>
      </c>
      <c r="C482" s="30" t="s">
        <v>3335</v>
      </c>
      <c r="D482" s="30" t="s">
        <v>6326</v>
      </c>
      <c r="E482" s="6" t="s">
        <v>1533</v>
      </c>
      <c r="F482" s="30" t="s">
        <v>133</v>
      </c>
      <c r="G482" s="253" t="s">
        <v>5235</v>
      </c>
      <c r="H482" s="30" t="s">
        <v>6327</v>
      </c>
      <c r="I482" s="20" t="s">
        <v>6328</v>
      </c>
      <c r="J482" s="30" t="s">
        <v>809</v>
      </c>
      <c r="K482" s="255" t="n">
        <v>37</v>
      </c>
      <c r="L482" s="255" t="n">
        <v>43</v>
      </c>
      <c r="M482" s="30" t="s">
        <v>6329</v>
      </c>
      <c r="N482" s="20" t="s">
        <v>6330</v>
      </c>
      <c r="O482" s="6" t="s">
        <v>6331</v>
      </c>
      <c r="P482" s="253" t="s">
        <v>5238</v>
      </c>
      <c r="Q482" s="33" t="n">
        <f aca="false">Cap_In!I56</f>
        <v>40</v>
      </c>
      <c r="R482" s="186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5239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535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6332</v>
      </c>
      <c r="B483" s="253" t="s">
        <v>6186</v>
      </c>
      <c r="C483" s="30" t="s">
        <v>6333</v>
      </c>
      <c r="D483" s="30" t="s">
        <v>3228</v>
      </c>
      <c r="E483" s="20" t="s">
        <v>6334</v>
      </c>
      <c r="F483" s="30" t="s">
        <v>118</v>
      </c>
      <c r="G483" s="253" t="s">
        <v>5235</v>
      </c>
      <c r="H483" s="30" t="s">
        <v>809</v>
      </c>
      <c r="I483" s="6" t="s">
        <v>809</v>
      </c>
      <c r="J483" s="30" t="s">
        <v>5857</v>
      </c>
      <c r="K483" s="253"/>
      <c r="L483" s="253"/>
      <c r="M483" s="253" t="s">
        <v>5023</v>
      </c>
      <c r="N483" s="6" t="s">
        <v>6335</v>
      </c>
      <c r="O483" s="6" t="s">
        <v>809</v>
      </c>
      <c r="P483" s="253" t="s">
        <v>5238</v>
      </c>
      <c r="Q483" s="33" t="n">
        <f aca="false">Har_In!C5</f>
        <v>2</v>
      </c>
      <c r="R483" s="30" t="s">
        <v>809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5239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6336</v>
      </c>
      <c r="B484" s="253" t="s">
        <v>6186</v>
      </c>
      <c r="C484" s="30" t="s">
        <v>6333</v>
      </c>
      <c r="D484" s="30" t="s">
        <v>3173</v>
      </c>
      <c r="E484" s="20" t="s">
        <v>6337</v>
      </c>
      <c r="F484" s="30" t="s">
        <v>118</v>
      </c>
      <c r="G484" s="253" t="s">
        <v>5235</v>
      </c>
      <c r="H484" s="30" t="s">
        <v>809</v>
      </c>
      <c r="I484" s="6" t="s">
        <v>809</v>
      </c>
      <c r="J484" s="30" t="s">
        <v>5072</v>
      </c>
      <c r="K484" s="255" t="n">
        <v>0</v>
      </c>
      <c r="L484" s="255" t="n">
        <v>0.8</v>
      </c>
      <c r="M484" s="30" t="s">
        <v>6338</v>
      </c>
      <c r="N484" s="6" t="s">
        <v>6339</v>
      </c>
      <c r="O484" s="6" t="s">
        <v>809</v>
      </c>
      <c r="P484" s="253" t="s">
        <v>5238</v>
      </c>
      <c r="Q484" s="196" t="n">
        <f aca="false">Har_In!C8</f>
        <v>0.5</v>
      </c>
      <c r="R484" s="30" t="s">
        <v>809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5239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6340</v>
      </c>
      <c r="B485" s="253" t="s">
        <v>6186</v>
      </c>
      <c r="C485" s="30" t="s">
        <v>6333</v>
      </c>
      <c r="D485" s="30" t="s">
        <v>6341</v>
      </c>
      <c r="E485" s="20" t="s">
        <v>2390</v>
      </c>
      <c r="F485" s="30" t="s">
        <v>128</v>
      </c>
      <c r="G485" s="253" t="s">
        <v>5883</v>
      </c>
      <c r="H485" s="30" t="s">
        <v>809</v>
      </c>
      <c r="I485" s="6" t="s">
        <v>809</v>
      </c>
      <c r="J485" s="30" t="s">
        <v>6342</v>
      </c>
      <c r="K485" s="253"/>
      <c r="L485" s="253"/>
      <c r="M485" s="30" t="s">
        <v>6343</v>
      </c>
      <c r="N485" s="20" t="s">
        <v>6344</v>
      </c>
      <c r="O485" s="6" t="s">
        <v>809</v>
      </c>
      <c r="P485" s="253" t="s">
        <v>5238</v>
      </c>
      <c r="Q485" s="186" t="s">
        <v>809</v>
      </c>
      <c r="R485" s="30" t="s">
        <v>809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809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6345</v>
      </c>
      <c r="B486" s="253" t="s">
        <v>6186</v>
      </c>
      <c r="C486" s="30" t="s">
        <v>6333</v>
      </c>
      <c r="D486" s="30" t="s">
        <v>6346</v>
      </c>
      <c r="E486" s="20" t="s">
        <v>6347</v>
      </c>
      <c r="F486" s="30" t="s">
        <v>128</v>
      </c>
      <c r="G486" s="253" t="s">
        <v>5883</v>
      </c>
      <c r="H486" s="30" t="s">
        <v>809</v>
      </c>
      <c r="I486" s="6" t="s">
        <v>809</v>
      </c>
      <c r="J486" s="30" t="s">
        <v>5853</v>
      </c>
      <c r="K486" s="253"/>
      <c r="L486" s="253"/>
      <c r="M486" s="30" t="s">
        <v>6348</v>
      </c>
      <c r="N486" s="20" t="s">
        <v>6349</v>
      </c>
      <c r="O486" s="6" t="s">
        <v>6350</v>
      </c>
      <c r="P486" s="253" t="s">
        <v>5238</v>
      </c>
      <c r="Q486" s="186" t="s">
        <v>809</v>
      </c>
      <c r="R486" s="30" t="s">
        <v>809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809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6351</v>
      </c>
      <c r="B487" s="253" t="s">
        <v>6186</v>
      </c>
      <c r="C487" s="30" t="s">
        <v>6333</v>
      </c>
      <c r="D487" s="30" t="s">
        <v>6352</v>
      </c>
      <c r="E487" s="20" t="s">
        <v>2395</v>
      </c>
      <c r="F487" s="30" t="s">
        <v>128</v>
      </c>
      <c r="G487" s="253" t="s">
        <v>5883</v>
      </c>
      <c r="H487" s="30" t="s">
        <v>809</v>
      </c>
      <c r="I487" s="6" t="s">
        <v>809</v>
      </c>
      <c r="J487" s="30" t="s">
        <v>5853</v>
      </c>
      <c r="K487" s="253"/>
      <c r="L487" s="253"/>
      <c r="M487" s="30" t="s">
        <v>6353</v>
      </c>
      <c r="N487" s="20" t="s">
        <v>6354</v>
      </c>
      <c r="O487" s="6" t="s">
        <v>809</v>
      </c>
      <c r="P487" s="253" t="s">
        <v>5238</v>
      </c>
      <c r="Q487" s="186" t="s">
        <v>809</v>
      </c>
      <c r="R487" s="30" t="s">
        <v>809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809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6355</v>
      </c>
      <c r="B488" s="253" t="s">
        <v>6186</v>
      </c>
      <c r="C488" s="30" t="s">
        <v>6333</v>
      </c>
      <c r="D488" s="30" t="s">
        <v>6356</v>
      </c>
      <c r="E488" s="20" t="s">
        <v>6357</v>
      </c>
      <c r="F488" s="30" t="s">
        <v>128</v>
      </c>
      <c r="G488" s="253" t="s">
        <v>5883</v>
      </c>
      <c r="H488" s="30" t="s">
        <v>809</v>
      </c>
      <c r="I488" s="6" t="s">
        <v>809</v>
      </c>
      <c r="J488" s="30" t="s">
        <v>5853</v>
      </c>
      <c r="K488" s="253"/>
      <c r="L488" s="253"/>
      <c r="M488" s="30" t="s">
        <v>6358</v>
      </c>
      <c r="N488" s="20" t="s">
        <v>6359</v>
      </c>
      <c r="O488" s="6" t="s">
        <v>809</v>
      </c>
      <c r="P488" s="253" t="s">
        <v>5238</v>
      </c>
      <c r="Q488" s="186" t="s">
        <v>809</v>
      </c>
      <c r="R488" s="30" t="s">
        <v>809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809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6360</v>
      </c>
      <c r="B489" s="253" t="s">
        <v>6186</v>
      </c>
      <c r="C489" s="30" t="s">
        <v>6333</v>
      </c>
      <c r="D489" s="30" t="s">
        <v>6361</v>
      </c>
      <c r="E489" s="20" t="s">
        <v>2399</v>
      </c>
      <c r="F489" s="30" t="s">
        <v>128</v>
      </c>
      <c r="G489" s="253" t="s">
        <v>5883</v>
      </c>
      <c r="H489" s="30" t="s">
        <v>809</v>
      </c>
      <c r="I489" s="6" t="s">
        <v>809</v>
      </c>
      <c r="J489" s="30" t="s">
        <v>5853</v>
      </c>
      <c r="K489" s="253"/>
      <c r="L489" s="253"/>
      <c r="M489" s="30" t="s">
        <v>6362</v>
      </c>
      <c r="N489" s="20" t="s">
        <v>6363</v>
      </c>
      <c r="O489" s="6" t="s">
        <v>809</v>
      </c>
      <c r="P489" s="253" t="s">
        <v>5238</v>
      </c>
      <c r="Q489" s="186" t="s">
        <v>809</v>
      </c>
      <c r="R489" s="30" t="s">
        <v>809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809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6364</v>
      </c>
      <c r="B490" s="253" t="s">
        <v>6186</v>
      </c>
      <c r="C490" s="30" t="s">
        <v>6333</v>
      </c>
      <c r="D490" s="30" t="s">
        <v>6365</v>
      </c>
      <c r="E490" s="20" t="s">
        <v>2402</v>
      </c>
      <c r="F490" s="30" t="s">
        <v>128</v>
      </c>
      <c r="G490" s="253" t="s">
        <v>5883</v>
      </c>
      <c r="H490" s="30" t="s">
        <v>809</v>
      </c>
      <c r="I490" s="6" t="s">
        <v>809</v>
      </c>
      <c r="J490" s="30" t="s">
        <v>5853</v>
      </c>
      <c r="K490" s="253"/>
      <c r="L490" s="253"/>
      <c r="M490" s="30" t="s">
        <v>6366</v>
      </c>
      <c r="N490" s="20" t="s">
        <v>6367</v>
      </c>
      <c r="O490" s="6" t="s">
        <v>809</v>
      </c>
      <c r="P490" s="253" t="s">
        <v>5238</v>
      </c>
      <c r="Q490" s="186" t="s">
        <v>809</v>
      </c>
      <c r="R490" s="30" t="s">
        <v>809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809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6368</v>
      </c>
      <c r="B491" s="253" t="s">
        <v>6186</v>
      </c>
      <c r="C491" s="30" t="s">
        <v>6333</v>
      </c>
      <c r="D491" s="30" t="s">
        <v>6369</v>
      </c>
      <c r="E491" s="20" t="s">
        <v>2406</v>
      </c>
      <c r="F491" s="30" t="s">
        <v>128</v>
      </c>
      <c r="G491" s="253" t="s">
        <v>5883</v>
      </c>
      <c r="H491" s="30" t="s">
        <v>809</v>
      </c>
      <c r="I491" s="6" t="s">
        <v>809</v>
      </c>
      <c r="J491" s="30" t="s">
        <v>5853</v>
      </c>
      <c r="K491" s="253"/>
      <c r="L491" s="253"/>
      <c r="M491" s="30" t="s">
        <v>6370</v>
      </c>
      <c r="N491" s="20" t="s">
        <v>6371</v>
      </c>
      <c r="O491" s="6" t="s">
        <v>809</v>
      </c>
      <c r="P491" s="253" t="s">
        <v>5238</v>
      </c>
      <c r="Q491" s="186" t="s">
        <v>809</v>
      </c>
      <c r="R491" s="30" t="s">
        <v>809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809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6372</v>
      </c>
      <c r="B492" s="253" t="s">
        <v>6186</v>
      </c>
      <c r="C492" s="30" t="s">
        <v>6333</v>
      </c>
      <c r="D492" s="30" t="s">
        <v>6373</v>
      </c>
      <c r="E492" s="20" t="s">
        <v>2404</v>
      </c>
      <c r="F492" s="30" t="s">
        <v>133</v>
      </c>
      <c r="G492" s="253" t="s">
        <v>5883</v>
      </c>
      <c r="H492" s="30" t="s">
        <v>6374</v>
      </c>
      <c r="I492" s="20" t="s">
        <v>6375</v>
      </c>
      <c r="J492" s="30" t="s">
        <v>809</v>
      </c>
      <c r="K492" s="253"/>
      <c r="L492" s="253"/>
      <c r="M492" s="30" t="s">
        <v>6376</v>
      </c>
      <c r="N492" s="20" t="s">
        <v>6377</v>
      </c>
      <c r="O492" s="6" t="s">
        <v>809</v>
      </c>
      <c r="P492" s="253" t="s">
        <v>5238</v>
      </c>
      <c r="Q492" s="186" t="s">
        <v>809</v>
      </c>
      <c r="R492" s="186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809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603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6378</v>
      </c>
      <c r="B493" s="253" t="s">
        <v>6186</v>
      </c>
      <c r="C493" s="30" t="s">
        <v>6333</v>
      </c>
      <c r="D493" s="30" t="s">
        <v>6379</v>
      </c>
      <c r="E493" s="20" t="s">
        <v>6380</v>
      </c>
      <c r="F493" s="30" t="s">
        <v>128</v>
      </c>
      <c r="G493" s="253" t="s">
        <v>5883</v>
      </c>
      <c r="H493" s="30" t="s">
        <v>809</v>
      </c>
      <c r="I493" s="6" t="s">
        <v>809</v>
      </c>
      <c r="J493" s="30" t="s">
        <v>5853</v>
      </c>
      <c r="K493" s="253"/>
      <c r="L493" s="253"/>
      <c r="M493" s="253" t="s">
        <v>5023</v>
      </c>
      <c r="N493" s="20" t="s">
        <v>6381</v>
      </c>
      <c r="O493" s="6" t="s">
        <v>6382</v>
      </c>
      <c r="P493" s="253" t="s">
        <v>5238</v>
      </c>
      <c r="Q493" s="186" t="s">
        <v>809</v>
      </c>
      <c r="R493" s="30" t="s">
        <v>809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809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6383</v>
      </c>
      <c r="B494" s="253" t="s">
        <v>6186</v>
      </c>
      <c r="C494" s="30" t="s">
        <v>6333</v>
      </c>
      <c r="D494" s="30" t="s">
        <v>6384</v>
      </c>
      <c r="E494" s="20" t="s">
        <v>2390</v>
      </c>
      <c r="F494" s="30" t="s">
        <v>128</v>
      </c>
      <c r="G494" s="253" t="s">
        <v>5883</v>
      </c>
      <c r="H494" s="30" t="s">
        <v>809</v>
      </c>
      <c r="I494" s="6" t="s">
        <v>809</v>
      </c>
      <c r="J494" s="30" t="s">
        <v>5853</v>
      </c>
      <c r="K494" s="253"/>
      <c r="L494" s="253"/>
      <c r="M494" s="30" t="s">
        <v>6385</v>
      </c>
      <c r="N494" s="20" t="s">
        <v>6386</v>
      </c>
      <c r="O494" s="6" t="s">
        <v>809</v>
      </c>
      <c r="P494" s="253" t="s">
        <v>5238</v>
      </c>
      <c r="Q494" s="186" t="s">
        <v>809</v>
      </c>
      <c r="R494" s="30" t="s">
        <v>809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809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6387</v>
      </c>
      <c r="B495" s="253" t="s">
        <v>6186</v>
      </c>
      <c r="C495" s="30" t="s">
        <v>6333</v>
      </c>
      <c r="D495" s="30" t="s">
        <v>6388</v>
      </c>
      <c r="E495" s="20" t="s">
        <v>6347</v>
      </c>
      <c r="F495" s="30" t="s">
        <v>128</v>
      </c>
      <c r="G495" s="253" t="s">
        <v>5883</v>
      </c>
      <c r="H495" s="30" t="s">
        <v>809</v>
      </c>
      <c r="I495" s="6" t="s">
        <v>809</v>
      </c>
      <c r="J495" s="30" t="s">
        <v>5853</v>
      </c>
      <c r="K495" s="253"/>
      <c r="L495" s="253"/>
      <c r="M495" s="30" t="s">
        <v>6348</v>
      </c>
      <c r="N495" s="20" t="s">
        <v>6389</v>
      </c>
      <c r="O495" s="6" t="s">
        <v>809</v>
      </c>
      <c r="P495" s="253" t="s">
        <v>5238</v>
      </c>
      <c r="Q495" s="186" t="s">
        <v>809</v>
      </c>
      <c r="R495" s="30" t="s">
        <v>809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809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6390</v>
      </c>
      <c r="B496" s="253" t="s">
        <v>6186</v>
      </c>
      <c r="C496" s="30" t="s">
        <v>6333</v>
      </c>
      <c r="D496" s="30" t="s">
        <v>6391</v>
      </c>
      <c r="E496" s="20" t="s">
        <v>2395</v>
      </c>
      <c r="F496" s="30" t="s">
        <v>128</v>
      </c>
      <c r="G496" s="253" t="s">
        <v>5883</v>
      </c>
      <c r="H496" s="30" t="s">
        <v>809</v>
      </c>
      <c r="I496" s="6" t="s">
        <v>809</v>
      </c>
      <c r="J496" s="30" t="s">
        <v>5853</v>
      </c>
      <c r="K496" s="253"/>
      <c r="L496" s="253"/>
      <c r="M496" s="30" t="s">
        <v>6392</v>
      </c>
      <c r="N496" s="20" t="s">
        <v>6393</v>
      </c>
      <c r="O496" s="6" t="s">
        <v>809</v>
      </c>
      <c r="P496" s="253" t="s">
        <v>5238</v>
      </c>
      <c r="Q496" s="186" t="s">
        <v>809</v>
      </c>
      <c r="R496" s="30" t="s">
        <v>809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809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6394</v>
      </c>
      <c r="B497" s="253" t="s">
        <v>6186</v>
      </c>
      <c r="C497" s="30" t="s">
        <v>6333</v>
      </c>
      <c r="D497" s="30" t="s">
        <v>6395</v>
      </c>
      <c r="E497" s="20" t="s">
        <v>6357</v>
      </c>
      <c r="F497" s="30" t="s">
        <v>128</v>
      </c>
      <c r="G497" s="253" t="s">
        <v>5883</v>
      </c>
      <c r="H497" s="30" t="s">
        <v>809</v>
      </c>
      <c r="I497" s="6" t="s">
        <v>809</v>
      </c>
      <c r="J497" s="30" t="s">
        <v>5853</v>
      </c>
      <c r="K497" s="253"/>
      <c r="L497" s="253"/>
      <c r="M497" s="30" t="s">
        <v>6396</v>
      </c>
      <c r="N497" s="20" t="s">
        <v>6397</v>
      </c>
      <c r="O497" s="6" t="s">
        <v>809</v>
      </c>
      <c r="P497" s="253" t="s">
        <v>5238</v>
      </c>
      <c r="Q497" s="186" t="s">
        <v>809</v>
      </c>
      <c r="R497" s="30" t="s">
        <v>809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809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6398</v>
      </c>
      <c r="B498" s="253" t="s">
        <v>6186</v>
      </c>
      <c r="C498" s="30" t="s">
        <v>6333</v>
      </c>
      <c r="D498" s="30" t="s">
        <v>6399</v>
      </c>
      <c r="E498" s="20" t="s">
        <v>2399</v>
      </c>
      <c r="F498" s="30" t="s">
        <v>128</v>
      </c>
      <c r="G498" s="253" t="s">
        <v>5883</v>
      </c>
      <c r="H498" s="30" t="s">
        <v>809</v>
      </c>
      <c r="I498" s="6" t="s">
        <v>809</v>
      </c>
      <c r="J498" s="30" t="s">
        <v>5853</v>
      </c>
      <c r="K498" s="253"/>
      <c r="L498" s="253"/>
      <c r="M498" s="30" t="s">
        <v>6362</v>
      </c>
      <c r="N498" s="20" t="s">
        <v>6400</v>
      </c>
      <c r="O498" s="6" t="s">
        <v>809</v>
      </c>
      <c r="P498" s="253" t="s">
        <v>5238</v>
      </c>
      <c r="Q498" s="186" t="s">
        <v>809</v>
      </c>
      <c r="R498" s="30" t="s">
        <v>809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809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6401</v>
      </c>
      <c r="B499" s="253" t="s">
        <v>6186</v>
      </c>
      <c r="C499" s="30" t="s">
        <v>6333</v>
      </c>
      <c r="D499" s="30" t="s">
        <v>6402</v>
      </c>
      <c r="E499" s="20" t="s">
        <v>2404</v>
      </c>
      <c r="F499" s="30" t="s">
        <v>128</v>
      </c>
      <c r="G499" s="253" t="s">
        <v>5883</v>
      </c>
      <c r="H499" s="30" t="s">
        <v>809</v>
      </c>
      <c r="I499" s="6" t="s">
        <v>809</v>
      </c>
      <c r="J499" s="30" t="s">
        <v>5853</v>
      </c>
      <c r="K499" s="253"/>
      <c r="L499" s="253"/>
      <c r="M499" s="30" t="s">
        <v>6403</v>
      </c>
      <c r="N499" s="20" t="s">
        <v>6404</v>
      </c>
      <c r="O499" s="6" t="s">
        <v>809</v>
      </c>
      <c r="P499" s="253" t="s">
        <v>5238</v>
      </c>
      <c r="Q499" s="186" t="s">
        <v>809</v>
      </c>
      <c r="R499" s="30" t="s">
        <v>809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809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6405</v>
      </c>
      <c r="B500" s="253" t="s">
        <v>6186</v>
      </c>
      <c r="C500" s="30" t="s">
        <v>6333</v>
      </c>
      <c r="D500" s="30" t="s">
        <v>6406</v>
      </c>
      <c r="E500" s="20" t="s">
        <v>2406</v>
      </c>
      <c r="F500" s="30" t="s">
        <v>128</v>
      </c>
      <c r="G500" s="253" t="s">
        <v>5883</v>
      </c>
      <c r="H500" s="30" t="s">
        <v>809</v>
      </c>
      <c r="I500" s="6" t="s">
        <v>809</v>
      </c>
      <c r="J500" s="30" t="s">
        <v>5853</v>
      </c>
      <c r="K500" s="253"/>
      <c r="L500" s="253"/>
      <c r="M500" s="30" t="s">
        <v>6407</v>
      </c>
      <c r="N500" s="20" t="s">
        <v>6408</v>
      </c>
      <c r="O500" s="6" t="s">
        <v>809</v>
      </c>
      <c r="P500" s="253" t="s">
        <v>5238</v>
      </c>
      <c r="Q500" s="186" t="s">
        <v>809</v>
      </c>
      <c r="R500" s="30" t="s">
        <v>809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809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6409</v>
      </c>
      <c r="B501" s="253" t="s">
        <v>6186</v>
      </c>
      <c r="C501" s="30" t="s">
        <v>6333</v>
      </c>
      <c r="D501" s="30" t="s">
        <v>6410</v>
      </c>
      <c r="E501" s="20" t="s">
        <v>6380</v>
      </c>
      <c r="F501" s="30" t="s">
        <v>128</v>
      </c>
      <c r="G501" s="253" t="s">
        <v>5883</v>
      </c>
      <c r="H501" s="30" t="s">
        <v>809</v>
      </c>
      <c r="I501" s="6" t="s">
        <v>809</v>
      </c>
      <c r="J501" s="30" t="s">
        <v>5853</v>
      </c>
      <c r="K501" s="253"/>
      <c r="L501" s="253"/>
      <c r="M501" s="253" t="s">
        <v>5023</v>
      </c>
      <c r="N501" s="20" t="s">
        <v>6411</v>
      </c>
      <c r="O501" s="6" t="s">
        <v>809</v>
      </c>
      <c r="P501" s="253" t="s">
        <v>5238</v>
      </c>
      <c r="Q501" s="186" t="s">
        <v>809</v>
      </c>
      <c r="R501" s="30" t="s">
        <v>809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809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6412</v>
      </c>
      <c r="B502" s="253" t="s">
        <v>6186</v>
      </c>
      <c r="C502" s="30" t="s">
        <v>6333</v>
      </c>
      <c r="D502" s="30" t="s">
        <v>6413</v>
      </c>
      <c r="E502" s="20" t="s">
        <v>2402</v>
      </c>
      <c r="F502" s="30" t="s">
        <v>133</v>
      </c>
      <c r="G502" s="253" t="s">
        <v>5883</v>
      </c>
      <c r="H502" s="30" t="s">
        <v>5875</v>
      </c>
      <c r="I502" s="20" t="s">
        <v>6414</v>
      </c>
      <c r="J502" s="30" t="s">
        <v>809</v>
      </c>
      <c r="K502" s="253"/>
      <c r="L502" s="253"/>
      <c r="M502" s="30" t="s">
        <v>6415</v>
      </c>
      <c r="N502" s="20" t="s">
        <v>6416</v>
      </c>
      <c r="O502" s="6" t="s">
        <v>809</v>
      </c>
      <c r="P502" s="253" t="s">
        <v>5238</v>
      </c>
      <c r="Q502" s="186" t="s">
        <v>809</v>
      </c>
      <c r="R502" s="186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809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602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6417</v>
      </c>
      <c r="B503" s="253" t="s">
        <v>6186</v>
      </c>
      <c r="C503" s="30" t="s">
        <v>6333</v>
      </c>
      <c r="D503" s="30" t="s">
        <v>6418</v>
      </c>
      <c r="E503" s="6" t="s">
        <v>2420</v>
      </c>
      <c r="F503" s="30" t="s">
        <v>133</v>
      </c>
      <c r="G503" s="253" t="s">
        <v>5883</v>
      </c>
      <c r="H503" s="30" t="s">
        <v>6419</v>
      </c>
      <c r="I503" s="20" t="s">
        <v>6420</v>
      </c>
      <c r="J503" s="30" t="s">
        <v>809</v>
      </c>
      <c r="K503" s="253"/>
      <c r="L503" s="253"/>
      <c r="M503" s="253" t="s">
        <v>6421</v>
      </c>
      <c r="N503" s="20" t="s">
        <v>6422</v>
      </c>
      <c r="O503" s="6" t="s">
        <v>809</v>
      </c>
      <c r="P503" s="253" t="s">
        <v>5281</v>
      </c>
      <c r="Q503" s="186" t="s">
        <v>809</v>
      </c>
      <c r="R503" s="186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809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549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6423</v>
      </c>
      <c r="B504" s="253" t="s">
        <v>6186</v>
      </c>
      <c r="C504" s="30" t="s">
        <v>6333</v>
      </c>
      <c r="D504" s="30" t="s">
        <v>6424</v>
      </c>
      <c r="E504" s="6" t="s">
        <v>2422</v>
      </c>
      <c r="F504" s="30" t="s">
        <v>133</v>
      </c>
      <c r="G504" s="253" t="s">
        <v>1433</v>
      </c>
      <c r="H504" s="30" t="s">
        <v>6419</v>
      </c>
      <c r="I504" s="20" t="s">
        <v>5257</v>
      </c>
      <c r="J504" s="30" t="s">
        <v>809</v>
      </c>
      <c r="K504" s="253"/>
      <c r="L504" s="253"/>
      <c r="M504" s="30" t="s">
        <v>809</v>
      </c>
      <c r="N504" s="20" t="s">
        <v>6425</v>
      </c>
      <c r="O504" s="6" t="s">
        <v>809</v>
      </c>
      <c r="P504" s="253" t="s">
        <v>5238</v>
      </c>
      <c r="Q504" s="186" t="s">
        <v>809</v>
      </c>
      <c r="R504" s="186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809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549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6426</v>
      </c>
      <c r="B505" s="253" t="s">
        <v>6186</v>
      </c>
      <c r="C505" s="30" t="s">
        <v>6333</v>
      </c>
      <c r="D505" s="30" t="s">
        <v>6427</v>
      </c>
      <c r="E505" s="6" t="s">
        <v>2423</v>
      </c>
      <c r="F505" s="30" t="s">
        <v>133</v>
      </c>
      <c r="G505" s="253" t="s">
        <v>1434</v>
      </c>
      <c r="H505" s="30" t="s">
        <v>6428</v>
      </c>
      <c r="I505" s="20" t="s">
        <v>6429</v>
      </c>
      <c r="J505" s="30" t="s">
        <v>809</v>
      </c>
      <c r="K505" s="253"/>
      <c r="L505" s="253"/>
      <c r="M505" s="30" t="s">
        <v>809</v>
      </c>
      <c r="N505" s="20" t="s">
        <v>6430</v>
      </c>
      <c r="O505" s="6" t="s">
        <v>809</v>
      </c>
      <c r="P505" s="253" t="s">
        <v>5238</v>
      </c>
      <c r="Q505" s="186" t="s">
        <v>809</v>
      </c>
      <c r="R505" s="186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809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550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6431</v>
      </c>
      <c r="B506" s="253" t="s">
        <v>6186</v>
      </c>
      <c r="C506" s="30" t="s">
        <v>6333</v>
      </c>
      <c r="D506" s="30" t="s">
        <v>3358</v>
      </c>
      <c r="E506" s="20" t="s">
        <v>6432</v>
      </c>
      <c r="F506" s="30" t="s">
        <v>133</v>
      </c>
      <c r="G506" s="253" t="s">
        <v>111</v>
      </c>
      <c r="H506" s="30" t="s">
        <v>6433</v>
      </c>
      <c r="I506" s="20" t="s">
        <v>6434</v>
      </c>
      <c r="J506" s="30" t="s">
        <v>809</v>
      </c>
      <c r="K506" s="194" t="n">
        <f aca="false">Har_In!D51</f>
        <v>0.65</v>
      </c>
      <c r="L506" s="194" t="n">
        <f aca="false">Har_In!E51</f>
        <v>1</v>
      </c>
      <c r="M506" s="30" t="s">
        <v>809</v>
      </c>
      <c r="N506" s="6" t="s">
        <v>6435</v>
      </c>
      <c r="O506" s="6" t="s">
        <v>6436</v>
      </c>
      <c r="P506" s="253" t="s">
        <v>5281</v>
      </c>
      <c r="Q506" s="194" t="n">
        <f aca="false">Har_In!C51</f>
        <v>0.75</v>
      </c>
      <c r="R506" s="186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5239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541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6437</v>
      </c>
      <c r="B507" s="253" t="s">
        <v>6186</v>
      </c>
      <c r="C507" s="30" t="s">
        <v>6333</v>
      </c>
      <c r="D507" s="30" t="s">
        <v>6438</v>
      </c>
      <c r="E507" s="20" t="s">
        <v>6432</v>
      </c>
      <c r="F507" s="30" t="s">
        <v>133</v>
      </c>
      <c r="G507" s="253" t="s">
        <v>6195</v>
      </c>
      <c r="H507" s="30" t="s">
        <v>6433</v>
      </c>
      <c r="I507" s="20" t="s">
        <v>6434</v>
      </c>
      <c r="J507" s="30" t="s">
        <v>809</v>
      </c>
      <c r="K507" s="253"/>
      <c r="L507" s="253"/>
      <c r="M507" s="30" t="s">
        <v>6439</v>
      </c>
      <c r="N507" s="6" t="s">
        <v>6440</v>
      </c>
      <c r="O507" s="6" t="s">
        <v>809</v>
      </c>
      <c r="P507" s="253" t="s">
        <v>5238</v>
      </c>
      <c r="Q507" s="186" t="s">
        <v>809</v>
      </c>
      <c r="R507" s="186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809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541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6441</v>
      </c>
      <c r="B508" s="253" t="s">
        <v>6186</v>
      </c>
      <c r="C508" s="30" t="s">
        <v>6333</v>
      </c>
      <c r="D508" s="30" t="s">
        <v>6442</v>
      </c>
      <c r="E508" s="20" t="s">
        <v>2429</v>
      </c>
      <c r="F508" s="30" t="s">
        <v>128</v>
      </c>
      <c r="G508" s="253" t="s">
        <v>5883</v>
      </c>
      <c r="H508" s="30" t="s">
        <v>809</v>
      </c>
      <c r="I508" s="6" t="s">
        <v>809</v>
      </c>
      <c r="J508" s="30" t="s">
        <v>5853</v>
      </c>
      <c r="K508" s="253"/>
      <c r="L508" s="253"/>
      <c r="M508" s="253" t="s">
        <v>6443</v>
      </c>
      <c r="N508" s="6" t="s">
        <v>6444</v>
      </c>
      <c r="O508" s="6" t="s">
        <v>809</v>
      </c>
      <c r="P508" s="253" t="s">
        <v>5281</v>
      </c>
      <c r="Q508" s="186" t="s">
        <v>809</v>
      </c>
      <c r="R508" s="30" t="s">
        <v>809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809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6445</v>
      </c>
      <c r="B509" s="253" t="s">
        <v>6186</v>
      </c>
      <c r="C509" s="30" t="s">
        <v>6333</v>
      </c>
      <c r="D509" s="30" t="s">
        <v>6446</v>
      </c>
      <c r="E509" s="20" t="s">
        <v>2390</v>
      </c>
      <c r="F509" s="253" t="s">
        <v>5979</v>
      </c>
      <c r="G509" s="253" t="s">
        <v>5883</v>
      </c>
      <c r="H509" s="30" t="s">
        <v>809</v>
      </c>
      <c r="I509" s="6" t="s">
        <v>809</v>
      </c>
      <c r="J509" s="30" t="s">
        <v>6342</v>
      </c>
      <c r="K509" s="253"/>
      <c r="L509" s="253"/>
      <c r="M509" s="253" t="s">
        <v>5023</v>
      </c>
      <c r="N509" s="6" t="s">
        <v>6447</v>
      </c>
      <c r="O509" s="6" t="s">
        <v>809</v>
      </c>
      <c r="P509" s="253" t="s">
        <v>5238</v>
      </c>
      <c r="Q509" s="186" t="s">
        <v>809</v>
      </c>
      <c r="R509" s="30" t="s">
        <v>809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809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6448</v>
      </c>
      <c r="B510" s="253" t="s">
        <v>6186</v>
      </c>
      <c r="C510" s="30" t="s">
        <v>24</v>
      </c>
      <c r="D510" s="30" t="s">
        <v>6449</v>
      </c>
      <c r="E510" s="6" t="s">
        <v>807</v>
      </c>
      <c r="F510" s="30" t="s">
        <v>128</v>
      </c>
      <c r="G510" s="253" t="s">
        <v>5883</v>
      </c>
      <c r="H510" s="30" t="s">
        <v>809</v>
      </c>
      <c r="I510" s="6" t="s">
        <v>809</v>
      </c>
      <c r="J510" s="30" t="s">
        <v>5857</v>
      </c>
      <c r="K510" s="253"/>
      <c r="L510" s="253"/>
      <c r="M510" s="253" t="s">
        <v>5023</v>
      </c>
      <c r="N510" s="6" t="s">
        <v>6450</v>
      </c>
      <c r="O510" s="6" t="s">
        <v>809</v>
      </c>
      <c r="P510" s="253" t="s">
        <v>5238</v>
      </c>
      <c r="Q510" s="186" t="s">
        <v>809</v>
      </c>
      <c r="R510" s="30" t="s">
        <v>809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809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6451</v>
      </c>
      <c r="B511" s="253" t="s">
        <v>6186</v>
      </c>
      <c r="C511" s="30" t="s">
        <v>24</v>
      </c>
      <c r="D511" s="30" t="s">
        <v>6452</v>
      </c>
      <c r="E511" s="6" t="s">
        <v>829</v>
      </c>
      <c r="F511" s="30" t="s">
        <v>128</v>
      </c>
      <c r="G511" s="253" t="s">
        <v>5883</v>
      </c>
      <c r="H511" s="30" t="s">
        <v>809</v>
      </c>
      <c r="I511" s="6" t="s">
        <v>809</v>
      </c>
      <c r="J511" s="30" t="s">
        <v>5857</v>
      </c>
      <c r="K511" s="253"/>
      <c r="L511" s="253"/>
      <c r="M511" s="30" t="s">
        <v>6453</v>
      </c>
      <c r="N511" s="6" t="s">
        <v>6454</v>
      </c>
      <c r="O511" s="6" t="s">
        <v>809</v>
      </c>
      <c r="P511" s="253" t="s">
        <v>5238</v>
      </c>
      <c r="Q511" s="186" t="s">
        <v>809</v>
      </c>
      <c r="R511" s="30" t="s">
        <v>809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809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6455</v>
      </c>
      <c r="B512" s="253" t="s">
        <v>6186</v>
      </c>
      <c r="C512" s="30" t="s">
        <v>24</v>
      </c>
      <c r="D512" s="30" t="s">
        <v>6456</v>
      </c>
      <c r="E512" s="6" t="s">
        <v>836</v>
      </c>
      <c r="F512" s="30" t="s">
        <v>133</v>
      </c>
      <c r="G512" s="253" t="s">
        <v>5883</v>
      </c>
      <c r="H512" s="30" t="s">
        <v>5612</v>
      </c>
      <c r="I512" s="20" t="s">
        <v>6457</v>
      </c>
      <c r="J512" s="30" t="s">
        <v>809</v>
      </c>
      <c r="K512" s="253"/>
      <c r="L512" s="253"/>
      <c r="M512" s="30" t="s">
        <v>6453</v>
      </c>
      <c r="N512" s="6" t="s">
        <v>6458</v>
      </c>
      <c r="O512" s="6" t="s">
        <v>6459</v>
      </c>
      <c r="P512" s="253" t="s">
        <v>5238</v>
      </c>
      <c r="Q512" s="186" t="s">
        <v>809</v>
      </c>
      <c r="R512" s="186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809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6460</v>
      </c>
      <c r="B513" s="253" t="s">
        <v>6186</v>
      </c>
      <c r="C513" s="30" t="s">
        <v>24</v>
      </c>
      <c r="D513" s="30" t="s">
        <v>6461</v>
      </c>
      <c r="E513" s="6" t="s">
        <v>843</v>
      </c>
      <c r="F513" s="30" t="s">
        <v>128</v>
      </c>
      <c r="G513" s="253" t="s">
        <v>5883</v>
      </c>
      <c r="H513" s="30" t="s">
        <v>809</v>
      </c>
      <c r="I513" s="6" t="s">
        <v>809</v>
      </c>
      <c r="J513" s="30" t="s">
        <v>5857</v>
      </c>
      <c r="K513" s="253"/>
      <c r="L513" s="253"/>
      <c r="M513" s="30" t="s">
        <v>6453</v>
      </c>
      <c r="N513" s="6" t="s">
        <v>6462</v>
      </c>
      <c r="O513" s="6" t="s">
        <v>809</v>
      </c>
      <c r="P513" s="253" t="s">
        <v>5238</v>
      </c>
      <c r="Q513" s="186" t="s">
        <v>809</v>
      </c>
      <c r="R513" s="30" t="s">
        <v>809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809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6463</v>
      </c>
      <c r="B514" s="253" t="s">
        <v>6186</v>
      </c>
      <c r="C514" s="30" t="s">
        <v>24</v>
      </c>
      <c r="D514" s="30" t="s">
        <v>6464</v>
      </c>
      <c r="E514" s="6" t="s">
        <v>850</v>
      </c>
      <c r="F514" s="30" t="s">
        <v>128</v>
      </c>
      <c r="G514" s="253" t="s">
        <v>5883</v>
      </c>
      <c r="H514" s="30" t="s">
        <v>809</v>
      </c>
      <c r="I514" s="6" t="s">
        <v>809</v>
      </c>
      <c r="J514" s="30" t="s">
        <v>5857</v>
      </c>
      <c r="K514" s="253"/>
      <c r="L514" s="253"/>
      <c r="M514" s="30" t="s">
        <v>6453</v>
      </c>
      <c r="N514" s="6" t="s">
        <v>6465</v>
      </c>
      <c r="O514" s="6" t="s">
        <v>809</v>
      </c>
      <c r="P514" s="253" t="s">
        <v>5238</v>
      </c>
      <c r="Q514" s="186" t="s">
        <v>809</v>
      </c>
      <c r="R514" s="30" t="s">
        <v>809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809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6466</v>
      </c>
      <c r="B515" s="253" t="s">
        <v>6186</v>
      </c>
      <c r="C515" s="30" t="s">
        <v>24</v>
      </c>
      <c r="D515" s="30" t="s">
        <v>6467</v>
      </c>
      <c r="E515" s="6" t="s">
        <v>856</v>
      </c>
      <c r="F515" s="30" t="s">
        <v>133</v>
      </c>
      <c r="G515" s="253" t="s">
        <v>5883</v>
      </c>
      <c r="H515" s="30" t="s">
        <v>6468</v>
      </c>
      <c r="I515" s="20" t="s">
        <v>6469</v>
      </c>
      <c r="J515" s="30" t="s">
        <v>809</v>
      </c>
      <c r="K515" s="253"/>
      <c r="L515" s="253"/>
      <c r="M515" s="30" t="s">
        <v>6453</v>
      </c>
      <c r="N515" s="6" t="s">
        <v>6470</v>
      </c>
      <c r="O515" s="6" t="s">
        <v>6471</v>
      </c>
      <c r="P515" s="253" t="s">
        <v>5238</v>
      </c>
      <c r="Q515" s="186" t="s">
        <v>809</v>
      </c>
      <c r="R515" s="186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809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235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6472</v>
      </c>
      <c r="B516" s="253" t="s">
        <v>6186</v>
      </c>
      <c r="C516" s="30" t="s">
        <v>24</v>
      </c>
      <c r="D516" s="30" t="s">
        <v>6473</v>
      </c>
      <c r="E516" s="6" t="s">
        <v>862</v>
      </c>
      <c r="F516" s="30" t="s">
        <v>128</v>
      </c>
      <c r="G516" s="253" t="s">
        <v>5883</v>
      </c>
      <c r="H516" s="30" t="s">
        <v>809</v>
      </c>
      <c r="I516" s="6" t="s">
        <v>809</v>
      </c>
      <c r="J516" s="30" t="s">
        <v>5857</v>
      </c>
      <c r="K516" s="253"/>
      <c r="L516" s="253"/>
      <c r="M516" s="30" t="s">
        <v>6453</v>
      </c>
      <c r="N516" s="6" t="s">
        <v>6474</v>
      </c>
      <c r="O516" s="6" t="s">
        <v>809</v>
      </c>
      <c r="P516" s="253" t="s">
        <v>5238</v>
      </c>
      <c r="Q516" s="186" t="s">
        <v>809</v>
      </c>
      <c r="R516" s="30" t="s">
        <v>809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809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6475</v>
      </c>
      <c r="B517" s="253" t="s">
        <v>6186</v>
      </c>
      <c r="C517" s="30" t="s">
        <v>24</v>
      </c>
      <c r="D517" s="30" t="s">
        <v>6476</v>
      </c>
      <c r="E517" s="6" t="s">
        <v>867</v>
      </c>
      <c r="F517" s="30" t="s">
        <v>128</v>
      </c>
      <c r="G517" s="253" t="s">
        <v>5883</v>
      </c>
      <c r="H517" s="30" t="s">
        <v>809</v>
      </c>
      <c r="I517" s="6" t="s">
        <v>809</v>
      </c>
      <c r="J517" s="30" t="s">
        <v>5857</v>
      </c>
      <c r="K517" s="253"/>
      <c r="L517" s="253"/>
      <c r="M517" s="253" t="s">
        <v>5023</v>
      </c>
      <c r="N517" s="6" t="s">
        <v>6477</v>
      </c>
      <c r="O517" s="6" t="s">
        <v>809</v>
      </c>
      <c r="P517" s="253" t="s">
        <v>5238</v>
      </c>
      <c r="Q517" s="186" t="s">
        <v>809</v>
      </c>
      <c r="R517" s="30" t="s">
        <v>809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809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6478</v>
      </c>
      <c r="B518" s="253" t="s">
        <v>6186</v>
      </c>
      <c r="C518" s="30" t="s">
        <v>24</v>
      </c>
      <c r="D518" s="30" t="s">
        <v>6479</v>
      </c>
      <c r="E518" s="6" t="s">
        <v>807</v>
      </c>
      <c r="F518" s="253" t="s">
        <v>5882</v>
      </c>
      <c r="G518" s="253" t="s">
        <v>5883</v>
      </c>
      <c r="H518" s="30" t="s">
        <v>809</v>
      </c>
      <c r="I518" s="6" t="s">
        <v>809</v>
      </c>
      <c r="J518" s="30" t="s">
        <v>5884</v>
      </c>
      <c r="K518" s="253"/>
      <c r="L518" s="253"/>
      <c r="M518" s="30" t="s">
        <v>809</v>
      </c>
      <c r="N518" s="20" t="s">
        <v>6480</v>
      </c>
      <c r="O518" s="6" t="s">
        <v>809</v>
      </c>
      <c r="P518" s="253" t="s">
        <v>5238</v>
      </c>
      <c r="Q518" s="186" t="s">
        <v>809</v>
      </c>
      <c r="R518" s="30" t="s">
        <v>809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809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6481</v>
      </c>
      <c r="B519" s="253" t="s">
        <v>6186</v>
      </c>
      <c r="C519" s="30" t="s">
        <v>24</v>
      </c>
      <c r="D519" s="30" t="s">
        <v>6482</v>
      </c>
      <c r="E519" s="6" t="s">
        <v>807</v>
      </c>
      <c r="F519" s="253" t="s">
        <v>6301</v>
      </c>
      <c r="G519" s="253" t="s">
        <v>5883</v>
      </c>
      <c r="H519" s="30" t="s">
        <v>809</v>
      </c>
      <c r="I519" s="20" t="s">
        <v>6483</v>
      </c>
      <c r="J519" s="30" t="s">
        <v>6484</v>
      </c>
      <c r="K519" s="253"/>
      <c r="L519" s="253"/>
      <c r="M519" s="253" t="s">
        <v>5023</v>
      </c>
      <c r="N519" s="20" t="s">
        <v>6485</v>
      </c>
      <c r="O519" s="6" t="s">
        <v>809</v>
      </c>
      <c r="P519" s="253" t="s">
        <v>5238</v>
      </c>
      <c r="Q519" s="186" t="s">
        <v>809</v>
      </c>
      <c r="R519" s="30" t="s">
        <v>809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809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6486</v>
      </c>
      <c r="B520" s="253" t="s">
        <v>6186</v>
      </c>
      <c r="C520" s="30" t="s">
        <v>24</v>
      </c>
      <c r="D520" s="30" t="s">
        <v>6487</v>
      </c>
      <c r="E520" s="6" t="s">
        <v>862</v>
      </c>
      <c r="F520" s="253" t="s">
        <v>6301</v>
      </c>
      <c r="G520" s="253" t="s">
        <v>5883</v>
      </c>
      <c r="H520" s="30" t="s">
        <v>809</v>
      </c>
      <c r="I520" s="20" t="s">
        <v>6483</v>
      </c>
      <c r="J520" s="30" t="s">
        <v>6484</v>
      </c>
      <c r="K520" s="253"/>
      <c r="L520" s="253"/>
      <c r="M520" s="253" t="s">
        <v>5023</v>
      </c>
      <c r="N520" s="20" t="s">
        <v>6488</v>
      </c>
      <c r="O520" s="6" t="s">
        <v>809</v>
      </c>
      <c r="P520" s="253" t="s">
        <v>5238</v>
      </c>
      <c r="Q520" s="186" t="s">
        <v>809</v>
      </c>
      <c r="R520" s="30" t="s">
        <v>809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809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6489</v>
      </c>
      <c r="B521" s="253" t="s">
        <v>6186</v>
      </c>
      <c r="C521" s="30" t="s">
        <v>24</v>
      </c>
      <c r="D521" s="30" t="s">
        <v>6490</v>
      </c>
      <c r="E521" s="6" t="s">
        <v>807</v>
      </c>
      <c r="F521" s="30" t="s">
        <v>128</v>
      </c>
      <c r="G521" s="253" t="s">
        <v>5883</v>
      </c>
      <c r="H521" s="30" t="s">
        <v>809</v>
      </c>
      <c r="I521" s="6" t="s">
        <v>809</v>
      </c>
      <c r="J521" s="30" t="s">
        <v>6484</v>
      </c>
      <c r="K521" s="253"/>
      <c r="L521" s="253"/>
      <c r="M521" s="30" t="s">
        <v>6491</v>
      </c>
      <c r="N521" s="20" t="s">
        <v>6492</v>
      </c>
      <c r="O521" s="6" t="s">
        <v>809</v>
      </c>
      <c r="P521" s="253" t="s">
        <v>5238</v>
      </c>
      <c r="Q521" s="186" t="s">
        <v>809</v>
      </c>
      <c r="R521" s="30" t="s">
        <v>809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809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6493</v>
      </c>
      <c r="B522" s="253" t="s">
        <v>6186</v>
      </c>
      <c r="C522" s="30" t="s">
        <v>24</v>
      </c>
      <c r="D522" s="30" t="s">
        <v>6494</v>
      </c>
      <c r="E522" s="6" t="s">
        <v>807</v>
      </c>
      <c r="F522" s="30" t="s">
        <v>118</v>
      </c>
      <c r="G522" s="253" t="s">
        <v>5883</v>
      </c>
      <c r="H522" s="30" t="s">
        <v>809</v>
      </c>
      <c r="I522" s="6" t="s">
        <v>809</v>
      </c>
      <c r="J522" s="30" t="s">
        <v>6159</v>
      </c>
      <c r="K522" s="253"/>
      <c r="L522" s="253"/>
      <c r="M522" s="253" t="s">
        <v>5023</v>
      </c>
      <c r="N522" s="20" t="s">
        <v>6495</v>
      </c>
      <c r="O522" s="6" t="s">
        <v>809</v>
      </c>
      <c r="P522" s="253" t="s">
        <v>5238</v>
      </c>
      <c r="Q522" s="186" t="s">
        <v>809</v>
      </c>
      <c r="R522" s="30" t="s">
        <v>809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809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6496</v>
      </c>
      <c r="B523" s="253" t="s">
        <v>6186</v>
      </c>
      <c r="C523" s="30" t="s">
        <v>3318</v>
      </c>
      <c r="D523" s="30" t="s">
        <v>3172</v>
      </c>
      <c r="E523" s="20" t="s">
        <v>6497</v>
      </c>
      <c r="F523" s="30" t="s">
        <v>133</v>
      </c>
      <c r="G523" s="253" t="s">
        <v>5235</v>
      </c>
      <c r="H523" s="30" t="s">
        <v>6498</v>
      </c>
      <c r="I523" s="20" t="s">
        <v>6499</v>
      </c>
      <c r="J523" s="30" t="s">
        <v>809</v>
      </c>
      <c r="K523" s="255" t="n">
        <v>0.18</v>
      </c>
      <c r="L523" s="255" t="n">
        <v>0.35</v>
      </c>
      <c r="M523" s="30" t="s">
        <v>6500</v>
      </c>
      <c r="N523" s="20" t="s">
        <v>6501</v>
      </c>
      <c r="O523" s="6" t="s">
        <v>809</v>
      </c>
      <c r="P523" s="253" t="s">
        <v>1434</v>
      </c>
      <c r="Q523" s="196" t="n">
        <f aca="false">Train_In!C6</f>
        <v>0.25</v>
      </c>
      <c r="R523" s="186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5239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336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6502</v>
      </c>
      <c r="B524" s="253" t="s">
        <v>6186</v>
      </c>
      <c r="C524" s="30" t="s">
        <v>3318</v>
      </c>
      <c r="D524" s="30" t="s">
        <v>3308</v>
      </c>
      <c r="E524" s="6" t="s">
        <v>1142</v>
      </c>
      <c r="F524" s="30" t="s">
        <v>133</v>
      </c>
      <c r="G524" s="253" t="s">
        <v>5235</v>
      </c>
      <c r="H524" s="30" t="s">
        <v>6503</v>
      </c>
      <c r="I524" s="20" t="s">
        <v>6504</v>
      </c>
      <c r="J524" s="30" t="s">
        <v>809</v>
      </c>
      <c r="K524" s="255" t="n">
        <v>0.8</v>
      </c>
      <c r="L524" s="255" t="n">
        <v>0.95</v>
      </c>
      <c r="M524" s="30" t="s">
        <v>6505</v>
      </c>
      <c r="N524" s="6" t="s">
        <v>6506</v>
      </c>
      <c r="O524" s="6" t="s">
        <v>809</v>
      </c>
      <c r="P524" s="253" t="s">
        <v>1434</v>
      </c>
      <c r="Q524" s="196" t="n">
        <f aca="false">Train_In!C7</f>
        <v>0.9</v>
      </c>
      <c r="R524" s="186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5239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337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6507</v>
      </c>
      <c r="B525" s="253" t="s">
        <v>6186</v>
      </c>
      <c r="C525" s="30" t="s">
        <v>3318</v>
      </c>
      <c r="D525" s="30" t="s">
        <v>3173</v>
      </c>
      <c r="E525" s="6" t="s">
        <v>1144</v>
      </c>
      <c r="F525" s="30" t="s">
        <v>128</v>
      </c>
      <c r="G525" s="253" t="s">
        <v>5235</v>
      </c>
      <c r="H525" s="30" t="s">
        <v>809</v>
      </c>
      <c r="I525" s="6" t="s">
        <v>809</v>
      </c>
      <c r="J525" s="30" t="s">
        <v>6508</v>
      </c>
      <c r="K525" s="255" t="n">
        <v>0.6</v>
      </c>
      <c r="L525" s="255" t="n">
        <v>1</v>
      </c>
      <c r="M525" s="30" t="s">
        <v>6509</v>
      </c>
      <c r="N525" s="6" t="s">
        <v>6510</v>
      </c>
      <c r="O525" s="6" t="s">
        <v>809</v>
      </c>
      <c r="P525" s="253" t="s">
        <v>1433</v>
      </c>
      <c r="Q525" s="194" t="n">
        <f aca="false">Train_In!C8</f>
        <v>0.8</v>
      </c>
      <c r="R525" s="30" t="s">
        <v>809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5239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6511</v>
      </c>
      <c r="B526" s="253" t="s">
        <v>6186</v>
      </c>
      <c r="C526" s="30" t="s">
        <v>3318</v>
      </c>
      <c r="D526" s="30" t="s">
        <v>3175</v>
      </c>
      <c r="E526" s="6" t="s">
        <v>1146</v>
      </c>
      <c r="F526" s="30" t="s">
        <v>128</v>
      </c>
      <c r="G526" s="253" t="s">
        <v>5235</v>
      </c>
      <c r="H526" s="30" t="s">
        <v>809</v>
      </c>
      <c r="I526" s="6" t="s">
        <v>809</v>
      </c>
      <c r="J526" s="30" t="s">
        <v>6508</v>
      </c>
      <c r="K526" s="255" t="n">
        <v>0.4</v>
      </c>
      <c r="L526" s="255" t="n">
        <v>0.9</v>
      </c>
      <c r="M526" s="30" t="s">
        <v>6512</v>
      </c>
      <c r="N526" s="6" t="s">
        <v>6513</v>
      </c>
      <c r="O526" s="6" t="s">
        <v>809</v>
      </c>
      <c r="P526" s="253" t="s">
        <v>5281</v>
      </c>
      <c r="Q526" s="194" t="n">
        <f aca="false">Train_In!C9</f>
        <v>0.6</v>
      </c>
      <c r="R526" s="30" t="s">
        <v>809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5239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6514</v>
      </c>
      <c r="B527" s="253" t="s">
        <v>6186</v>
      </c>
      <c r="C527" s="30" t="s">
        <v>3318</v>
      </c>
      <c r="D527" s="30" t="s">
        <v>3177</v>
      </c>
      <c r="E527" s="20" t="s">
        <v>6515</v>
      </c>
      <c r="F527" s="30" t="s">
        <v>128</v>
      </c>
      <c r="G527" s="253" t="s">
        <v>5235</v>
      </c>
      <c r="H527" s="30" t="s">
        <v>809</v>
      </c>
      <c r="I527" s="6" t="s">
        <v>809</v>
      </c>
      <c r="J527" s="30" t="s">
        <v>6508</v>
      </c>
      <c r="K527" s="255" t="n">
        <v>0</v>
      </c>
      <c r="L527" s="255" t="n">
        <v>1</v>
      </c>
      <c r="M527" s="30" t="s">
        <v>6516</v>
      </c>
      <c r="N527" s="6" t="s">
        <v>6517</v>
      </c>
      <c r="O527" s="6" t="s">
        <v>809</v>
      </c>
      <c r="P527" s="253" t="s">
        <v>5238</v>
      </c>
      <c r="Q527" s="33" t="n">
        <f aca="false">Train_In!C10</f>
        <v>0</v>
      </c>
      <c r="R527" s="30" t="s">
        <v>809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5239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6518</v>
      </c>
      <c r="B528" s="253" t="s">
        <v>6186</v>
      </c>
      <c r="C528" s="30" t="s">
        <v>3318</v>
      </c>
      <c r="D528" s="30" t="s">
        <v>3179</v>
      </c>
      <c r="E528" s="6" t="s">
        <v>1150</v>
      </c>
      <c r="F528" s="30" t="s">
        <v>133</v>
      </c>
      <c r="G528" s="253" t="s">
        <v>5235</v>
      </c>
      <c r="H528" s="30" t="s">
        <v>6468</v>
      </c>
      <c r="I528" s="20" t="s">
        <v>6519</v>
      </c>
      <c r="J528" s="30" t="s">
        <v>809</v>
      </c>
      <c r="K528" s="196" t="n">
        <f aca="false">Sens_Train!S64</f>
        <v>0.6</v>
      </c>
      <c r="L528" s="196" t="n">
        <f aca="false">Sens_Train!U64</f>
        <v>0.95</v>
      </c>
      <c r="M528" s="30" t="s">
        <v>809</v>
      </c>
      <c r="N528" s="6" t="s">
        <v>6520</v>
      </c>
      <c r="O528" s="6" t="s">
        <v>809</v>
      </c>
      <c r="P528" s="253" t="s">
        <v>5281</v>
      </c>
      <c r="Q528" s="196" t="n">
        <f aca="false">Train_In!C11</f>
        <v>0.85</v>
      </c>
      <c r="R528" s="186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5239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235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6521</v>
      </c>
      <c r="B529" s="253" t="s">
        <v>6186</v>
      </c>
      <c r="C529" s="30" t="s">
        <v>3318</v>
      </c>
      <c r="D529" s="30" t="s">
        <v>3180</v>
      </c>
      <c r="E529" s="6" t="s">
        <v>1152</v>
      </c>
      <c r="F529" s="30" t="s">
        <v>128</v>
      </c>
      <c r="G529" s="253" t="s">
        <v>5235</v>
      </c>
      <c r="H529" s="30" t="s">
        <v>809</v>
      </c>
      <c r="I529" s="6" t="s">
        <v>809</v>
      </c>
      <c r="J529" s="30" t="s">
        <v>6508</v>
      </c>
      <c r="K529" s="255" t="n">
        <v>8</v>
      </c>
      <c r="L529" s="255" t="n">
        <v>64</v>
      </c>
      <c r="M529" s="30" t="s">
        <v>6522</v>
      </c>
      <c r="N529" s="6" t="s">
        <v>6523</v>
      </c>
      <c r="O529" s="6" t="s">
        <v>6268</v>
      </c>
      <c r="P529" s="253" t="s">
        <v>1433</v>
      </c>
      <c r="Q529" s="33" t="n">
        <f aca="false">Train_In!C12</f>
        <v>16</v>
      </c>
      <c r="R529" s="30" t="s">
        <v>809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5239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6524</v>
      </c>
      <c r="B530" s="253" t="s">
        <v>6186</v>
      </c>
      <c r="C530" s="30" t="s">
        <v>3318</v>
      </c>
      <c r="D530" s="30" t="s">
        <v>3184</v>
      </c>
      <c r="E530" s="20" t="s">
        <v>6525</v>
      </c>
      <c r="F530" s="30" t="s">
        <v>133</v>
      </c>
      <c r="G530" s="253" t="s">
        <v>5235</v>
      </c>
      <c r="H530" s="30" t="s">
        <v>4000</v>
      </c>
      <c r="I530" s="20" t="s">
        <v>6526</v>
      </c>
      <c r="J530" s="30" t="s">
        <v>6527</v>
      </c>
      <c r="K530" s="201" t="n">
        <f aca="false">Sens_Train!AC119</f>
        <v>4.4</v>
      </c>
      <c r="L530" s="201" t="n">
        <f aca="false">Sens_Train!AE119</f>
        <v>10.4</v>
      </c>
      <c r="M530" s="30" t="s">
        <v>809</v>
      </c>
      <c r="N530" s="6" t="s">
        <v>6528</v>
      </c>
      <c r="O530" s="6" t="s">
        <v>809</v>
      </c>
      <c r="P530" s="253" t="s">
        <v>1434</v>
      </c>
      <c r="Q530" s="201" t="n">
        <f aca="false">Train_In!C13</f>
        <v>8</v>
      </c>
      <c r="R530" s="186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5239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667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6529</v>
      </c>
      <c r="B531" s="253" t="s">
        <v>6186</v>
      </c>
      <c r="C531" s="30" t="s">
        <v>3318</v>
      </c>
      <c r="D531" s="30" t="s">
        <v>3214</v>
      </c>
      <c r="E531" s="20" t="s">
        <v>6530</v>
      </c>
      <c r="F531" s="30" t="s">
        <v>128</v>
      </c>
      <c r="G531" s="253" t="s">
        <v>5235</v>
      </c>
      <c r="H531" s="30" t="s">
        <v>809</v>
      </c>
      <c r="I531" s="6" t="s">
        <v>809</v>
      </c>
      <c r="J531" s="30" t="s">
        <v>6508</v>
      </c>
      <c r="K531" s="255" t="n">
        <v>2</v>
      </c>
      <c r="L531" s="255" t="n">
        <v>3</v>
      </c>
      <c r="M531" s="30" t="s">
        <v>6531</v>
      </c>
      <c r="N531" s="20" t="s">
        <v>6532</v>
      </c>
      <c r="O531" s="6" t="s">
        <v>809</v>
      </c>
      <c r="P531" s="253" t="s">
        <v>5238</v>
      </c>
      <c r="Q531" s="33" t="n">
        <f aca="false">Train_In!C15</f>
        <v>3</v>
      </c>
      <c r="R531" s="30" t="s">
        <v>809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5239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6533</v>
      </c>
      <c r="B532" s="253" t="s">
        <v>6186</v>
      </c>
      <c r="C532" s="30" t="s">
        <v>3318</v>
      </c>
      <c r="D532" s="30" t="s">
        <v>3215</v>
      </c>
      <c r="E532" s="20" t="s">
        <v>1161</v>
      </c>
      <c r="F532" s="30" t="s">
        <v>118</v>
      </c>
      <c r="G532" s="253" t="s">
        <v>5235</v>
      </c>
      <c r="H532" s="30" t="s">
        <v>809</v>
      </c>
      <c r="I532" s="6" t="s">
        <v>809</v>
      </c>
      <c r="J532" s="30" t="s">
        <v>6534</v>
      </c>
      <c r="K532" s="253"/>
      <c r="L532" s="253"/>
      <c r="M532" s="253" t="s">
        <v>5023</v>
      </c>
      <c r="N532" s="6" t="s">
        <v>6535</v>
      </c>
      <c r="O532" s="6" t="s">
        <v>809</v>
      </c>
      <c r="P532" s="253" t="s">
        <v>5238</v>
      </c>
      <c r="Q532" s="33" t="n">
        <f aca="false">Train_In!C16</f>
        <v>4</v>
      </c>
      <c r="R532" s="30" t="s">
        <v>809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5239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6536</v>
      </c>
      <c r="B533" s="253" t="s">
        <v>6186</v>
      </c>
      <c r="C533" s="30" t="s">
        <v>3318</v>
      </c>
      <c r="D533" s="30" t="s">
        <v>3216</v>
      </c>
      <c r="E533" s="20" t="s">
        <v>1165</v>
      </c>
      <c r="F533" s="30" t="s">
        <v>118</v>
      </c>
      <c r="G533" s="253" t="s">
        <v>5235</v>
      </c>
      <c r="H533" s="30" t="s">
        <v>809</v>
      </c>
      <c r="I533" s="6" t="s">
        <v>809</v>
      </c>
      <c r="J533" s="30" t="s">
        <v>6534</v>
      </c>
      <c r="K533" s="253"/>
      <c r="L533" s="253"/>
      <c r="M533" s="253" t="s">
        <v>5023</v>
      </c>
      <c r="N533" s="6" t="s">
        <v>6537</v>
      </c>
      <c r="O533" s="6" t="s">
        <v>809</v>
      </c>
      <c r="P533" s="253" t="s">
        <v>5238</v>
      </c>
      <c r="Q533" s="33" t="n">
        <f aca="false">Train_In!C17</f>
        <v>3</v>
      </c>
      <c r="R533" s="30" t="s">
        <v>809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5239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6538</v>
      </c>
      <c r="B534" s="253" t="s">
        <v>6186</v>
      </c>
      <c r="C534" s="30" t="s">
        <v>3318</v>
      </c>
      <c r="D534" s="30" t="s">
        <v>6539</v>
      </c>
      <c r="E534" s="20" t="s">
        <v>6540</v>
      </c>
      <c r="F534" s="30" t="s">
        <v>128</v>
      </c>
      <c r="G534" s="253" t="s">
        <v>5883</v>
      </c>
      <c r="H534" s="30" t="s">
        <v>809</v>
      </c>
      <c r="I534" s="6" t="s">
        <v>809</v>
      </c>
      <c r="J534" s="30" t="s">
        <v>6508</v>
      </c>
      <c r="K534" s="253"/>
      <c r="L534" s="253"/>
      <c r="M534" s="253" t="s">
        <v>6541</v>
      </c>
      <c r="N534" s="20" t="s">
        <v>6542</v>
      </c>
      <c r="O534" s="6" t="s">
        <v>809</v>
      </c>
      <c r="P534" s="253" t="s">
        <v>1434</v>
      </c>
      <c r="Q534" s="186" t="s">
        <v>809</v>
      </c>
      <c r="R534" s="30" t="s">
        <v>809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809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6543</v>
      </c>
      <c r="B535" s="253" t="s">
        <v>6186</v>
      </c>
      <c r="C535" s="30" t="s">
        <v>3318</v>
      </c>
      <c r="D535" s="30" t="s">
        <v>3144</v>
      </c>
      <c r="E535" s="20" t="s">
        <v>6141</v>
      </c>
      <c r="F535" s="30" t="s">
        <v>128</v>
      </c>
      <c r="G535" s="253" t="s">
        <v>5235</v>
      </c>
      <c r="H535" s="30" t="s">
        <v>809</v>
      </c>
      <c r="I535" s="6" t="s">
        <v>809</v>
      </c>
      <c r="J535" s="30" t="s">
        <v>6544</v>
      </c>
      <c r="K535" s="255" t="n">
        <v>30</v>
      </c>
      <c r="L535" s="255" t="n">
        <v>100</v>
      </c>
      <c r="M535" s="30" t="s">
        <v>6545</v>
      </c>
      <c r="N535" s="6" t="s">
        <v>6546</v>
      </c>
      <c r="O535" s="6" t="s">
        <v>809</v>
      </c>
      <c r="P535" s="253" t="s">
        <v>1434</v>
      </c>
      <c r="Q535" s="197" t="n">
        <f aca="false">Train_In!E25</f>
        <v>60</v>
      </c>
      <c r="R535" s="30" t="s">
        <v>809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5239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6547</v>
      </c>
      <c r="B536" s="253" t="s">
        <v>6186</v>
      </c>
      <c r="C536" s="30" t="s">
        <v>3318</v>
      </c>
      <c r="D536" s="30" t="s">
        <v>3145</v>
      </c>
      <c r="E536" s="20" t="s">
        <v>6146</v>
      </c>
      <c r="F536" s="30" t="s">
        <v>128</v>
      </c>
      <c r="G536" s="253" t="s">
        <v>5235</v>
      </c>
      <c r="H536" s="30" t="s">
        <v>6147</v>
      </c>
      <c r="I536" s="6" t="s">
        <v>809</v>
      </c>
      <c r="J536" s="30" t="s">
        <v>809</v>
      </c>
      <c r="K536" s="255" t="n">
        <v>4096</v>
      </c>
      <c r="L536" s="255" t="n">
        <v>16384</v>
      </c>
      <c r="M536" s="30" t="s">
        <v>6548</v>
      </c>
      <c r="N536" s="6" t="s">
        <v>6549</v>
      </c>
      <c r="O536" s="6" t="s">
        <v>809</v>
      </c>
      <c r="P536" s="253" t="s">
        <v>5281</v>
      </c>
      <c r="Q536" s="49" t="n">
        <f aca="false">Train_In!E26</f>
        <v>8192</v>
      </c>
      <c r="R536" s="186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5239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220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6550</v>
      </c>
      <c r="B537" s="253" t="s">
        <v>6186</v>
      </c>
      <c r="C537" s="30" t="s">
        <v>3318</v>
      </c>
      <c r="D537" s="30" t="s">
        <v>6551</v>
      </c>
      <c r="E537" s="20" t="s">
        <v>6552</v>
      </c>
      <c r="F537" s="30" t="s">
        <v>128</v>
      </c>
      <c r="G537" s="253" t="s">
        <v>5883</v>
      </c>
      <c r="H537" s="30" t="s">
        <v>809</v>
      </c>
      <c r="I537" s="6" t="s">
        <v>809</v>
      </c>
      <c r="J537" s="30" t="s">
        <v>6508</v>
      </c>
      <c r="K537" s="253"/>
      <c r="L537" s="253"/>
      <c r="M537" s="30" t="s">
        <v>6553</v>
      </c>
      <c r="N537" s="20" t="s">
        <v>6554</v>
      </c>
      <c r="O537" s="6" t="s">
        <v>809</v>
      </c>
      <c r="P537" s="253" t="s">
        <v>1433</v>
      </c>
      <c r="Q537" s="186" t="s">
        <v>809</v>
      </c>
      <c r="R537" s="30" t="s">
        <v>809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809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6555</v>
      </c>
      <c r="B538" s="253" t="s">
        <v>6186</v>
      </c>
      <c r="C538" s="30" t="s">
        <v>3318</v>
      </c>
      <c r="D538" s="30" t="s">
        <v>6556</v>
      </c>
      <c r="E538" s="20" t="s">
        <v>1181</v>
      </c>
      <c r="F538" s="30" t="s">
        <v>128</v>
      </c>
      <c r="G538" s="253" t="s">
        <v>5883</v>
      </c>
      <c r="H538" s="30" t="s">
        <v>809</v>
      </c>
      <c r="I538" s="6" t="s">
        <v>809</v>
      </c>
      <c r="J538" s="30" t="s">
        <v>6508</v>
      </c>
      <c r="K538" s="253"/>
      <c r="L538" s="253"/>
      <c r="M538" s="253" t="s">
        <v>5023</v>
      </c>
      <c r="N538" s="20" t="s">
        <v>6557</v>
      </c>
      <c r="O538" s="6" t="s">
        <v>809</v>
      </c>
      <c r="P538" s="253" t="s">
        <v>1433</v>
      </c>
      <c r="Q538" s="186" t="s">
        <v>809</v>
      </c>
      <c r="R538" s="30" t="s">
        <v>809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809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6558</v>
      </c>
      <c r="B539" s="253" t="s">
        <v>6186</v>
      </c>
      <c r="C539" s="30" t="s">
        <v>3318</v>
      </c>
      <c r="D539" s="30" t="s">
        <v>6559</v>
      </c>
      <c r="E539" s="6" t="s">
        <v>1182</v>
      </c>
      <c r="F539" s="30" t="s">
        <v>128</v>
      </c>
      <c r="G539" s="253" t="s">
        <v>5883</v>
      </c>
      <c r="H539" s="30" t="s">
        <v>809</v>
      </c>
      <c r="I539" s="6" t="s">
        <v>809</v>
      </c>
      <c r="J539" s="30" t="s">
        <v>6508</v>
      </c>
      <c r="K539" s="253"/>
      <c r="L539" s="253"/>
      <c r="M539" s="30" t="s">
        <v>6560</v>
      </c>
      <c r="N539" s="6" t="s">
        <v>1182</v>
      </c>
      <c r="O539" s="6" t="s">
        <v>809</v>
      </c>
      <c r="P539" s="253" t="s">
        <v>1433</v>
      </c>
      <c r="Q539" s="186" t="s">
        <v>809</v>
      </c>
      <c r="R539" s="30" t="s">
        <v>809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809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6561</v>
      </c>
      <c r="B540" s="253" t="s">
        <v>6186</v>
      </c>
      <c r="C540" s="30" t="s">
        <v>3318</v>
      </c>
      <c r="D540" s="30" t="s">
        <v>6562</v>
      </c>
      <c r="E540" s="6" t="s">
        <v>1184</v>
      </c>
      <c r="F540" s="30" t="s">
        <v>128</v>
      </c>
      <c r="G540" s="253" t="s">
        <v>5883</v>
      </c>
      <c r="H540" s="30" t="s">
        <v>809</v>
      </c>
      <c r="I540" s="6" t="s">
        <v>809</v>
      </c>
      <c r="J540" s="30" t="s">
        <v>6508</v>
      </c>
      <c r="K540" s="253"/>
      <c r="L540" s="253"/>
      <c r="M540" s="253" t="s">
        <v>5023</v>
      </c>
      <c r="N540" s="6" t="s">
        <v>6563</v>
      </c>
      <c r="O540" s="6" t="s">
        <v>809</v>
      </c>
      <c r="P540" s="253" t="s">
        <v>1433</v>
      </c>
      <c r="Q540" s="186" t="s">
        <v>809</v>
      </c>
      <c r="R540" s="30" t="s">
        <v>809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809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6564</v>
      </c>
      <c r="B541" s="253" t="s">
        <v>6186</v>
      </c>
      <c r="C541" s="30" t="s">
        <v>3318</v>
      </c>
      <c r="D541" s="30" t="s">
        <v>6249</v>
      </c>
      <c r="E541" s="20" t="s">
        <v>6565</v>
      </c>
      <c r="F541" s="30" t="s">
        <v>128</v>
      </c>
      <c r="G541" s="253" t="s">
        <v>5883</v>
      </c>
      <c r="H541" s="30" t="s">
        <v>809</v>
      </c>
      <c r="I541" s="6" t="s">
        <v>809</v>
      </c>
      <c r="J541" s="30" t="s">
        <v>6508</v>
      </c>
      <c r="K541" s="253"/>
      <c r="L541" s="253"/>
      <c r="M541" s="30" t="s">
        <v>6566</v>
      </c>
      <c r="N541" s="20" t="s">
        <v>6567</v>
      </c>
      <c r="O541" s="6" t="s">
        <v>809</v>
      </c>
      <c r="P541" s="253" t="s">
        <v>1433</v>
      </c>
      <c r="Q541" s="186" t="s">
        <v>809</v>
      </c>
      <c r="R541" s="30" t="s">
        <v>809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809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6568</v>
      </c>
      <c r="B542" s="253" t="s">
        <v>6186</v>
      </c>
      <c r="C542" s="30" t="s">
        <v>3318</v>
      </c>
      <c r="D542" s="30" t="s">
        <v>6254</v>
      </c>
      <c r="E542" s="6" t="s">
        <v>1187</v>
      </c>
      <c r="F542" s="30" t="s">
        <v>128</v>
      </c>
      <c r="G542" s="253" t="s">
        <v>5883</v>
      </c>
      <c r="H542" s="30" t="s">
        <v>809</v>
      </c>
      <c r="I542" s="6" t="s">
        <v>809</v>
      </c>
      <c r="J542" s="30" t="s">
        <v>6508</v>
      </c>
      <c r="K542" s="253"/>
      <c r="L542" s="253"/>
      <c r="M542" s="253" t="s">
        <v>6569</v>
      </c>
      <c r="N542" s="6" t="s">
        <v>1187</v>
      </c>
      <c r="O542" s="6" t="s">
        <v>809</v>
      </c>
      <c r="P542" s="253" t="s">
        <v>5281</v>
      </c>
      <c r="Q542" s="186" t="s">
        <v>809</v>
      </c>
      <c r="R542" s="30" t="s">
        <v>809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809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6570</v>
      </c>
      <c r="B543" s="253" t="s">
        <v>6186</v>
      </c>
      <c r="C543" s="30" t="s">
        <v>3318</v>
      </c>
      <c r="D543" s="30" t="s">
        <v>6571</v>
      </c>
      <c r="E543" s="6" t="s">
        <v>1188</v>
      </c>
      <c r="F543" s="30" t="s">
        <v>128</v>
      </c>
      <c r="G543" s="253" t="s">
        <v>5883</v>
      </c>
      <c r="H543" s="30" t="s">
        <v>809</v>
      </c>
      <c r="I543" s="6" t="s">
        <v>809</v>
      </c>
      <c r="J543" s="30" t="s">
        <v>6508</v>
      </c>
      <c r="K543" s="253"/>
      <c r="L543" s="253"/>
      <c r="M543" s="253" t="s">
        <v>6569</v>
      </c>
      <c r="N543" s="6" t="s">
        <v>1188</v>
      </c>
      <c r="O543" s="6" t="s">
        <v>809</v>
      </c>
      <c r="P543" s="253" t="s">
        <v>5281</v>
      </c>
      <c r="Q543" s="186" t="s">
        <v>809</v>
      </c>
      <c r="R543" s="30" t="s">
        <v>809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809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6572</v>
      </c>
      <c r="B544" s="253" t="s">
        <v>6186</v>
      </c>
      <c r="C544" s="30" t="s">
        <v>3318</v>
      </c>
      <c r="D544" s="207" t="s">
        <v>6573</v>
      </c>
      <c r="E544" s="6" t="s">
        <v>1190</v>
      </c>
      <c r="F544" s="30" t="s">
        <v>128</v>
      </c>
      <c r="G544" s="253" t="s">
        <v>5883</v>
      </c>
      <c r="H544" s="30" t="s">
        <v>809</v>
      </c>
      <c r="I544" s="6" t="s">
        <v>809</v>
      </c>
      <c r="J544" s="30" t="s">
        <v>6574</v>
      </c>
      <c r="K544" s="253"/>
      <c r="L544" s="253"/>
      <c r="M544" s="30" t="s">
        <v>6575</v>
      </c>
      <c r="N544" s="6" t="s">
        <v>6576</v>
      </c>
      <c r="O544" s="6" t="s">
        <v>809</v>
      </c>
      <c r="P544" s="253" t="s">
        <v>1434</v>
      </c>
      <c r="Q544" s="186" t="s">
        <v>809</v>
      </c>
      <c r="R544" s="30" t="s">
        <v>809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809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6577</v>
      </c>
      <c r="B545" s="253" t="s">
        <v>6186</v>
      </c>
      <c r="C545" s="30" t="s">
        <v>3318</v>
      </c>
      <c r="D545" s="30" t="s">
        <v>6578</v>
      </c>
      <c r="E545" s="6" t="s">
        <v>1192</v>
      </c>
      <c r="F545" s="30" t="s">
        <v>128</v>
      </c>
      <c r="G545" s="253" t="s">
        <v>5883</v>
      </c>
      <c r="H545" s="30" t="s">
        <v>809</v>
      </c>
      <c r="I545" s="6" t="s">
        <v>809</v>
      </c>
      <c r="J545" s="30" t="s">
        <v>6508</v>
      </c>
      <c r="K545" s="253"/>
      <c r="L545" s="253"/>
      <c r="M545" s="30" t="s">
        <v>6579</v>
      </c>
      <c r="N545" s="6" t="s">
        <v>6580</v>
      </c>
      <c r="O545" s="6" t="s">
        <v>809</v>
      </c>
      <c r="P545" s="253" t="s">
        <v>1433</v>
      </c>
      <c r="Q545" s="186" t="s">
        <v>809</v>
      </c>
      <c r="R545" s="30" t="s">
        <v>809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809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6581</v>
      </c>
      <c r="B546" s="253" t="s">
        <v>6186</v>
      </c>
      <c r="C546" s="30" t="s">
        <v>3318</v>
      </c>
      <c r="D546" s="30" t="s">
        <v>6582</v>
      </c>
      <c r="E546" s="20" t="s">
        <v>6583</v>
      </c>
      <c r="F546" s="30" t="s">
        <v>128</v>
      </c>
      <c r="G546" s="253" t="s">
        <v>5883</v>
      </c>
      <c r="H546" s="30" t="s">
        <v>809</v>
      </c>
      <c r="I546" s="6" t="s">
        <v>809</v>
      </c>
      <c r="J546" s="30" t="s">
        <v>6508</v>
      </c>
      <c r="K546" s="253"/>
      <c r="L546" s="253"/>
      <c r="M546" s="253" t="s">
        <v>5023</v>
      </c>
      <c r="N546" s="20" t="s">
        <v>6584</v>
      </c>
      <c r="O546" s="6" t="s">
        <v>6585</v>
      </c>
      <c r="P546" s="253" t="s">
        <v>5238</v>
      </c>
      <c r="Q546" s="186" t="s">
        <v>809</v>
      </c>
      <c r="R546" s="30" t="s">
        <v>809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809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6586</v>
      </c>
      <c r="B547" s="253" t="s">
        <v>6186</v>
      </c>
      <c r="C547" s="30" t="s">
        <v>3318</v>
      </c>
      <c r="D547" s="30" t="s">
        <v>6587</v>
      </c>
      <c r="E547" s="20" t="s">
        <v>6588</v>
      </c>
      <c r="F547" s="30" t="s">
        <v>128</v>
      </c>
      <c r="G547" s="253" t="s">
        <v>5883</v>
      </c>
      <c r="H547" s="30" t="s">
        <v>809</v>
      </c>
      <c r="I547" s="6" t="s">
        <v>809</v>
      </c>
      <c r="J547" s="30" t="s">
        <v>6508</v>
      </c>
      <c r="K547" s="253"/>
      <c r="L547" s="253"/>
      <c r="M547" s="30" t="s">
        <v>6589</v>
      </c>
      <c r="N547" s="20" t="s">
        <v>6588</v>
      </c>
      <c r="O547" s="6" t="s">
        <v>809</v>
      </c>
      <c r="P547" s="253" t="s">
        <v>1433</v>
      </c>
      <c r="Q547" s="186" t="s">
        <v>809</v>
      </c>
      <c r="R547" s="30" t="s">
        <v>809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809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6590</v>
      </c>
      <c r="B548" s="253" t="s">
        <v>6186</v>
      </c>
      <c r="C548" s="30" t="s">
        <v>3318</v>
      </c>
      <c r="D548" s="30" t="s">
        <v>6591</v>
      </c>
      <c r="E548" s="20" t="s">
        <v>6592</v>
      </c>
      <c r="F548" s="30" t="s">
        <v>128</v>
      </c>
      <c r="G548" s="253" t="s">
        <v>5883</v>
      </c>
      <c r="H548" s="30" t="s">
        <v>809</v>
      </c>
      <c r="I548" s="6" t="s">
        <v>809</v>
      </c>
      <c r="J548" s="30" t="s">
        <v>6508</v>
      </c>
      <c r="K548" s="253"/>
      <c r="L548" s="253"/>
      <c r="M548" s="253" t="s">
        <v>6569</v>
      </c>
      <c r="N548" s="20" t="s">
        <v>6592</v>
      </c>
      <c r="O548" s="6" t="s">
        <v>809</v>
      </c>
      <c r="P548" s="253" t="s">
        <v>1433</v>
      </c>
      <c r="Q548" s="186" t="s">
        <v>809</v>
      </c>
      <c r="R548" s="30" t="s">
        <v>809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809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6593</v>
      </c>
      <c r="B549" s="253" t="s">
        <v>6186</v>
      </c>
      <c r="C549" s="30" t="s">
        <v>3318</v>
      </c>
      <c r="D549" s="30" t="s">
        <v>3201</v>
      </c>
      <c r="E549" s="6" t="s">
        <v>1207</v>
      </c>
      <c r="F549" s="30" t="s">
        <v>5299</v>
      </c>
      <c r="G549" s="253" t="s">
        <v>5235</v>
      </c>
      <c r="H549" s="30" t="s">
        <v>3980</v>
      </c>
      <c r="I549" s="20" t="s">
        <v>6594</v>
      </c>
      <c r="J549" s="30" t="s">
        <v>809</v>
      </c>
      <c r="K549" s="253"/>
      <c r="L549" s="253"/>
      <c r="M549" s="30" t="s">
        <v>809</v>
      </c>
      <c r="N549" s="20" t="s">
        <v>6595</v>
      </c>
      <c r="O549" s="6" t="s">
        <v>809</v>
      </c>
      <c r="P549" s="253" t="s">
        <v>5238</v>
      </c>
      <c r="Q549" s="198" t="n">
        <f aca="false">Train_In!C44</f>
        <v>0.0551801801801802</v>
      </c>
      <c r="R549" s="186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5267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223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6596</v>
      </c>
      <c r="B550" s="253" t="s">
        <v>6186</v>
      </c>
      <c r="C550" s="30" t="s">
        <v>3318</v>
      </c>
      <c r="D550" s="30" t="s">
        <v>3357</v>
      </c>
      <c r="E550" s="20" t="s">
        <v>1216</v>
      </c>
      <c r="F550" s="30" t="s">
        <v>133</v>
      </c>
      <c r="G550" s="253" t="s">
        <v>111</v>
      </c>
      <c r="H550" s="30" t="s">
        <v>6597</v>
      </c>
      <c r="I550" s="20" t="s">
        <v>6598</v>
      </c>
      <c r="J550" s="30" t="s">
        <v>6544</v>
      </c>
      <c r="K550" s="259" t="n">
        <f aca="false">Train_In!C46</f>
        <v>2E+026</v>
      </c>
      <c r="L550" s="259" t="n">
        <f aca="false">Train_In!C48</f>
        <v>2E+027</v>
      </c>
      <c r="M550" s="30" t="s">
        <v>809</v>
      </c>
      <c r="N550" s="6" t="s">
        <v>6599</v>
      </c>
      <c r="O550" s="6" t="s">
        <v>809</v>
      </c>
      <c r="P550" s="253" t="s">
        <v>5238</v>
      </c>
      <c r="Q550" s="259" t="n">
        <f aca="false">Train_In!C47</f>
        <v>5E+026</v>
      </c>
      <c r="R550" s="186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5239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222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6600</v>
      </c>
      <c r="B551" s="253" t="s">
        <v>6186</v>
      </c>
      <c r="C551" s="30" t="s">
        <v>3318</v>
      </c>
      <c r="D551" s="30" t="s">
        <v>6601</v>
      </c>
      <c r="E551" s="20" t="s">
        <v>1213</v>
      </c>
      <c r="F551" s="30" t="s">
        <v>133</v>
      </c>
      <c r="G551" s="253" t="s">
        <v>1433</v>
      </c>
      <c r="H551" s="30" t="s">
        <v>6597</v>
      </c>
      <c r="I551" s="20" t="s">
        <v>5257</v>
      </c>
      <c r="J551" s="30" t="s">
        <v>6544</v>
      </c>
      <c r="K551" s="253"/>
      <c r="L551" s="253"/>
      <c r="M551" s="30" t="s">
        <v>809</v>
      </c>
      <c r="N551" s="20" t="s">
        <v>6602</v>
      </c>
      <c r="O551" s="6" t="s">
        <v>809</v>
      </c>
      <c r="P551" s="253" t="s">
        <v>5238</v>
      </c>
      <c r="Q551" s="259" t="n">
        <f aca="false">Train_In!C46</f>
        <v>2E+026</v>
      </c>
      <c r="R551" s="186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5239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222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6603</v>
      </c>
      <c r="B552" s="253" t="s">
        <v>6186</v>
      </c>
      <c r="C552" s="30" t="s">
        <v>3318</v>
      </c>
      <c r="D552" s="30" t="s">
        <v>6604</v>
      </c>
      <c r="E552" s="20" t="s">
        <v>1217</v>
      </c>
      <c r="F552" s="30" t="s">
        <v>133</v>
      </c>
      <c r="G552" s="253" t="s">
        <v>1434</v>
      </c>
      <c r="H552" s="30" t="s">
        <v>6597</v>
      </c>
      <c r="I552" s="20" t="s">
        <v>5257</v>
      </c>
      <c r="J552" s="30" t="s">
        <v>6544</v>
      </c>
      <c r="K552" s="253"/>
      <c r="L552" s="253"/>
      <c r="M552" s="30" t="s">
        <v>809</v>
      </c>
      <c r="N552" s="20" t="s">
        <v>6605</v>
      </c>
      <c r="O552" s="6" t="s">
        <v>809</v>
      </c>
      <c r="P552" s="253" t="s">
        <v>5238</v>
      </c>
      <c r="Q552" s="259" t="n">
        <f aca="false">Train_In!C48</f>
        <v>2E+027</v>
      </c>
      <c r="R552" s="186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5239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222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6606</v>
      </c>
      <c r="B553" s="253" t="s">
        <v>6186</v>
      </c>
      <c r="C553" s="30" t="s">
        <v>6168</v>
      </c>
      <c r="D553" s="30" t="s">
        <v>6115</v>
      </c>
      <c r="E553" s="20" t="s">
        <v>494</v>
      </c>
      <c r="F553" s="253" t="s">
        <v>5882</v>
      </c>
      <c r="G553" s="253" t="s">
        <v>5883</v>
      </c>
      <c r="H553" s="30" t="s">
        <v>809</v>
      </c>
      <c r="I553" s="6" t="s">
        <v>809</v>
      </c>
      <c r="J553" s="30" t="s">
        <v>5884</v>
      </c>
      <c r="K553" s="253"/>
      <c r="L553" s="253"/>
      <c r="M553" s="30" t="s">
        <v>809</v>
      </c>
      <c r="N553" s="20" t="s">
        <v>6607</v>
      </c>
      <c r="O553" s="6" t="s">
        <v>809</v>
      </c>
      <c r="P553" s="253" t="s">
        <v>5238</v>
      </c>
      <c r="Q553" s="186" t="s">
        <v>809</v>
      </c>
      <c r="R553" s="30" t="s">
        <v>809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809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6608</v>
      </c>
      <c r="B554" s="253" t="s">
        <v>6186</v>
      </c>
      <c r="C554" s="30" t="s">
        <v>6168</v>
      </c>
      <c r="D554" s="30" t="s">
        <v>6117</v>
      </c>
      <c r="E554" s="20" t="s">
        <v>915</v>
      </c>
      <c r="F554" s="253" t="s">
        <v>5882</v>
      </c>
      <c r="G554" s="253" t="s">
        <v>5883</v>
      </c>
      <c r="H554" s="30" t="s">
        <v>809</v>
      </c>
      <c r="I554" s="6" t="s">
        <v>809</v>
      </c>
      <c r="J554" s="30" t="s">
        <v>5884</v>
      </c>
      <c r="K554" s="253"/>
      <c r="L554" s="253"/>
      <c r="M554" s="30" t="s">
        <v>809</v>
      </c>
      <c r="N554" s="20" t="s">
        <v>6609</v>
      </c>
      <c r="O554" s="6" t="s">
        <v>809</v>
      </c>
      <c r="P554" s="253" t="s">
        <v>5238</v>
      </c>
      <c r="Q554" s="186" t="s">
        <v>809</v>
      </c>
      <c r="R554" s="30" t="s">
        <v>809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809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6610</v>
      </c>
      <c r="B555" s="253" t="s">
        <v>6186</v>
      </c>
      <c r="C555" s="30" t="s">
        <v>6168</v>
      </c>
      <c r="D555" s="30" t="s">
        <v>6611</v>
      </c>
      <c r="E555" s="20" t="s">
        <v>6612</v>
      </c>
      <c r="F555" s="253" t="s">
        <v>5979</v>
      </c>
      <c r="G555" s="253" t="s">
        <v>5883</v>
      </c>
      <c r="H555" s="30" t="s">
        <v>809</v>
      </c>
      <c r="I555" s="6" t="s">
        <v>809</v>
      </c>
      <c r="J555" s="30" t="s">
        <v>5980</v>
      </c>
      <c r="K555" s="253"/>
      <c r="L555" s="253"/>
      <c r="M555" s="30" t="s">
        <v>809</v>
      </c>
      <c r="N555" s="6" t="s">
        <v>6613</v>
      </c>
      <c r="O555" s="6" t="s">
        <v>809</v>
      </c>
      <c r="P555" s="253" t="s">
        <v>5238</v>
      </c>
      <c r="Q555" s="186" t="s">
        <v>809</v>
      </c>
      <c r="R555" s="30" t="s">
        <v>809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809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6614</v>
      </c>
      <c r="B556" s="253" t="s">
        <v>6186</v>
      </c>
      <c r="C556" s="30" t="s">
        <v>6168</v>
      </c>
      <c r="D556" s="30" t="s">
        <v>6615</v>
      </c>
      <c r="E556" s="6" t="s">
        <v>1277</v>
      </c>
      <c r="F556" s="253" t="s">
        <v>5979</v>
      </c>
      <c r="G556" s="253" t="s">
        <v>5883</v>
      </c>
      <c r="H556" s="30" t="s">
        <v>809</v>
      </c>
      <c r="I556" s="6" t="s">
        <v>809</v>
      </c>
      <c r="J556" s="30" t="s">
        <v>5980</v>
      </c>
      <c r="K556" s="253"/>
      <c r="L556" s="253"/>
      <c r="M556" s="30" t="s">
        <v>809</v>
      </c>
      <c r="N556" s="6" t="s">
        <v>6616</v>
      </c>
      <c r="O556" s="6" t="s">
        <v>809</v>
      </c>
      <c r="P556" s="253" t="s">
        <v>5238</v>
      </c>
      <c r="Q556" s="186" t="s">
        <v>809</v>
      </c>
      <c r="R556" s="30" t="s">
        <v>809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809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6617</v>
      </c>
      <c r="B557" s="253" t="s">
        <v>6186</v>
      </c>
      <c r="C557" s="30" t="s">
        <v>6168</v>
      </c>
      <c r="D557" s="30" t="s">
        <v>6618</v>
      </c>
      <c r="E557" s="20" t="s">
        <v>6619</v>
      </c>
      <c r="F557" s="253" t="s">
        <v>5979</v>
      </c>
      <c r="G557" s="253" t="s">
        <v>5883</v>
      </c>
      <c r="H557" s="30" t="s">
        <v>809</v>
      </c>
      <c r="I557" s="6" t="s">
        <v>809</v>
      </c>
      <c r="J557" s="30" t="s">
        <v>5980</v>
      </c>
      <c r="K557" s="253"/>
      <c r="L557" s="253"/>
      <c r="M557" s="30" t="s">
        <v>809</v>
      </c>
      <c r="N557" s="6" t="s">
        <v>6620</v>
      </c>
      <c r="O557" s="6" t="s">
        <v>809</v>
      </c>
      <c r="P557" s="253" t="s">
        <v>5238</v>
      </c>
      <c r="Q557" s="186" t="s">
        <v>809</v>
      </c>
      <c r="R557" s="30" t="s">
        <v>809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809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6621</v>
      </c>
      <c r="B558" s="253" t="s">
        <v>6186</v>
      </c>
      <c r="C558" s="30" t="s">
        <v>6168</v>
      </c>
      <c r="D558" s="30" t="s">
        <v>6622</v>
      </c>
      <c r="E558" s="6" t="s">
        <v>1315</v>
      </c>
      <c r="F558" s="253" t="s">
        <v>5979</v>
      </c>
      <c r="G558" s="253" t="s">
        <v>5883</v>
      </c>
      <c r="H558" s="30" t="s">
        <v>809</v>
      </c>
      <c r="I558" s="6" t="s">
        <v>809</v>
      </c>
      <c r="J558" s="30" t="s">
        <v>5980</v>
      </c>
      <c r="K558" s="253"/>
      <c r="L558" s="253"/>
      <c r="M558" s="30" t="s">
        <v>809</v>
      </c>
      <c r="N558" s="6" t="s">
        <v>6623</v>
      </c>
      <c r="O558" s="6" t="s">
        <v>809</v>
      </c>
      <c r="P558" s="253" t="s">
        <v>5238</v>
      </c>
      <c r="Q558" s="186" t="s">
        <v>809</v>
      </c>
      <c r="R558" s="30" t="s">
        <v>809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809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6624</v>
      </c>
      <c r="B559" s="253" t="s">
        <v>6186</v>
      </c>
      <c r="C559" s="30" t="s">
        <v>6168</v>
      </c>
      <c r="D559" s="30" t="s">
        <v>6625</v>
      </c>
      <c r="E559" s="20" t="s">
        <v>1375</v>
      </c>
      <c r="F559" s="253" t="s">
        <v>5979</v>
      </c>
      <c r="G559" s="253" t="s">
        <v>5883</v>
      </c>
      <c r="H559" s="30" t="s">
        <v>809</v>
      </c>
      <c r="I559" s="6" t="s">
        <v>809</v>
      </c>
      <c r="J559" s="30" t="s">
        <v>5980</v>
      </c>
      <c r="K559" s="253"/>
      <c r="L559" s="253"/>
      <c r="M559" s="30" t="s">
        <v>809</v>
      </c>
      <c r="N559" s="6" t="s">
        <v>6626</v>
      </c>
      <c r="O559" s="6" t="s">
        <v>809</v>
      </c>
      <c r="P559" s="253" t="s">
        <v>5238</v>
      </c>
      <c r="Q559" s="186" t="s">
        <v>809</v>
      </c>
      <c r="R559" s="30" t="s">
        <v>809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809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6627</v>
      </c>
      <c r="B560" s="253" t="s">
        <v>6186</v>
      </c>
      <c r="C560" s="30" t="s">
        <v>3333</v>
      </c>
      <c r="D560" s="30" t="s">
        <v>6628</v>
      </c>
      <c r="E560" s="20" t="s">
        <v>494</v>
      </c>
      <c r="F560" s="253" t="s">
        <v>5882</v>
      </c>
      <c r="G560" s="253" t="s">
        <v>5883</v>
      </c>
      <c r="H560" s="30" t="s">
        <v>809</v>
      </c>
      <c r="I560" s="6" t="s">
        <v>809</v>
      </c>
      <c r="J560" s="30" t="s">
        <v>5884</v>
      </c>
      <c r="K560" s="253"/>
      <c r="L560" s="253"/>
      <c r="M560" s="30" t="s">
        <v>809</v>
      </c>
      <c r="N560" s="20" t="s">
        <v>6607</v>
      </c>
      <c r="O560" s="6" t="s">
        <v>809</v>
      </c>
      <c r="P560" s="253" t="s">
        <v>5238</v>
      </c>
      <c r="Q560" s="186" t="s">
        <v>809</v>
      </c>
      <c r="R560" s="30" t="s">
        <v>809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809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6629</v>
      </c>
      <c r="B561" s="253" t="s">
        <v>6186</v>
      </c>
      <c r="C561" s="30" t="s">
        <v>3333</v>
      </c>
      <c r="D561" s="30" t="s">
        <v>6630</v>
      </c>
      <c r="E561" s="20" t="s">
        <v>915</v>
      </c>
      <c r="F561" s="253" t="s">
        <v>5882</v>
      </c>
      <c r="G561" s="253" t="s">
        <v>5883</v>
      </c>
      <c r="H561" s="30" t="s">
        <v>809</v>
      </c>
      <c r="I561" s="6" t="s">
        <v>809</v>
      </c>
      <c r="J561" s="30" t="s">
        <v>5884</v>
      </c>
      <c r="K561" s="253"/>
      <c r="L561" s="253"/>
      <c r="M561" s="30" t="s">
        <v>809</v>
      </c>
      <c r="N561" s="20" t="s">
        <v>6609</v>
      </c>
      <c r="O561" s="6" t="s">
        <v>809</v>
      </c>
      <c r="P561" s="253" t="s">
        <v>5238</v>
      </c>
      <c r="Q561" s="186" t="s">
        <v>809</v>
      </c>
      <c r="R561" s="30" t="s">
        <v>809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809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6631</v>
      </c>
      <c r="B562" s="253" t="s">
        <v>6186</v>
      </c>
      <c r="C562" s="30" t="s">
        <v>3333</v>
      </c>
      <c r="D562" s="30" t="s">
        <v>6632</v>
      </c>
      <c r="E562" s="20" t="s">
        <v>6633</v>
      </c>
      <c r="F562" s="253" t="s">
        <v>5979</v>
      </c>
      <c r="G562" s="253" t="s">
        <v>5883</v>
      </c>
      <c r="H562" s="30" t="s">
        <v>809</v>
      </c>
      <c r="I562" s="6" t="s">
        <v>809</v>
      </c>
      <c r="J562" s="30" t="s">
        <v>6634</v>
      </c>
      <c r="K562" s="253"/>
      <c r="L562" s="253"/>
      <c r="M562" s="30" t="s">
        <v>809</v>
      </c>
      <c r="N562" s="6" t="s">
        <v>6635</v>
      </c>
      <c r="O562" s="6" t="s">
        <v>809</v>
      </c>
      <c r="P562" s="253" t="s">
        <v>5238</v>
      </c>
      <c r="Q562" s="186" t="s">
        <v>809</v>
      </c>
      <c r="R562" s="30" t="s">
        <v>809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809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6636</v>
      </c>
      <c r="B563" s="253" t="s">
        <v>6186</v>
      </c>
      <c r="C563" s="30" t="s">
        <v>3334</v>
      </c>
      <c r="D563" s="30" t="s">
        <v>6110</v>
      </c>
      <c r="E563" s="20" t="s">
        <v>494</v>
      </c>
      <c r="F563" s="253" t="s">
        <v>5882</v>
      </c>
      <c r="G563" s="253" t="s">
        <v>5883</v>
      </c>
      <c r="H563" s="30" t="s">
        <v>809</v>
      </c>
      <c r="I563" s="6" t="s">
        <v>809</v>
      </c>
      <c r="J563" s="30" t="s">
        <v>5884</v>
      </c>
      <c r="K563" s="253"/>
      <c r="L563" s="253"/>
      <c r="M563" s="30" t="s">
        <v>809</v>
      </c>
      <c r="N563" s="20" t="s">
        <v>6607</v>
      </c>
      <c r="O563" s="6" t="s">
        <v>809</v>
      </c>
      <c r="P563" s="253" t="s">
        <v>5238</v>
      </c>
      <c r="Q563" s="186" t="s">
        <v>809</v>
      </c>
      <c r="R563" s="30" t="s">
        <v>809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809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6637</v>
      </c>
      <c r="B564" s="253" t="s">
        <v>6186</v>
      </c>
      <c r="C564" s="30" t="s">
        <v>3334</v>
      </c>
      <c r="D564" s="30" t="s">
        <v>6113</v>
      </c>
      <c r="E564" s="20" t="s">
        <v>915</v>
      </c>
      <c r="F564" s="253" t="s">
        <v>5882</v>
      </c>
      <c r="G564" s="253" t="s">
        <v>5883</v>
      </c>
      <c r="H564" s="30" t="s">
        <v>809</v>
      </c>
      <c r="I564" s="6" t="s">
        <v>809</v>
      </c>
      <c r="J564" s="30" t="s">
        <v>5884</v>
      </c>
      <c r="K564" s="253"/>
      <c r="L564" s="253"/>
      <c r="M564" s="30" t="s">
        <v>809</v>
      </c>
      <c r="N564" s="20" t="s">
        <v>6609</v>
      </c>
      <c r="O564" s="6" t="s">
        <v>809</v>
      </c>
      <c r="P564" s="253" t="s">
        <v>5238</v>
      </c>
      <c r="Q564" s="186" t="s">
        <v>809</v>
      </c>
      <c r="R564" s="30" t="s">
        <v>809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809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6638</v>
      </c>
      <c r="B565" s="253" t="s">
        <v>6186</v>
      </c>
      <c r="C565" s="30" t="s">
        <v>6177</v>
      </c>
      <c r="D565" s="30" t="s">
        <v>6639</v>
      </c>
      <c r="E565" s="20" t="s">
        <v>6640</v>
      </c>
      <c r="F565" s="253" t="s">
        <v>5979</v>
      </c>
      <c r="G565" s="253" t="s">
        <v>5883</v>
      </c>
      <c r="H565" s="30" t="s">
        <v>809</v>
      </c>
      <c r="I565" s="6" t="s">
        <v>809</v>
      </c>
      <c r="J565" s="30" t="s">
        <v>5980</v>
      </c>
      <c r="K565" s="253"/>
      <c r="L565" s="253"/>
      <c r="M565" s="30" t="s">
        <v>809</v>
      </c>
      <c r="N565" s="6" t="s">
        <v>6641</v>
      </c>
      <c r="O565" s="6" t="s">
        <v>809</v>
      </c>
      <c r="P565" s="253" t="s">
        <v>5238</v>
      </c>
      <c r="Q565" s="186" t="s">
        <v>809</v>
      </c>
      <c r="R565" s="30" t="s">
        <v>809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809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6642</v>
      </c>
      <c r="B566" s="253" t="s">
        <v>6186</v>
      </c>
      <c r="C566" s="30" t="s">
        <v>6177</v>
      </c>
      <c r="D566" s="30" t="s">
        <v>6643</v>
      </c>
      <c r="E566" s="20" t="s">
        <v>6644</v>
      </c>
      <c r="F566" s="253" t="s">
        <v>5979</v>
      </c>
      <c r="G566" s="253" t="s">
        <v>5883</v>
      </c>
      <c r="H566" s="30" t="s">
        <v>809</v>
      </c>
      <c r="I566" s="6" t="s">
        <v>809</v>
      </c>
      <c r="J566" s="30" t="s">
        <v>5980</v>
      </c>
      <c r="K566" s="253"/>
      <c r="L566" s="253"/>
      <c r="M566" s="30" t="s">
        <v>809</v>
      </c>
      <c r="N566" s="6" t="s">
        <v>6645</v>
      </c>
      <c r="O566" s="6" t="s">
        <v>809</v>
      </c>
      <c r="P566" s="253" t="s">
        <v>5238</v>
      </c>
      <c r="Q566" s="186" t="s">
        <v>809</v>
      </c>
      <c r="R566" s="30" t="s">
        <v>809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809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6646</v>
      </c>
      <c r="B567" s="253" t="s">
        <v>6186</v>
      </c>
      <c r="C567" s="30" t="s">
        <v>6177</v>
      </c>
      <c r="D567" s="30" t="s">
        <v>6647</v>
      </c>
      <c r="E567" s="20" t="s">
        <v>6648</v>
      </c>
      <c r="F567" s="253" t="s">
        <v>5979</v>
      </c>
      <c r="G567" s="253" t="s">
        <v>5883</v>
      </c>
      <c r="H567" s="30" t="s">
        <v>809</v>
      </c>
      <c r="I567" s="6" t="s">
        <v>809</v>
      </c>
      <c r="J567" s="30" t="s">
        <v>5980</v>
      </c>
      <c r="K567" s="253"/>
      <c r="L567" s="253"/>
      <c r="M567" s="30" t="s">
        <v>809</v>
      </c>
      <c r="N567" s="6" t="s">
        <v>6649</v>
      </c>
      <c r="O567" s="6" t="s">
        <v>809</v>
      </c>
      <c r="P567" s="253" t="s">
        <v>5238</v>
      </c>
      <c r="Q567" s="186" t="s">
        <v>809</v>
      </c>
      <c r="R567" s="30" t="s">
        <v>809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809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6650</v>
      </c>
      <c r="B568" s="253" t="s">
        <v>6186</v>
      </c>
      <c r="C568" s="30" t="s">
        <v>6177</v>
      </c>
      <c r="D568" s="30" t="s">
        <v>6651</v>
      </c>
      <c r="E568" s="20" t="s">
        <v>6652</v>
      </c>
      <c r="F568" s="253" t="s">
        <v>5979</v>
      </c>
      <c r="G568" s="253" t="s">
        <v>5883</v>
      </c>
      <c r="H568" s="30" t="s">
        <v>809</v>
      </c>
      <c r="I568" s="6" t="s">
        <v>809</v>
      </c>
      <c r="J568" s="30" t="s">
        <v>5980</v>
      </c>
      <c r="K568" s="253"/>
      <c r="L568" s="253"/>
      <c r="M568" s="30" t="s">
        <v>809</v>
      </c>
      <c r="N568" s="6" t="s">
        <v>6653</v>
      </c>
      <c r="O568" s="6" t="s">
        <v>809</v>
      </c>
      <c r="P568" s="253" t="s">
        <v>5238</v>
      </c>
      <c r="Q568" s="186" t="s">
        <v>809</v>
      </c>
      <c r="R568" s="30" t="s">
        <v>809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809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6654</v>
      </c>
      <c r="B569" s="253" t="s">
        <v>6186</v>
      </c>
      <c r="C569" s="30" t="s">
        <v>6177</v>
      </c>
      <c r="D569" s="30" t="s">
        <v>6655</v>
      </c>
      <c r="E569" s="20" t="s">
        <v>6656</v>
      </c>
      <c r="F569" s="253" t="s">
        <v>5979</v>
      </c>
      <c r="G569" s="253" t="s">
        <v>5883</v>
      </c>
      <c r="H569" s="30" t="s">
        <v>809</v>
      </c>
      <c r="I569" s="6" t="s">
        <v>809</v>
      </c>
      <c r="J569" s="30" t="s">
        <v>5980</v>
      </c>
      <c r="K569" s="253"/>
      <c r="L569" s="253"/>
      <c r="M569" s="30" t="s">
        <v>809</v>
      </c>
      <c r="N569" s="6" t="s">
        <v>6657</v>
      </c>
      <c r="O569" s="6" t="s">
        <v>809</v>
      </c>
      <c r="P569" s="253" t="s">
        <v>5238</v>
      </c>
      <c r="Q569" s="186" t="s">
        <v>809</v>
      </c>
      <c r="R569" s="30" t="s">
        <v>809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809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6658</v>
      </c>
      <c r="B570" s="253" t="s">
        <v>6186</v>
      </c>
      <c r="C570" s="30" t="s">
        <v>6177</v>
      </c>
      <c r="D570" s="30" t="s">
        <v>6659</v>
      </c>
      <c r="E570" s="6" t="s">
        <v>2370</v>
      </c>
      <c r="F570" s="253" t="s">
        <v>5979</v>
      </c>
      <c r="G570" s="253" t="s">
        <v>5883</v>
      </c>
      <c r="H570" s="30" t="s">
        <v>809</v>
      </c>
      <c r="I570" s="6" t="s">
        <v>809</v>
      </c>
      <c r="J570" s="30" t="s">
        <v>5980</v>
      </c>
      <c r="K570" s="253"/>
      <c r="L570" s="253"/>
      <c r="M570" s="30" t="s">
        <v>809</v>
      </c>
      <c r="N570" s="6" t="s">
        <v>6660</v>
      </c>
      <c r="O570" s="6" t="s">
        <v>809</v>
      </c>
      <c r="P570" s="253" t="s">
        <v>5238</v>
      </c>
      <c r="Q570" s="33" t="n">
        <f aca="false">Sens_Rev!B17</f>
        <v>7</v>
      </c>
      <c r="R570" s="30" t="s">
        <v>809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5239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6661</v>
      </c>
      <c r="B571" s="253" t="s">
        <v>6186</v>
      </c>
      <c r="C571" s="30" t="s">
        <v>6177</v>
      </c>
      <c r="D571" s="30" t="s">
        <v>6662</v>
      </c>
      <c r="E571" s="20" t="s">
        <v>6663</v>
      </c>
      <c r="F571" s="253" t="s">
        <v>5979</v>
      </c>
      <c r="G571" s="253" t="s">
        <v>5883</v>
      </c>
      <c r="H571" s="30" t="s">
        <v>809</v>
      </c>
      <c r="I571" s="6" t="s">
        <v>809</v>
      </c>
      <c r="J571" s="30" t="s">
        <v>5980</v>
      </c>
      <c r="K571" s="253"/>
      <c r="L571" s="253"/>
      <c r="M571" s="30" t="s">
        <v>809</v>
      </c>
      <c r="N571" s="6" t="s">
        <v>6664</v>
      </c>
      <c r="O571" s="6" t="s">
        <v>809</v>
      </c>
      <c r="P571" s="253" t="s">
        <v>5238</v>
      </c>
      <c r="Q571" s="186" t="s">
        <v>809</v>
      </c>
      <c r="R571" s="30" t="s">
        <v>809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809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6665</v>
      </c>
      <c r="B572" s="253" t="s">
        <v>6186</v>
      </c>
      <c r="C572" s="30" t="s">
        <v>6666</v>
      </c>
      <c r="D572" s="30" t="s">
        <v>6667</v>
      </c>
      <c r="E572" s="20" t="s">
        <v>126</v>
      </c>
      <c r="F572" s="253" t="s">
        <v>5979</v>
      </c>
      <c r="G572" s="253" t="s">
        <v>5883</v>
      </c>
      <c r="H572" s="30" t="s">
        <v>809</v>
      </c>
      <c r="I572" s="6" t="s">
        <v>809</v>
      </c>
      <c r="J572" s="30" t="s">
        <v>5980</v>
      </c>
      <c r="K572" s="253"/>
      <c r="L572" s="253"/>
      <c r="M572" s="30" t="s">
        <v>809</v>
      </c>
      <c r="N572" s="20" t="s">
        <v>6668</v>
      </c>
      <c r="O572" s="6" t="s">
        <v>809</v>
      </c>
      <c r="P572" s="30" t="s">
        <v>809</v>
      </c>
      <c r="Q572" s="186" t="s">
        <v>809</v>
      </c>
      <c r="R572" s="30" t="s">
        <v>809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809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6669</v>
      </c>
      <c r="B573" s="253" t="s">
        <v>6186</v>
      </c>
      <c r="C573" s="30" t="s">
        <v>6666</v>
      </c>
      <c r="D573" s="30" t="s">
        <v>6670</v>
      </c>
      <c r="E573" s="6" t="s">
        <v>1108</v>
      </c>
      <c r="F573" s="253" t="s">
        <v>5979</v>
      </c>
      <c r="G573" s="253" t="s">
        <v>5883</v>
      </c>
      <c r="H573" s="30" t="s">
        <v>809</v>
      </c>
      <c r="I573" s="6" t="s">
        <v>809</v>
      </c>
      <c r="J573" s="30" t="s">
        <v>5980</v>
      </c>
      <c r="K573" s="253"/>
      <c r="L573" s="253"/>
      <c r="M573" s="30" t="s">
        <v>809</v>
      </c>
      <c r="N573" s="6" t="s">
        <v>6671</v>
      </c>
      <c r="O573" s="6" t="s">
        <v>809</v>
      </c>
      <c r="P573" s="253" t="s">
        <v>5238</v>
      </c>
      <c r="Q573" s="33" t="n">
        <f aca="false">Sensitivity!N37</f>
        <v>7</v>
      </c>
      <c r="R573" s="30" t="s">
        <v>809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5239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6672</v>
      </c>
      <c r="B574" s="253" t="s">
        <v>6673</v>
      </c>
      <c r="C574" s="30" t="s">
        <v>3208</v>
      </c>
      <c r="D574" s="30" t="s">
        <v>6674</v>
      </c>
      <c r="E574" s="20" t="s">
        <v>6675</v>
      </c>
      <c r="F574" s="30" t="s">
        <v>128</v>
      </c>
      <c r="G574" s="253" t="s">
        <v>5883</v>
      </c>
      <c r="H574" s="30" t="s">
        <v>5635</v>
      </c>
      <c r="I574" s="245" t="s">
        <v>6676</v>
      </c>
      <c r="J574" s="30" t="s">
        <v>5676</v>
      </c>
      <c r="K574" s="253" t="n">
        <v>4</v>
      </c>
      <c r="L574" s="253" t="n">
        <v>130</v>
      </c>
      <c r="M574" s="30" t="s">
        <v>6677</v>
      </c>
      <c r="N574" s="6" t="s">
        <v>6678</v>
      </c>
      <c r="O574" s="6" t="s">
        <v>809</v>
      </c>
      <c r="P574" s="30" t="s">
        <v>809</v>
      </c>
      <c r="Q574" s="186" t="s">
        <v>809</v>
      </c>
      <c r="R574" s="186" t="n">
        <f aca="false">SRC_MOD_009</f>
        <v>512</v>
      </c>
      <c r="S574" s="44" t="str">
        <f aca="false">IF(ISNUMBER($AF574),INDEX(IDX_SrcStat,$AF574),"—")</f>
        <v>Active</v>
      </c>
      <c r="T574" s="44" t="n">
        <f aca="false">IF(ISNUMBER($AF574),INDEX(IDX_SrcGrade,$AF574),"—")</f>
        <v>1</v>
      </c>
      <c r="U574" s="30" t="s">
        <v>809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n">
        <f aca="false">IF(OR($H574="—",$H574=""),"—",MATCH($H574,IDX_SrcID,0))</f>
        <v>198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6679</v>
      </c>
      <c r="B575" s="253" t="s">
        <v>6673</v>
      </c>
      <c r="C575" s="30" t="s">
        <v>3208</v>
      </c>
      <c r="D575" s="30" t="s">
        <v>3163</v>
      </c>
      <c r="E575" s="6" t="s">
        <v>364</v>
      </c>
      <c r="F575" s="30" t="s">
        <v>133</v>
      </c>
      <c r="G575" s="253" t="s">
        <v>5235</v>
      </c>
      <c r="H575" s="30" t="s">
        <v>6009</v>
      </c>
      <c r="I575" s="20" t="s">
        <v>6680</v>
      </c>
      <c r="J575" s="30" t="s">
        <v>809</v>
      </c>
      <c r="K575" s="253"/>
      <c r="L575" s="253"/>
      <c r="M575" s="253" t="s">
        <v>5023</v>
      </c>
      <c r="N575" s="6" t="s">
        <v>6681</v>
      </c>
      <c r="O575" s="6" t="s">
        <v>809</v>
      </c>
      <c r="P575" s="253" t="s">
        <v>1433</v>
      </c>
      <c r="Q575" s="49" t="n">
        <f aca="false">Arch!E35</f>
        <v>576</v>
      </c>
      <c r="R575" s="186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5239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217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6682</v>
      </c>
      <c r="B576" s="253" t="s">
        <v>6673</v>
      </c>
      <c r="C576" s="30" t="s">
        <v>3208</v>
      </c>
      <c r="D576" s="30" t="s">
        <v>3211</v>
      </c>
      <c r="E576" s="6" t="s">
        <v>367</v>
      </c>
      <c r="F576" s="30" t="s">
        <v>128</v>
      </c>
      <c r="G576" s="253" t="s">
        <v>5235</v>
      </c>
      <c r="H576" s="30" t="s">
        <v>809</v>
      </c>
      <c r="I576" s="6" t="s">
        <v>809</v>
      </c>
      <c r="J576" s="30" t="s">
        <v>5701</v>
      </c>
      <c r="K576" s="255" t="n">
        <v>0.15</v>
      </c>
      <c r="L576" s="255" t="n">
        <v>0.5</v>
      </c>
      <c r="M576" s="30" t="s">
        <v>6683</v>
      </c>
      <c r="N576" s="6" t="s">
        <v>6684</v>
      </c>
      <c r="O576" s="6" t="s">
        <v>809</v>
      </c>
      <c r="P576" s="253" t="s">
        <v>5238</v>
      </c>
      <c r="Q576" s="196" t="n">
        <f aca="false">Arch!E36</f>
        <v>0.26</v>
      </c>
      <c r="R576" s="30" t="s">
        <v>809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5239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6685</v>
      </c>
      <c r="B577" s="253" t="s">
        <v>6673</v>
      </c>
      <c r="C577" s="30" t="s">
        <v>3208</v>
      </c>
      <c r="D577" s="30" t="s">
        <v>3166</v>
      </c>
      <c r="E577" s="6" t="s">
        <v>369</v>
      </c>
      <c r="F577" s="30" t="s">
        <v>128</v>
      </c>
      <c r="G577" s="253" t="s">
        <v>5235</v>
      </c>
      <c r="H577" s="30" t="s">
        <v>809</v>
      </c>
      <c r="I577" s="6" t="s">
        <v>809</v>
      </c>
      <c r="J577" s="30" t="s">
        <v>5701</v>
      </c>
      <c r="K577" s="253"/>
      <c r="L577" s="253"/>
      <c r="M577" s="253" t="s">
        <v>5023</v>
      </c>
      <c r="N577" s="6" t="s">
        <v>6686</v>
      </c>
      <c r="O577" s="6" t="s">
        <v>809</v>
      </c>
      <c r="P577" s="253" t="s">
        <v>5238</v>
      </c>
      <c r="Q577" s="49" t="n">
        <f aca="false">Arch!E37</f>
        <v>8</v>
      </c>
      <c r="R577" s="30" t="s">
        <v>809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5239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6687</v>
      </c>
      <c r="B578" s="253" t="s">
        <v>6673</v>
      </c>
      <c r="C578" s="30" t="s">
        <v>3208</v>
      </c>
      <c r="D578" s="30" t="s">
        <v>3332</v>
      </c>
      <c r="E578" s="6" t="s">
        <v>372</v>
      </c>
      <c r="F578" s="253" t="s">
        <v>373</v>
      </c>
      <c r="G578" s="253" t="s">
        <v>5235</v>
      </c>
      <c r="H578" s="30" t="s">
        <v>5533</v>
      </c>
      <c r="I578" s="20" t="s">
        <v>5265</v>
      </c>
      <c r="J578" s="30" t="s">
        <v>809</v>
      </c>
      <c r="K578" s="253"/>
      <c r="L578" s="253"/>
      <c r="M578" s="30" t="s">
        <v>809</v>
      </c>
      <c r="N578" s="6" t="s">
        <v>6688</v>
      </c>
      <c r="O578" s="6" t="s">
        <v>809</v>
      </c>
      <c r="P578" s="253" t="s">
        <v>1433</v>
      </c>
      <c r="Q578" s="49" t="n">
        <f aca="false">Arch!C38</f>
        <v>1</v>
      </c>
      <c r="R578" s="186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5267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6689</v>
      </c>
      <c r="B579" s="253" t="s">
        <v>6690</v>
      </c>
      <c r="C579" s="30" t="s">
        <v>3343</v>
      </c>
      <c r="D579" s="30" t="s">
        <v>3228</v>
      </c>
      <c r="E579" s="20" t="s">
        <v>2676</v>
      </c>
      <c r="F579" s="30" t="s">
        <v>118</v>
      </c>
      <c r="G579" s="253" t="s">
        <v>5235</v>
      </c>
      <c r="H579" s="30" t="s">
        <v>809</v>
      </c>
      <c r="I579" s="6" t="s">
        <v>809</v>
      </c>
      <c r="J579" s="30" t="s">
        <v>6691</v>
      </c>
      <c r="K579" s="253"/>
      <c r="L579" s="253"/>
      <c r="M579" s="253" t="s">
        <v>5023</v>
      </c>
      <c r="N579" s="6" t="s">
        <v>6692</v>
      </c>
      <c r="O579" s="6" t="s">
        <v>809</v>
      </c>
      <c r="P579" s="253" t="s">
        <v>5238</v>
      </c>
      <c r="Q579" s="186" t="str">
        <f aca="false">Alloc_In!C5</f>
        <v>OpenAI</v>
      </c>
      <c r="R579" s="30" t="s">
        <v>809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5239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6693</v>
      </c>
      <c r="B580" s="253" t="s">
        <v>6690</v>
      </c>
      <c r="C580" s="30" t="s">
        <v>3343</v>
      </c>
      <c r="D580" s="30" t="s">
        <v>3172</v>
      </c>
      <c r="E580" s="20" t="s">
        <v>6694</v>
      </c>
      <c r="F580" s="30" t="s">
        <v>128</v>
      </c>
      <c r="G580" s="253" t="s">
        <v>111</v>
      </c>
      <c r="H580" s="30" t="s">
        <v>809</v>
      </c>
      <c r="I580" s="6" t="s">
        <v>809</v>
      </c>
      <c r="J580" s="30" t="s">
        <v>6695</v>
      </c>
      <c r="K580" s="201" t="n">
        <f aca="false">Alloc_In!D6</f>
        <v>1</v>
      </c>
      <c r="L580" s="201" t="n">
        <f aca="false">Alloc_In!E6</f>
        <v>2</v>
      </c>
      <c r="M580" s="30" t="s">
        <v>809</v>
      </c>
      <c r="N580" s="6" t="s">
        <v>6696</v>
      </c>
      <c r="O580" s="6" t="s">
        <v>809</v>
      </c>
      <c r="P580" s="253" t="s">
        <v>1434</v>
      </c>
      <c r="Q580" s="201" t="n">
        <f aca="false">Alloc_In!C6</f>
        <v>1</v>
      </c>
      <c r="R580" s="30" t="s">
        <v>809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5239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6697</v>
      </c>
      <c r="B581" s="253" t="s">
        <v>6690</v>
      </c>
      <c r="C581" s="30" t="s">
        <v>3343</v>
      </c>
      <c r="D581" s="30" t="s">
        <v>6698</v>
      </c>
      <c r="E581" s="20" t="s">
        <v>6694</v>
      </c>
      <c r="F581" s="30" t="s">
        <v>128</v>
      </c>
      <c r="G581" s="253" t="s">
        <v>6195</v>
      </c>
      <c r="H581" s="30" t="s">
        <v>809</v>
      </c>
      <c r="I581" s="6" t="s">
        <v>809</v>
      </c>
      <c r="J581" s="30" t="s">
        <v>6695</v>
      </c>
      <c r="K581" s="253"/>
      <c r="L581" s="253"/>
      <c r="M581" s="30" t="s">
        <v>6699</v>
      </c>
      <c r="N581" s="6" t="s">
        <v>6700</v>
      </c>
      <c r="O581" s="6" t="s">
        <v>809</v>
      </c>
      <c r="P581" s="30" t="s">
        <v>809</v>
      </c>
      <c r="Q581" s="186" t="s">
        <v>809</v>
      </c>
      <c r="R581" s="30" t="s">
        <v>809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809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6701</v>
      </c>
      <c r="B582" s="253" t="s">
        <v>6690</v>
      </c>
      <c r="C582" s="30" t="s">
        <v>3343</v>
      </c>
      <c r="D582" s="30" t="s">
        <v>3308</v>
      </c>
      <c r="E582" s="20" t="s">
        <v>6702</v>
      </c>
      <c r="F582" s="30" t="s">
        <v>128</v>
      </c>
      <c r="G582" s="253" t="s">
        <v>111</v>
      </c>
      <c r="H582" s="30" t="s">
        <v>809</v>
      </c>
      <c r="I582" s="6" t="s">
        <v>809</v>
      </c>
      <c r="J582" s="30" t="s">
        <v>6703</v>
      </c>
      <c r="K582" s="201" t="n">
        <f aca="false">Alloc_In!D7</f>
        <v>0</v>
      </c>
      <c r="L582" s="201" t="n">
        <f aca="false">Alloc_In!E7</f>
        <v>6</v>
      </c>
      <c r="M582" s="30" t="s">
        <v>6704</v>
      </c>
      <c r="N582" s="6" t="s">
        <v>6705</v>
      </c>
      <c r="O582" s="6" t="s">
        <v>809</v>
      </c>
      <c r="P582" s="253" t="s">
        <v>1434</v>
      </c>
      <c r="Q582" s="201" t="n">
        <f aca="false">Alloc_In!C7</f>
        <v>2</v>
      </c>
      <c r="R582" s="30" t="s">
        <v>809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5239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6706</v>
      </c>
      <c r="B583" s="253" t="s">
        <v>6690</v>
      </c>
      <c r="C583" s="30" t="s">
        <v>3343</v>
      </c>
      <c r="D583" s="30" t="s">
        <v>6707</v>
      </c>
      <c r="E583" s="20" t="s">
        <v>6702</v>
      </c>
      <c r="F583" s="30" t="s">
        <v>128</v>
      </c>
      <c r="G583" s="253" t="s">
        <v>6195</v>
      </c>
      <c r="H583" s="30" t="s">
        <v>809</v>
      </c>
      <c r="I583" s="6" t="s">
        <v>809</v>
      </c>
      <c r="J583" s="30" t="s">
        <v>6703</v>
      </c>
      <c r="K583" s="253"/>
      <c r="L583" s="253"/>
      <c r="M583" s="30" t="s">
        <v>6708</v>
      </c>
      <c r="N583" s="6" t="s">
        <v>6709</v>
      </c>
      <c r="O583" s="6" t="s">
        <v>809</v>
      </c>
      <c r="P583" s="30" t="s">
        <v>809</v>
      </c>
      <c r="Q583" s="186" t="s">
        <v>809</v>
      </c>
      <c r="R583" s="30" t="s">
        <v>809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809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6710</v>
      </c>
      <c r="B584" s="253" t="s">
        <v>6690</v>
      </c>
      <c r="C584" s="30" t="s">
        <v>3343</v>
      </c>
      <c r="D584" s="30" t="s">
        <v>3173</v>
      </c>
      <c r="E584" s="20" t="s">
        <v>6711</v>
      </c>
      <c r="F584" s="30" t="s">
        <v>128</v>
      </c>
      <c r="G584" s="253" t="s">
        <v>111</v>
      </c>
      <c r="H584" s="30" t="s">
        <v>809</v>
      </c>
      <c r="I584" s="6" t="s">
        <v>809</v>
      </c>
      <c r="J584" s="30" t="s">
        <v>6712</v>
      </c>
      <c r="K584" s="201" t="n">
        <f aca="false">Alloc_In!D8</f>
        <v>0.5</v>
      </c>
      <c r="L584" s="201" t="n">
        <f aca="false">Alloc_In!E8</f>
        <v>7</v>
      </c>
      <c r="M584" s="30" t="s">
        <v>809</v>
      </c>
      <c r="N584" s="6" t="s">
        <v>6713</v>
      </c>
      <c r="O584" s="6" t="s">
        <v>809</v>
      </c>
      <c r="P584" s="253" t="s">
        <v>1434</v>
      </c>
      <c r="Q584" s="201" t="n">
        <f aca="false">Alloc_In!C8</f>
        <v>1</v>
      </c>
      <c r="R584" s="30" t="s">
        <v>809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5239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6714</v>
      </c>
      <c r="B585" s="253" t="s">
        <v>6690</v>
      </c>
      <c r="C585" s="30" t="s">
        <v>3343</v>
      </c>
      <c r="D585" s="30" t="s">
        <v>6715</v>
      </c>
      <c r="E585" s="20" t="s">
        <v>6711</v>
      </c>
      <c r="F585" s="30" t="s">
        <v>128</v>
      </c>
      <c r="G585" s="253" t="s">
        <v>6195</v>
      </c>
      <c r="H585" s="30" t="s">
        <v>809</v>
      </c>
      <c r="I585" s="6" t="s">
        <v>809</v>
      </c>
      <c r="J585" s="30" t="s">
        <v>6712</v>
      </c>
      <c r="K585" s="253"/>
      <c r="L585" s="253"/>
      <c r="M585" s="30" t="s">
        <v>6716</v>
      </c>
      <c r="N585" s="6" t="s">
        <v>6717</v>
      </c>
      <c r="O585" s="6" t="s">
        <v>809</v>
      </c>
      <c r="P585" s="30" t="s">
        <v>809</v>
      </c>
      <c r="Q585" s="186" t="s">
        <v>809</v>
      </c>
      <c r="R585" s="30" t="s">
        <v>809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809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6718</v>
      </c>
      <c r="B586" s="253" t="s">
        <v>6690</v>
      </c>
      <c r="C586" s="30" t="s">
        <v>3343</v>
      </c>
      <c r="D586" s="30" t="s">
        <v>3184</v>
      </c>
      <c r="E586" s="20" t="s">
        <v>6719</v>
      </c>
      <c r="F586" s="30" t="s">
        <v>128</v>
      </c>
      <c r="G586" s="253" t="s">
        <v>111</v>
      </c>
      <c r="H586" s="30" t="s">
        <v>809</v>
      </c>
      <c r="I586" s="6" t="s">
        <v>809</v>
      </c>
      <c r="J586" s="30" t="s">
        <v>6720</v>
      </c>
      <c r="K586" s="196" t="n">
        <f aca="false">Alloc_In!D13</f>
        <v>0</v>
      </c>
      <c r="L586" s="196" t="n">
        <f aca="false">Alloc_In!E13</f>
        <v>1</v>
      </c>
      <c r="M586" s="30" t="s">
        <v>809</v>
      </c>
      <c r="N586" s="6" t="s">
        <v>6721</v>
      </c>
      <c r="O586" s="6" t="s">
        <v>809</v>
      </c>
      <c r="P586" s="253" t="s">
        <v>5238</v>
      </c>
      <c r="Q586" s="196" t="n">
        <f aca="false">Alloc_In!C13</f>
        <v>0</v>
      </c>
      <c r="R586" s="30" t="s">
        <v>809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5239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6722</v>
      </c>
      <c r="B587" s="253" t="s">
        <v>6690</v>
      </c>
      <c r="C587" s="30" t="s">
        <v>3343</v>
      </c>
      <c r="D587" s="30" t="s">
        <v>6204</v>
      </c>
      <c r="E587" s="20" t="s">
        <v>6719</v>
      </c>
      <c r="F587" s="30" t="s">
        <v>128</v>
      </c>
      <c r="G587" s="253" t="s">
        <v>6195</v>
      </c>
      <c r="H587" s="30" t="s">
        <v>809</v>
      </c>
      <c r="I587" s="6" t="s">
        <v>809</v>
      </c>
      <c r="J587" s="30" t="s">
        <v>6720</v>
      </c>
      <c r="K587" s="253"/>
      <c r="L587" s="253"/>
      <c r="M587" s="30" t="s">
        <v>6205</v>
      </c>
      <c r="N587" s="6" t="s">
        <v>6721</v>
      </c>
      <c r="O587" s="6" t="s">
        <v>809</v>
      </c>
      <c r="P587" s="30" t="s">
        <v>809</v>
      </c>
      <c r="Q587" s="186" t="s">
        <v>809</v>
      </c>
      <c r="R587" s="30" t="s">
        <v>809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809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6723</v>
      </c>
      <c r="B588" s="253" t="s">
        <v>6690</v>
      </c>
      <c r="C588" s="30" t="s">
        <v>3343</v>
      </c>
      <c r="D588" s="30" t="s">
        <v>3213</v>
      </c>
      <c r="E588" s="6" t="s">
        <v>2700</v>
      </c>
      <c r="F588" s="30" t="s">
        <v>128</v>
      </c>
      <c r="G588" s="253" t="s">
        <v>111</v>
      </c>
      <c r="H588" s="30" t="s">
        <v>6724</v>
      </c>
      <c r="I588" s="20" t="s">
        <v>6725</v>
      </c>
      <c r="J588" s="30" t="s">
        <v>809</v>
      </c>
      <c r="K588" s="201" t="n">
        <f aca="false">Alloc_In!D14</f>
        <v>0.6</v>
      </c>
      <c r="L588" s="201" t="n">
        <f aca="false">Alloc_In!E14</f>
        <v>0.9</v>
      </c>
      <c r="M588" s="30" t="s">
        <v>809</v>
      </c>
      <c r="N588" s="6" t="s">
        <v>6726</v>
      </c>
      <c r="O588" s="6" t="s">
        <v>809</v>
      </c>
      <c r="P588" s="253" t="s">
        <v>5281</v>
      </c>
      <c r="Q588" s="201" t="n">
        <f aca="false">Alloc_In!C14</f>
        <v>0.75</v>
      </c>
      <c r="R588" s="186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5239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676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6727</v>
      </c>
      <c r="B589" s="253" t="s">
        <v>6690</v>
      </c>
      <c r="C589" s="30" t="s">
        <v>3343</v>
      </c>
      <c r="D589" s="30" t="s">
        <v>6211</v>
      </c>
      <c r="E589" s="6" t="s">
        <v>2700</v>
      </c>
      <c r="F589" s="30" t="s">
        <v>128</v>
      </c>
      <c r="G589" s="253" t="s">
        <v>6195</v>
      </c>
      <c r="H589" s="30" t="s">
        <v>809</v>
      </c>
      <c r="I589" s="6" t="s">
        <v>809</v>
      </c>
      <c r="J589" s="30" t="s">
        <v>6728</v>
      </c>
      <c r="K589" s="253"/>
      <c r="L589" s="253"/>
      <c r="M589" s="30" t="s">
        <v>6212</v>
      </c>
      <c r="N589" s="6" t="s">
        <v>6729</v>
      </c>
      <c r="O589" s="6" t="s">
        <v>809</v>
      </c>
      <c r="P589" s="30" t="s">
        <v>809</v>
      </c>
      <c r="Q589" s="186" t="s">
        <v>809</v>
      </c>
      <c r="R589" s="30" t="s">
        <v>809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809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6730</v>
      </c>
      <c r="B590" s="253" t="s">
        <v>6690</v>
      </c>
      <c r="C590" s="30" t="s">
        <v>3343</v>
      </c>
      <c r="D590" s="30" t="s">
        <v>3214</v>
      </c>
      <c r="E590" s="20" t="s">
        <v>6731</v>
      </c>
      <c r="F590" s="30" t="s">
        <v>128</v>
      </c>
      <c r="G590" s="253" t="s">
        <v>111</v>
      </c>
      <c r="H590" s="30" t="s">
        <v>6732</v>
      </c>
      <c r="I590" s="20" t="s">
        <v>6733</v>
      </c>
      <c r="J590" s="30" t="s">
        <v>809</v>
      </c>
      <c r="K590" s="49" t="n">
        <f aca="false">Alloc_In!D15</f>
        <v>2000</v>
      </c>
      <c r="L590" s="49" t="n">
        <f aca="false">Alloc_In!E15</f>
        <v>11000</v>
      </c>
      <c r="M590" s="30" t="s">
        <v>6734</v>
      </c>
      <c r="N590" s="6" t="s">
        <v>6735</v>
      </c>
      <c r="O590" s="6" t="s">
        <v>809</v>
      </c>
      <c r="P590" s="253" t="s">
        <v>1434</v>
      </c>
      <c r="Q590" s="49" t="n">
        <f aca="false">Alloc_In!C15</f>
        <v>4000</v>
      </c>
      <c r="R590" s="186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5239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678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6736</v>
      </c>
      <c r="B591" s="253" t="s">
        <v>6690</v>
      </c>
      <c r="C591" s="30" t="s">
        <v>3343</v>
      </c>
      <c r="D591" s="30" t="s">
        <v>6217</v>
      </c>
      <c r="E591" s="20" t="s">
        <v>6731</v>
      </c>
      <c r="F591" s="30" t="s">
        <v>128</v>
      </c>
      <c r="G591" s="253" t="s">
        <v>6195</v>
      </c>
      <c r="H591" s="30" t="s">
        <v>809</v>
      </c>
      <c r="I591" s="6" t="s">
        <v>809</v>
      </c>
      <c r="J591" s="30" t="s">
        <v>6737</v>
      </c>
      <c r="K591" s="253"/>
      <c r="L591" s="253"/>
      <c r="M591" s="30" t="s">
        <v>6218</v>
      </c>
      <c r="N591" s="6" t="s">
        <v>6738</v>
      </c>
      <c r="O591" s="6" t="s">
        <v>809</v>
      </c>
      <c r="P591" s="30" t="s">
        <v>809</v>
      </c>
      <c r="Q591" s="186" t="s">
        <v>809</v>
      </c>
      <c r="R591" s="30" t="s">
        <v>809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809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6739</v>
      </c>
      <c r="B592" s="253" t="s">
        <v>6690</v>
      </c>
      <c r="C592" s="30" t="s">
        <v>3343</v>
      </c>
      <c r="D592" s="30" t="s">
        <v>3215</v>
      </c>
      <c r="E592" s="6" t="s">
        <v>2704</v>
      </c>
      <c r="F592" s="30" t="s">
        <v>128</v>
      </c>
      <c r="G592" s="253" t="s">
        <v>111</v>
      </c>
      <c r="H592" s="30" t="s">
        <v>4114</v>
      </c>
      <c r="I592" s="20" t="s">
        <v>6740</v>
      </c>
      <c r="J592" s="30" t="s">
        <v>809</v>
      </c>
      <c r="K592" s="196" t="n">
        <f aca="false">Alloc_In!D16</f>
        <v>0.4</v>
      </c>
      <c r="L592" s="196" t="n">
        <f aca="false">Alloc_In!E16</f>
        <v>0.8</v>
      </c>
      <c r="M592" s="30" t="s">
        <v>809</v>
      </c>
      <c r="N592" s="20" t="s">
        <v>6741</v>
      </c>
      <c r="O592" s="6" t="s">
        <v>809</v>
      </c>
      <c r="P592" s="253" t="s">
        <v>1433</v>
      </c>
      <c r="Q592" s="196" t="n">
        <f aca="false">Alloc_In!C16</f>
        <v>0.6</v>
      </c>
      <c r="R592" s="186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5239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671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6742</v>
      </c>
      <c r="B593" s="253" t="s">
        <v>6690</v>
      </c>
      <c r="C593" s="30" t="s">
        <v>3343</v>
      </c>
      <c r="D593" s="30" t="s">
        <v>6743</v>
      </c>
      <c r="E593" s="6" t="s">
        <v>2704</v>
      </c>
      <c r="F593" s="30" t="s">
        <v>128</v>
      </c>
      <c r="G593" s="253" t="s">
        <v>6195</v>
      </c>
      <c r="H593" s="30" t="s">
        <v>809</v>
      </c>
      <c r="I593" s="6" t="s">
        <v>809</v>
      </c>
      <c r="J593" s="30" t="s">
        <v>6744</v>
      </c>
      <c r="K593" s="253"/>
      <c r="L593" s="253"/>
      <c r="M593" s="30" t="s">
        <v>6745</v>
      </c>
      <c r="N593" s="20" t="s">
        <v>6746</v>
      </c>
      <c r="O593" s="6" t="s">
        <v>809</v>
      </c>
      <c r="P593" s="30" t="s">
        <v>809</v>
      </c>
      <c r="Q593" s="186" t="s">
        <v>809</v>
      </c>
      <c r="R593" s="30" t="s">
        <v>809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809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6747</v>
      </c>
      <c r="B594" s="253" t="s">
        <v>6690</v>
      </c>
      <c r="C594" s="30" t="s">
        <v>3343</v>
      </c>
      <c r="D594" s="30" t="s">
        <v>6748</v>
      </c>
      <c r="E594" s="20" t="s">
        <v>6749</v>
      </c>
      <c r="F594" s="30" t="s">
        <v>176</v>
      </c>
      <c r="G594" s="253" t="s">
        <v>5883</v>
      </c>
      <c r="H594" s="30" t="s">
        <v>809</v>
      </c>
      <c r="I594" s="6" t="s">
        <v>809</v>
      </c>
      <c r="J594" s="30" t="s">
        <v>6750</v>
      </c>
      <c r="K594" s="253"/>
      <c r="L594" s="253"/>
      <c r="M594" s="253" t="s">
        <v>6751</v>
      </c>
      <c r="N594" s="6" t="s">
        <v>6752</v>
      </c>
      <c r="O594" s="6" t="s">
        <v>809</v>
      </c>
      <c r="P594" s="30" t="s">
        <v>809</v>
      </c>
      <c r="Q594" s="186" t="s">
        <v>809</v>
      </c>
      <c r="R594" s="30" t="s">
        <v>809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809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6753</v>
      </c>
      <c r="B595" s="253" t="s">
        <v>6690</v>
      </c>
      <c r="C595" s="30" t="s">
        <v>3343</v>
      </c>
      <c r="D595" s="30" t="s">
        <v>6754</v>
      </c>
      <c r="E595" s="20" t="s">
        <v>6749</v>
      </c>
      <c r="F595" s="30" t="s">
        <v>176</v>
      </c>
      <c r="G595" s="253" t="s">
        <v>6195</v>
      </c>
      <c r="H595" s="30" t="s">
        <v>809</v>
      </c>
      <c r="I595" s="6" t="s">
        <v>809</v>
      </c>
      <c r="J595" s="30" t="s">
        <v>5459</v>
      </c>
      <c r="K595" s="253"/>
      <c r="L595" s="253"/>
      <c r="M595" s="30" t="s">
        <v>6755</v>
      </c>
      <c r="N595" s="6" t="s">
        <v>6756</v>
      </c>
      <c r="O595" s="6" t="s">
        <v>809</v>
      </c>
      <c r="P595" s="30" t="s">
        <v>809</v>
      </c>
      <c r="Q595" s="186" t="s">
        <v>809</v>
      </c>
      <c r="R595" s="30" t="s">
        <v>809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809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6757</v>
      </c>
      <c r="B596" s="253" t="s">
        <v>6758</v>
      </c>
      <c r="C596" s="30" t="s">
        <v>3212</v>
      </c>
      <c r="D596" s="30" t="s">
        <v>3226</v>
      </c>
      <c r="E596" s="20" t="s">
        <v>6759</v>
      </c>
      <c r="F596" s="253" t="s">
        <v>128</v>
      </c>
      <c r="G596" s="253" t="s">
        <v>5235</v>
      </c>
      <c r="H596" s="30" t="s">
        <v>809</v>
      </c>
      <c r="I596" s="6" t="s">
        <v>809</v>
      </c>
      <c r="J596" s="30" t="s">
        <v>5044</v>
      </c>
      <c r="K596" s="255" t="n">
        <v>0.7</v>
      </c>
      <c r="L596" s="255" t="n">
        <v>1</v>
      </c>
      <c r="M596" s="253" t="s">
        <v>6760</v>
      </c>
      <c r="N596" s="6" t="s">
        <v>6761</v>
      </c>
      <c r="O596" s="6" t="s">
        <v>809</v>
      </c>
      <c r="P596" s="253" t="s">
        <v>1434</v>
      </c>
      <c r="Q596" s="194" t="n">
        <f aca="false">Serving!C28</f>
        <v>0.85</v>
      </c>
      <c r="R596" s="30" t="s">
        <v>809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5239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6762</v>
      </c>
      <c r="B597" s="253" t="s">
        <v>6763</v>
      </c>
      <c r="C597" s="30" t="s">
        <v>3335</v>
      </c>
      <c r="D597" s="30" t="s">
        <v>3364</v>
      </c>
      <c r="E597" s="20" t="s">
        <v>6764</v>
      </c>
      <c r="F597" s="253" t="s">
        <v>5979</v>
      </c>
      <c r="G597" s="253" t="s">
        <v>5235</v>
      </c>
      <c r="H597" s="30" t="s">
        <v>809</v>
      </c>
      <c r="I597" s="6" t="s">
        <v>809</v>
      </c>
      <c r="J597" s="30" t="s">
        <v>5048</v>
      </c>
      <c r="K597" s="255" t="n">
        <v>0.3</v>
      </c>
      <c r="L597" s="255" t="n">
        <v>1</v>
      </c>
      <c r="M597" s="253" t="s">
        <v>6765</v>
      </c>
      <c r="N597" s="6" t="s">
        <v>6766</v>
      </c>
      <c r="O597" s="6" t="s">
        <v>809</v>
      </c>
      <c r="P597" s="253" t="s">
        <v>1434</v>
      </c>
      <c r="Q597" s="194" t="n">
        <f aca="false">Cap_In!C63</f>
        <v>1</v>
      </c>
      <c r="R597" s="30" t="s">
        <v>809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5239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6767</v>
      </c>
      <c r="B598" s="253" t="s">
        <v>6763</v>
      </c>
      <c r="C598" s="30" t="s">
        <v>3335</v>
      </c>
      <c r="D598" s="30" t="s">
        <v>3365</v>
      </c>
      <c r="E598" s="20" t="s">
        <v>6768</v>
      </c>
      <c r="F598" s="253" t="s">
        <v>5979</v>
      </c>
      <c r="G598" s="253" t="s">
        <v>5235</v>
      </c>
      <c r="H598" s="30" t="s">
        <v>809</v>
      </c>
      <c r="I598" s="6" t="s">
        <v>809</v>
      </c>
      <c r="J598" s="30" t="s">
        <v>5048</v>
      </c>
      <c r="K598" s="255" t="n">
        <v>0.3</v>
      </c>
      <c r="L598" s="255" t="n">
        <v>1</v>
      </c>
      <c r="M598" s="253" t="s">
        <v>6765</v>
      </c>
      <c r="N598" s="6" t="s">
        <v>6769</v>
      </c>
      <c r="O598" s="6" t="s">
        <v>809</v>
      </c>
      <c r="P598" s="253" t="s">
        <v>1434</v>
      </c>
      <c r="Q598" s="194" t="n">
        <f aca="false">Cap_In!C64</f>
        <v>1</v>
      </c>
      <c r="R598" s="30" t="s">
        <v>809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5239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6770</v>
      </c>
      <c r="B599" s="253" t="s">
        <v>6771</v>
      </c>
      <c r="C599" s="30" t="s">
        <v>3227</v>
      </c>
      <c r="D599" s="30" t="s">
        <v>3246</v>
      </c>
      <c r="E599" s="20" t="s">
        <v>6772</v>
      </c>
      <c r="F599" s="30" t="s">
        <v>176</v>
      </c>
      <c r="G599" s="253" t="s">
        <v>5235</v>
      </c>
      <c r="H599" s="30" t="s">
        <v>6773</v>
      </c>
      <c r="I599" s="20" t="s">
        <v>6774</v>
      </c>
      <c r="J599" s="30" t="s">
        <v>6775</v>
      </c>
      <c r="K599" s="255" t="n">
        <v>0.7</v>
      </c>
      <c r="L599" s="255" t="n">
        <v>1</v>
      </c>
      <c r="M599" s="253" t="s">
        <v>6776</v>
      </c>
      <c r="N599" s="6" t="s">
        <v>6777</v>
      </c>
      <c r="O599" s="6" t="s">
        <v>809</v>
      </c>
      <c r="P599" s="253" t="s">
        <v>5281</v>
      </c>
      <c r="Q599" s="194" t="n">
        <f aca="false">Calib!F156</f>
        <v>0.75</v>
      </c>
      <c r="R599" s="186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5239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356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6778</v>
      </c>
      <c r="B600" s="207" t="s">
        <v>6779</v>
      </c>
      <c r="C600" s="30" t="s">
        <v>3343</v>
      </c>
      <c r="D600" s="30" t="s">
        <v>3221</v>
      </c>
      <c r="E600" s="245" t="s">
        <v>6780</v>
      </c>
      <c r="F600" s="30" t="s">
        <v>176</v>
      </c>
      <c r="G600" s="207" t="s">
        <v>111</v>
      </c>
      <c r="H600" s="30" t="s">
        <v>809</v>
      </c>
      <c r="I600" s="6" t="s">
        <v>809</v>
      </c>
      <c r="J600" s="30" t="s">
        <v>6781</v>
      </c>
      <c r="K600" s="194" t="n">
        <f aca="false">Alloc_In!D23</f>
        <v>0.73</v>
      </c>
      <c r="L600" s="194" t="n">
        <f aca="false">Alloc_In!E23</f>
        <v>1.17</v>
      </c>
      <c r="M600" s="30" t="s">
        <v>6782</v>
      </c>
      <c r="N600" s="6" t="s">
        <v>6783</v>
      </c>
      <c r="O600" s="6" t="s">
        <v>809</v>
      </c>
      <c r="P600" s="207" t="s">
        <v>5281</v>
      </c>
      <c r="Q600" s="194" t="n">
        <f aca="false">Alloc_In!C23</f>
        <v>0.85</v>
      </c>
      <c r="R600" s="30" t="s">
        <v>809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5239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6784</v>
      </c>
      <c r="B601" s="207" t="s">
        <v>6779</v>
      </c>
      <c r="C601" s="30" t="s">
        <v>3343</v>
      </c>
      <c r="D601" s="30" t="s">
        <v>6785</v>
      </c>
      <c r="E601" s="245" t="s">
        <v>6780</v>
      </c>
      <c r="F601" s="30" t="s">
        <v>176</v>
      </c>
      <c r="G601" s="207" t="s">
        <v>6195</v>
      </c>
      <c r="H601" s="30" t="s">
        <v>809</v>
      </c>
      <c r="I601" s="6" t="s">
        <v>809</v>
      </c>
      <c r="J601" s="30" t="s">
        <v>6781</v>
      </c>
      <c r="K601" s="207"/>
      <c r="L601" s="207"/>
      <c r="M601" s="30" t="s">
        <v>6786</v>
      </c>
      <c r="N601" s="6" t="s">
        <v>6787</v>
      </c>
      <c r="O601" s="6" t="s">
        <v>809</v>
      </c>
      <c r="P601" s="30" t="s">
        <v>809</v>
      </c>
      <c r="Q601" s="186" t="s">
        <v>809</v>
      </c>
      <c r="R601" s="30" t="s">
        <v>809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809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6788</v>
      </c>
      <c r="B602" s="207" t="s">
        <v>6779</v>
      </c>
      <c r="C602" s="30" t="s">
        <v>3343</v>
      </c>
      <c r="D602" s="30" t="s">
        <v>3224</v>
      </c>
      <c r="E602" s="245" t="s">
        <v>2711</v>
      </c>
      <c r="F602" s="30" t="s">
        <v>128</v>
      </c>
      <c r="G602" s="207" t="s">
        <v>111</v>
      </c>
      <c r="H602" s="30" t="s">
        <v>809</v>
      </c>
      <c r="I602" s="6" t="s">
        <v>809</v>
      </c>
      <c r="J602" s="30" t="s">
        <v>6781</v>
      </c>
      <c r="K602" s="194" t="n">
        <f aca="false">Alloc_In!D24</f>
        <v>0.3</v>
      </c>
      <c r="L602" s="194" t="n">
        <f aca="false">Alloc_In!E24</f>
        <v>0.65</v>
      </c>
      <c r="M602" s="30" t="s">
        <v>6789</v>
      </c>
      <c r="N602" s="6" t="s">
        <v>6790</v>
      </c>
      <c r="O602" s="6" t="s">
        <v>809</v>
      </c>
      <c r="P602" s="207" t="s">
        <v>5281</v>
      </c>
      <c r="Q602" s="194" t="n">
        <f aca="false">Alloc_In!C24</f>
        <v>0.41</v>
      </c>
      <c r="R602" s="30" t="s">
        <v>809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5239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6791</v>
      </c>
      <c r="B603" s="207" t="s">
        <v>6779</v>
      </c>
      <c r="C603" s="30" t="s">
        <v>3343</v>
      </c>
      <c r="D603" s="30" t="s">
        <v>6792</v>
      </c>
      <c r="E603" s="245" t="s">
        <v>2711</v>
      </c>
      <c r="F603" s="30" t="s">
        <v>128</v>
      </c>
      <c r="G603" s="207" t="s">
        <v>6195</v>
      </c>
      <c r="H603" s="30" t="s">
        <v>809</v>
      </c>
      <c r="I603" s="6" t="s">
        <v>809</v>
      </c>
      <c r="J603" s="30" t="s">
        <v>6781</v>
      </c>
      <c r="K603" s="207"/>
      <c r="L603" s="207"/>
      <c r="M603" s="30" t="s">
        <v>6793</v>
      </c>
      <c r="N603" s="6" t="s">
        <v>6794</v>
      </c>
      <c r="O603" s="6" t="s">
        <v>809</v>
      </c>
      <c r="P603" s="30" t="s">
        <v>809</v>
      </c>
      <c r="Q603" s="186" t="s">
        <v>809</v>
      </c>
      <c r="R603" s="30" t="s">
        <v>809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809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6795</v>
      </c>
      <c r="B604" s="207" t="s">
        <v>6779</v>
      </c>
      <c r="C604" s="30" t="s">
        <v>3343</v>
      </c>
      <c r="D604" s="30" t="s">
        <v>3355</v>
      </c>
      <c r="E604" s="245" t="s">
        <v>6796</v>
      </c>
      <c r="F604" s="30" t="s">
        <v>118</v>
      </c>
      <c r="G604" s="207" t="s">
        <v>5235</v>
      </c>
      <c r="H604" s="30" t="s">
        <v>809</v>
      </c>
      <c r="I604" s="6" t="s">
        <v>809</v>
      </c>
      <c r="J604" s="30" t="s">
        <v>6781</v>
      </c>
      <c r="K604" s="207"/>
      <c r="L604" s="207"/>
      <c r="M604" s="207" t="s">
        <v>6797</v>
      </c>
      <c r="N604" s="6" t="s">
        <v>6798</v>
      </c>
      <c r="O604" s="6" t="s">
        <v>809</v>
      </c>
      <c r="P604" s="207" t="s">
        <v>5238</v>
      </c>
      <c r="Q604" s="49" t="n">
        <f aca="false">Alloc_In!C25</f>
        <v>2000</v>
      </c>
      <c r="R604" s="30" t="s">
        <v>809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5239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6799</v>
      </c>
      <c r="B605" s="207" t="s">
        <v>6800</v>
      </c>
      <c r="C605" s="30" t="s">
        <v>3107</v>
      </c>
      <c r="D605" s="30" t="s">
        <v>3211</v>
      </c>
      <c r="E605" s="6" t="s">
        <v>192</v>
      </c>
      <c r="F605" s="207" t="s">
        <v>373</v>
      </c>
      <c r="G605" s="207" t="s">
        <v>5235</v>
      </c>
      <c r="H605" s="30" t="s">
        <v>6801</v>
      </c>
      <c r="I605" s="245" t="s">
        <v>5265</v>
      </c>
      <c r="J605" s="30" t="s">
        <v>6802</v>
      </c>
      <c r="K605" s="207"/>
      <c r="L605" s="207"/>
      <c r="M605" s="207" t="s">
        <v>6803</v>
      </c>
      <c r="N605" s="245" t="s">
        <v>6804</v>
      </c>
      <c r="O605" s="6" t="s">
        <v>809</v>
      </c>
      <c r="P605" s="207" t="s">
        <v>1433</v>
      </c>
      <c r="Q605" s="33" t="n">
        <f aca="false">Inputs!E36</f>
        <v>3</v>
      </c>
      <c r="R605" s="186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5267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135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6805</v>
      </c>
      <c r="B606" s="207" t="s">
        <v>6800</v>
      </c>
      <c r="C606" s="30" t="s">
        <v>3107</v>
      </c>
      <c r="D606" s="30" t="s">
        <v>3166</v>
      </c>
      <c r="E606" s="6" t="s">
        <v>194</v>
      </c>
      <c r="F606" s="30" t="s">
        <v>133</v>
      </c>
      <c r="G606" s="207" t="s">
        <v>111</v>
      </c>
      <c r="H606" s="30" t="s">
        <v>6801</v>
      </c>
      <c r="I606" s="245" t="s">
        <v>6806</v>
      </c>
      <c r="J606" s="30" t="s">
        <v>5300</v>
      </c>
      <c r="K606" s="260" t="n">
        <f aca="false">Inputs!$D$37</f>
        <v>0.0025</v>
      </c>
      <c r="L606" s="260" t="n">
        <f aca="false">Inputs!$F$37</f>
        <v>0.01</v>
      </c>
      <c r="M606" s="30" t="s">
        <v>6807</v>
      </c>
      <c r="N606" s="6" t="s">
        <v>195</v>
      </c>
      <c r="O606" s="6" t="s">
        <v>809</v>
      </c>
      <c r="P606" s="207" t="s">
        <v>1433</v>
      </c>
      <c r="Q606" s="260" t="n">
        <f aca="false">Inputs!E37</f>
        <v>0.005</v>
      </c>
      <c r="R606" s="186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5239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135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6808</v>
      </c>
      <c r="B607" s="207" t="s">
        <v>6800</v>
      </c>
      <c r="C607" s="30" t="s">
        <v>3107</v>
      </c>
      <c r="D607" s="30" t="s">
        <v>3165</v>
      </c>
      <c r="E607" s="6" t="s">
        <v>194</v>
      </c>
      <c r="F607" s="30" t="s">
        <v>133</v>
      </c>
      <c r="G607" s="207" t="s">
        <v>1433</v>
      </c>
      <c r="H607" s="30" t="s">
        <v>6801</v>
      </c>
      <c r="I607" s="245" t="s">
        <v>6806</v>
      </c>
      <c r="J607" s="30" t="s">
        <v>5300</v>
      </c>
      <c r="K607" s="207"/>
      <c r="L607" s="207"/>
      <c r="M607" s="30" t="s">
        <v>6809</v>
      </c>
      <c r="N607" s="6" t="s">
        <v>195</v>
      </c>
      <c r="O607" s="6" t="s">
        <v>809</v>
      </c>
      <c r="P607" s="207" t="s">
        <v>1433</v>
      </c>
      <c r="Q607" s="260" t="n">
        <f aca="false">Inputs!D37</f>
        <v>0.0025</v>
      </c>
      <c r="R607" s="186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5239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135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6810</v>
      </c>
      <c r="B608" s="207" t="s">
        <v>6800</v>
      </c>
      <c r="C608" s="30" t="s">
        <v>3107</v>
      </c>
      <c r="D608" s="30" t="s">
        <v>3167</v>
      </c>
      <c r="E608" s="6" t="s">
        <v>194</v>
      </c>
      <c r="F608" s="30" t="s">
        <v>133</v>
      </c>
      <c r="G608" s="207" t="s">
        <v>1434</v>
      </c>
      <c r="H608" s="30" t="s">
        <v>6801</v>
      </c>
      <c r="I608" s="245" t="s">
        <v>6806</v>
      </c>
      <c r="J608" s="30" t="s">
        <v>5300</v>
      </c>
      <c r="K608" s="207"/>
      <c r="L608" s="207"/>
      <c r="M608" s="30" t="s">
        <v>6811</v>
      </c>
      <c r="N608" s="6" t="s">
        <v>195</v>
      </c>
      <c r="O608" s="6" t="s">
        <v>809</v>
      </c>
      <c r="P608" s="207" t="s">
        <v>1433</v>
      </c>
      <c r="Q608" s="260" t="n">
        <f aca="false">Inputs!F37</f>
        <v>0.01</v>
      </c>
      <c r="R608" s="186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5239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135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6812</v>
      </c>
      <c r="B609" s="207" t="s">
        <v>6800</v>
      </c>
      <c r="C609" s="30" t="s">
        <v>3107</v>
      </c>
      <c r="D609" s="30" t="s">
        <v>3169</v>
      </c>
      <c r="E609" s="6" t="s">
        <v>196</v>
      </c>
      <c r="F609" s="30" t="s">
        <v>133</v>
      </c>
      <c r="G609" s="207" t="s">
        <v>111</v>
      </c>
      <c r="H609" s="30" t="s">
        <v>6813</v>
      </c>
      <c r="I609" s="245" t="s">
        <v>6814</v>
      </c>
      <c r="J609" s="30" t="s">
        <v>5300</v>
      </c>
      <c r="K609" s="260" t="n">
        <f aca="false">Inputs!$D$38</f>
        <v>0.02</v>
      </c>
      <c r="L609" s="260" t="n">
        <f aca="false">Inputs!$F$38</f>
        <v>0.05</v>
      </c>
      <c r="M609" s="30" t="s">
        <v>6815</v>
      </c>
      <c r="N609" s="6" t="s">
        <v>197</v>
      </c>
      <c r="O609" s="6" t="s">
        <v>809</v>
      </c>
      <c r="P609" s="207" t="s">
        <v>1433</v>
      </c>
      <c r="Q609" s="260" t="n">
        <f aca="false">Inputs!E38</f>
        <v>0.03</v>
      </c>
      <c r="R609" s="186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5239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137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6816</v>
      </c>
      <c r="B610" s="207" t="s">
        <v>6800</v>
      </c>
      <c r="C610" s="30" t="s">
        <v>3107</v>
      </c>
      <c r="D610" s="30" t="s">
        <v>3168</v>
      </c>
      <c r="E610" s="6" t="s">
        <v>196</v>
      </c>
      <c r="F610" s="30" t="s">
        <v>133</v>
      </c>
      <c r="G610" s="207" t="s">
        <v>1433</v>
      </c>
      <c r="H610" s="30" t="s">
        <v>6813</v>
      </c>
      <c r="I610" s="245" t="s">
        <v>6814</v>
      </c>
      <c r="J610" s="30" t="s">
        <v>5300</v>
      </c>
      <c r="K610" s="207"/>
      <c r="L610" s="207"/>
      <c r="M610" s="30" t="s">
        <v>6817</v>
      </c>
      <c r="N610" s="6" t="s">
        <v>197</v>
      </c>
      <c r="O610" s="6" t="s">
        <v>809</v>
      </c>
      <c r="P610" s="207" t="s">
        <v>1433</v>
      </c>
      <c r="Q610" s="260" t="n">
        <f aca="false">Inputs!D38</f>
        <v>0.02</v>
      </c>
      <c r="R610" s="186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5239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137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6818</v>
      </c>
      <c r="B611" s="207" t="s">
        <v>6800</v>
      </c>
      <c r="C611" s="30" t="s">
        <v>3107</v>
      </c>
      <c r="D611" s="30" t="s">
        <v>3170</v>
      </c>
      <c r="E611" s="6" t="s">
        <v>196</v>
      </c>
      <c r="F611" s="30" t="s">
        <v>133</v>
      </c>
      <c r="G611" s="207" t="s">
        <v>1434</v>
      </c>
      <c r="H611" s="30" t="s">
        <v>6813</v>
      </c>
      <c r="I611" s="245" t="s">
        <v>6814</v>
      </c>
      <c r="J611" s="30" t="s">
        <v>5300</v>
      </c>
      <c r="K611" s="207"/>
      <c r="L611" s="207"/>
      <c r="M611" s="30" t="s">
        <v>6819</v>
      </c>
      <c r="N611" s="6" t="s">
        <v>197</v>
      </c>
      <c r="O611" s="6" t="s">
        <v>809</v>
      </c>
      <c r="P611" s="207" t="s">
        <v>1433</v>
      </c>
      <c r="Q611" s="260" t="n">
        <f aca="false">Inputs!F38</f>
        <v>0.05</v>
      </c>
      <c r="R611" s="186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5239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137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6820</v>
      </c>
      <c r="B612" s="207" t="s">
        <v>6821</v>
      </c>
      <c r="C612" s="30" t="s">
        <v>3335</v>
      </c>
      <c r="D612" s="30" t="s">
        <v>6822</v>
      </c>
      <c r="E612" s="245" t="s">
        <v>6823</v>
      </c>
      <c r="F612" s="30" t="s">
        <v>128</v>
      </c>
      <c r="G612" s="207" t="s">
        <v>1434</v>
      </c>
      <c r="H612" s="30" t="s">
        <v>6824</v>
      </c>
      <c r="I612" s="245" t="s">
        <v>6825</v>
      </c>
      <c r="J612" s="30" t="s">
        <v>6826</v>
      </c>
      <c r="K612" s="207"/>
      <c r="L612" s="207"/>
      <c r="M612" s="30" t="s">
        <v>6827</v>
      </c>
      <c r="N612" s="6" t="s">
        <v>6828</v>
      </c>
      <c r="O612" s="6" t="s">
        <v>809</v>
      </c>
      <c r="P612" s="207" t="s">
        <v>5238</v>
      </c>
      <c r="Q612" s="198" t="n">
        <f aca="false">Cap_In!E70</f>
        <v>0.82</v>
      </c>
      <c r="R612" s="186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5239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705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6829</v>
      </c>
      <c r="B613" s="207" t="s">
        <v>6821</v>
      </c>
      <c r="C613" s="30" t="s">
        <v>3335</v>
      </c>
      <c r="D613" s="30" t="s">
        <v>5983</v>
      </c>
      <c r="E613" s="245" t="s">
        <v>1638</v>
      </c>
      <c r="F613" s="30" t="s">
        <v>128</v>
      </c>
      <c r="G613" s="207" t="s">
        <v>5235</v>
      </c>
      <c r="H613" s="30" t="s">
        <v>809</v>
      </c>
      <c r="I613" s="6" t="s">
        <v>809</v>
      </c>
      <c r="J613" s="30" t="s">
        <v>6826</v>
      </c>
      <c r="K613" s="207"/>
      <c r="L613" s="207"/>
      <c r="M613" s="207" t="s">
        <v>6830</v>
      </c>
      <c r="N613" s="6" t="s">
        <v>6831</v>
      </c>
      <c r="O613" s="6" t="s">
        <v>809</v>
      </c>
      <c r="P613" s="207" t="s">
        <v>5238</v>
      </c>
      <c r="Q613" s="33" t="n">
        <f aca="false">Cap_In!C100</f>
        <v>21</v>
      </c>
      <c r="R613" s="30" t="s">
        <v>809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5239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6832</v>
      </c>
      <c r="B614" s="207" t="s">
        <v>6821</v>
      </c>
      <c r="C614" s="30" t="s">
        <v>3335</v>
      </c>
      <c r="D614" s="30" t="s">
        <v>5989</v>
      </c>
      <c r="E614" s="245" t="s">
        <v>6833</v>
      </c>
      <c r="F614" s="30" t="s">
        <v>128</v>
      </c>
      <c r="G614" s="207" t="s">
        <v>5235</v>
      </c>
      <c r="H614" s="30" t="s">
        <v>809</v>
      </c>
      <c r="I614" s="6" t="s">
        <v>809</v>
      </c>
      <c r="J614" s="30" t="s">
        <v>6826</v>
      </c>
      <c r="K614" s="207"/>
      <c r="L614" s="207"/>
      <c r="M614" s="207" t="s">
        <v>6834</v>
      </c>
      <c r="N614" s="6" t="s">
        <v>6835</v>
      </c>
      <c r="O614" s="6" t="s">
        <v>809</v>
      </c>
      <c r="P614" s="207" t="s">
        <v>5238</v>
      </c>
      <c r="Q614" s="49" t="n">
        <f aca="false">Cap_In!C102</f>
        <v>200</v>
      </c>
      <c r="R614" s="30" t="s">
        <v>809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5239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6836</v>
      </c>
      <c r="B615" s="207" t="s">
        <v>6821</v>
      </c>
      <c r="C615" s="30" t="s">
        <v>3335</v>
      </c>
      <c r="D615" s="30" t="s">
        <v>5995</v>
      </c>
      <c r="E615" s="245" t="s">
        <v>6837</v>
      </c>
      <c r="F615" s="30" t="s">
        <v>128</v>
      </c>
      <c r="G615" s="207" t="s">
        <v>5235</v>
      </c>
      <c r="H615" s="30" t="s">
        <v>809</v>
      </c>
      <c r="I615" s="6" t="s">
        <v>809</v>
      </c>
      <c r="J615" s="30" t="s">
        <v>6826</v>
      </c>
      <c r="K615" s="207"/>
      <c r="L615" s="207"/>
      <c r="M615" s="207" t="s">
        <v>6838</v>
      </c>
      <c r="N615" s="6" t="s">
        <v>6839</v>
      </c>
      <c r="O615" s="6" t="s">
        <v>809</v>
      </c>
      <c r="P615" s="207" t="s">
        <v>5238</v>
      </c>
      <c r="Q615" s="198" t="n">
        <f aca="false">Cap_In!C104</f>
        <v>0.995</v>
      </c>
      <c r="R615" s="30" t="s">
        <v>809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5239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6840</v>
      </c>
      <c r="B616" s="207" t="s">
        <v>6841</v>
      </c>
      <c r="C616" s="30" t="s">
        <v>3335</v>
      </c>
      <c r="D616" s="30" t="s">
        <v>6842</v>
      </c>
      <c r="E616" s="245" t="s">
        <v>6843</v>
      </c>
      <c r="F616" s="30" t="s">
        <v>128</v>
      </c>
      <c r="G616" s="207" t="s">
        <v>111</v>
      </c>
      <c r="H616" s="30" t="s">
        <v>6844</v>
      </c>
      <c r="I616" s="245" t="s">
        <v>6845</v>
      </c>
      <c r="J616" s="30" t="s">
        <v>6846</v>
      </c>
      <c r="K616" s="198" t="n">
        <f aca="false">Cap_In!E127</f>
        <v>0.05</v>
      </c>
      <c r="L616" s="198" t="n">
        <f aca="false">Cap_In!D127</f>
        <v>0.2</v>
      </c>
      <c r="M616" s="30" t="s">
        <v>6847</v>
      </c>
      <c r="N616" s="6" t="s">
        <v>6848</v>
      </c>
      <c r="O616" s="6" t="s">
        <v>809</v>
      </c>
      <c r="P616" s="207" t="s">
        <v>5238</v>
      </c>
      <c r="Q616" s="198" t="n">
        <f aca="false">Cap_In!C127</f>
        <v>0.1</v>
      </c>
      <c r="R616" s="186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5239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717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6849</v>
      </c>
      <c r="B617" s="207" t="s">
        <v>6841</v>
      </c>
      <c r="C617" s="30" t="s">
        <v>3335</v>
      </c>
      <c r="D617" s="30" t="s">
        <v>6850</v>
      </c>
      <c r="E617" s="245" t="s">
        <v>6843</v>
      </c>
      <c r="F617" s="30" t="s">
        <v>128</v>
      </c>
      <c r="G617" s="207" t="s">
        <v>6195</v>
      </c>
      <c r="H617" s="30" t="s">
        <v>809</v>
      </c>
      <c r="I617" s="6" t="s">
        <v>809</v>
      </c>
      <c r="J617" s="30" t="s">
        <v>6846</v>
      </c>
      <c r="K617" s="207"/>
      <c r="L617" s="207"/>
      <c r="M617" s="30" t="s">
        <v>6851</v>
      </c>
      <c r="N617" s="6" t="s">
        <v>6848</v>
      </c>
      <c r="O617" s="6" t="s">
        <v>809</v>
      </c>
      <c r="P617" s="207" t="s">
        <v>5238</v>
      </c>
      <c r="Q617" s="186" t="s">
        <v>809</v>
      </c>
      <c r="R617" s="30" t="s">
        <v>809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809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6852</v>
      </c>
      <c r="B618" s="207" t="s">
        <v>6853</v>
      </c>
      <c r="C618" s="30" t="s">
        <v>3335</v>
      </c>
      <c r="D618" s="30" t="s">
        <v>6854</v>
      </c>
      <c r="E618" s="6" t="s">
        <v>1716</v>
      </c>
      <c r="F618" s="30" t="s">
        <v>128</v>
      </c>
      <c r="G618" s="207" t="s">
        <v>111</v>
      </c>
      <c r="H618" s="30" t="s">
        <v>6855</v>
      </c>
      <c r="I618" s="245" t="s">
        <v>6856</v>
      </c>
      <c r="J618" s="30" t="s">
        <v>6857</v>
      </c>
      <c r="K618" s="198" t="n">
        <f aca="false">Cap_In!D131</f>
        <v>0.05</v>
      </c>
      <c r="L618" s="198" t="n">
        <f aca="false">Cap_In!E131</f>
        <v>0.15</v>
      </c>
      <c r="M618" s="30" t="s">
        <v>6858</v>
      </c>
      <c r="N618" s="6" t="s">
        <v>6859</v>
      </c>
      <c r="O618" s="6" t="s">
        <v>809</v>
      </c>
      <c r="P618" s="207" t="s">
        <v>5238</v>
      </c>
      <c r="Q618" s="198" t="n">
        <f aca="false">Cap_In!C131</f>
        <v>0.1</v>
      </c>
      <c r="R618" s="186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5239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737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6860</v>
      </c>
      <c r="B619" s="207" t="s">
        <v>6853</v>
      </c>
      <c r="C619" s="30" t="s">
        <v>3335</v>
      </c>
      <c r="D619" s="30" t="s">
        <v>6861</v>
      </c>
      <c r="E619" s="6" t="s">
        <v>1716</v>
      </c>
      <c r="F619" s="30" t="s">
        <v>128</v>
      </c>
      <c r="G619" s="207" t="s">
        <v>6195</v>
      </c>
      <c r="H619" s="30" t="s">
        <v>809</v>
      </c>
      <c r="I619" s="6" t="s">
        <v>809</v>
      </c>
      <c r="J619" s="30" t="s">
        <v>6857</v>
      </c>
      <c r="K619" s="207"/>
      <c r="L619" s="207"/>
      <c r="M619" s="30" t="s">
        <v>6862</v>
      </c>
      <c r="N619" s="6" t="s">
        <v>6859</v>
      </c>
      <c r="O619" s="6" t="s">
        <v>809</v>
      </c>
      <c r="P619" s="207" t="s">
        <v>5238</v>
      </c>
      <c r="Q619" s="186" t="s">
        <v>809</v>
      </c>
      <c r="R619" s="30" t="s">
        <v>809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809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6863</v>
      </c>
      <c r="B620" s="207" t="s">
        <v>6853</v>
      </c>
      <c r="C620" s="30" t="s">
        <v>3335</v>
      </c>
      <c r="D620" s="30" t="s">
        <v>6864</v>
      </c>
      <c r="E620" s="245" t="s">
        <v>6865</v>
      </c>
      <c r="F620" s="30" t="s">
        <v>128</v>
      </c>
      <c r="G620" s="207" t="s">
        <v>111</v>
      </c>
      <c r="H620" s="30" t="s">
        <v>809</v>
      </c>
      <c r="I620" s="6" t="s">
        <v>809</v>
      </c>
      <c r="J620" s="30" t="s">
        <v>6866</v>
      </c>
      <c r="K620" s="198" t="n">
        <f aca="false">Cap_In!E132</f>
        <v>0.6</v>
      </c>
      <c r="L620" s="198" t="n">
        <f aca="false">Cap_In!D132</f>
        <v>0.9</v>
      </c>
      <c r="M620" s="30" t="s">
        <v>6867</v>
      </c>
      <c r="N620" s="6" t="s">
        <v>6868</v>
      </c>
      <c r="O620" s="6" t="s">
        <v>809</v>
      </c>
      <c r="P620" s="207" t="s">
        <v>5238</v>
      </c>
      <c r="Q620" s="198" t="n">
        <f aca="false">Cap_In!C132</f>
        <v>0.75</v>
      </c>
      <c r="R620" s="30" t="s">
        <v>809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5239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6869</v>
      </c>
      <c r="B621" s="207" t="s">
        <v>6853</v>
      </c>
      <c r="C621" s="30" t="s">
        <v>3335</v>
      </c>
      <c r="D621" s="30" t="s">
        <v>6870</v>
      </c>
      <c r="E621" s="245" t="s">
        <v>6865</v>
      </c>
      <c r="F621" s="30" t="s">
        <v>128</v>
      </c>
      <c r="G621" s="207" t="s">
        <v>6195</v>
      </c>
      <c r="H621" s="30" t="s">
        <v>809</v>
      </c>
      <c r="I621" s="6" t="s">
        <v>809</v>
      </c>
      <c r="J621" s="30" t="s">
        <v>6866</v>
      </c>
      <c r="K621" s="207"/>
      <c r="L621" s="207"/>
      <c r="M621" s="30" t="s">
        <v>6871</v>
      </c>
      <c r="N621" s="6" t="s">
        <v>6868</v>
      </c>
      <c r="O621" s="6" t="s">
        <v>809</v>
      </c>
      <c r="P621" s="207" t="s">
        <v>5238</v>
      </c>
      <c r="Q621" s="186" t="s">
        <v>809</v>
      </c>
      <c r="R621" s="30" t="s">
        <v>809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809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6872</v>
      </c>
      <c r="B622" s="207" t="s">
        <v>6853</v>
      </c>
      <c r="C622" s="30" t="s">
        <v>3335</v>
      </c>
      <c r="D622" s="30" t="s">
        <v>6873</v>
      </c>
      <c r="E622" s="6" t="s">
        <v>1720</v>
      </c>
      <c r="F622" s="30" t="s">
        <v>128</v>
      </c>
      <c r="G622" s="207" t="s">
        <v>111</v>
      </c>
      <c r="H622" s="30" t="s">
        <v>809</v>
      </c>
      <c r="I622" s="6" t="s">
        <v>809</v>
      </c>
      <c r="J622" s="30" t="s">
        <v>6857</v>
      </c>
      <c r="K622" s="46" t="n">
        <f aca="false">Cap_In!D133</f>
        <v>0</v>
      </c>
      <c r="L622" s="46" t="n">
        <f aca="false">Cap_In!E133</f>
        <v>1</v>
      </c>
      <c r="M622" s="30" t="s">
        <v>6874</v>
      </c>
      <c r="N622" s="6" t="s">
        <v>6875</v>
      </c>
      <c r="O622" s="6" t="s">
        <v>809</v>
      </c>
      <c r="P622" s="207" t="s">
        <v>5238</v>
      </c>
      <c r="Q622" s="46" t="n">
        <f aca="false">Cap_In!C133</f>
        <v>0.5</v>
      </c>
      <c r="R622" s="30" t="s">
        <v>809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5239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6876</v>
      </c>
      <c r="B623" s="207" t="s">
        <v>6853</v>
      </c>
      <c r="C623" s="30" t="s">
        <v>3335</v>
      </c>
      <c r="D623" s="30" t="s">
        <v>6877</v>
      </c>
      <c r="E623" s="6" t="s">
        <v>1720</v>
      </c>
      <c r="F623" s="30" t="s">
        <v>128</v>
      </c>
      <c r="G623" s="207" t="s">
        <v>6195</v>
      </c>
      <c r="H623" s="30" t="s">
        <v>809</v>
      </c>
      <c r="I623" s="6" t="s">
        <v>809</v>
      </c>
      <c r="J623" s="30" t="s">
        <v>6857</v>
      </c>
      <c r="K623" s="207"/>
      <c r="L623" s="207"/>
      <c r="M623" s="30" t="s">
        <v>6878</v>
      </c>
      <c r="N623" s="6" t="s">
        <v>6875</v>
      </c>
      <c r="O623" s="6" t="s">
        <v>809</v>
      </c>
      <c r="P623" s="207" t="s">
        <v>5238</v>
      </c>
      <c r="Q623" s="186" t="s">
        <v>809</v>
      </c>
      <c r="R623" s="30" t="s">
        <v>809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809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6879</v>
      </c>
      <c r="B624" s="207" t="s">
        <v>6853</v>
      </c>
      <c r="C624" s="30" t="s">
        <v>3335</v>
      </c>
      <c r="D624" s="30" t="s">
        <v>6880</v>
      </c>
      <c r="E624" s="245" t="s">
        <v>6881</v>
      </c>
      <c r="F624" s="30" t="s">
        <v>128</v>
      </c>
      <c r="G624" s="207" t="s">
        <v>5235</v>
      </c>
      <c r="H624" s="30" t="s">
        <v>809</v>
      </c>
      <c r="I624" s="6" t="s">
        <v>809</v>
      </c>
      <c r="J624" s="30" t="s">
        <v>6882</v>
      </c>
      <c r="K624" s="207"/>
      <c r="L624" s="207"/>
      <c r="M624" s="207" t="s">
        <v>6883</v>
      </c>
      <c r="N624" s="6" t="s">
        <v>6884</v>
      </c>
      <c r="O624" s="6" t="s">
        <v>809</v>
      </c>
      <c r="P624" s="207" t="s">
        <v>5238</v>
      </c>
      <c r="Q624" s="49" t="n">
        <f aca="false">Cap_In!C154</f>
        <v>20</v>
      </c>
      <c r="R624" s="30" t="s">
        <v>809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5239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6885</v>
      </c>
      <c r="B625" s="207" t="s">
        <v>6853</v>
      </c>
      <c r="C625" s="30" t="s">
        <v>3335</v>
      </c>
      <c r="D625" s="30" t="s">
        <v>6886</v>
      </c>
      <c r="E625" s="245" t="s">
        <v>6887</v>
      </c>
      <c r="F625" s="30" t="s">
        <v>128</v>
      </c>
      <c r="G625" s="207" t="s">
        <v>5235</v>
      </c>
      <c r="H625" s="30" t="s">
        <v>809</v>
      </c>
      <c r="I625" s="6" t="s">
        <v>809</v>
      </c>
      <c r="J625" s="30" t="s">
        <v>6882</v>
      </c>
      <c r="K625" s="207"/>
      <c r="L625" s="207"/>
      <c r="M625" s="207" t="s">
        <v>6888</v>
      </c>
      <c r="N625" s="6" t="s">
        <v>6884</v>
      </c>
      <c r="O625" s="6" t="s">
        <v>809</v>
      </c>
      <c r="P625" s="207" t="s">
        <v>5238</v>
      </c>
      <c r="Q625" s="49" t="n">
        <f aca="false">Cap_In!C155</f>
        <v>700</v>
      </c>
      <c r="R625" s="30" t="s">
        <v>809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5239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6889</v>
      </c>
      <c r="B626" s="207" t="s">
        <v>6853</v>
      </c>
      <c r="C626" s="30" t="s">
        <v>3335</v>
      </c>
      <c r="D626" s="30" t="s">
        <v>3243</v>
      </c>
      <c r="E626" s="245" t="s">
        <v>6890</v>
      </c>
      <c r="F626" s="30" t="s">
        <v>128</v>
      </c>
      <c r="G626" s="207" t="s">
        <v>5235</v>
      </c>
      <c r="H626" s="30" t="s">
        <v>809</v>
      </c>
      <c r="I626" s="6" t="s">
        <v>809</v>
      </c>
      <c r="J626" s="30" t="s">
        <v>6882</v>
      </c>
      <c r="K626" s="207"/>
      <c r="L626" s="207"/>
      <c r="M626" s="207" t="s">
        <v>6891</v>
      </c>
      <c r="N626" s="6" t="s">
        <v>6884</v>
      </c>
      <c r="O626" s="6" t="s">
        <v>809</v>
      </c>
      <c r="P626" s="207" t="s">
        <v>5238</v>
      </c>
      <c r="Q626" s="49" t="n">
        <f aca="false">Cap_In!C156</f>
        <v>200</v>
      </c>
      <c r="R626" s="30" t="s">
        <v>809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5239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6892</v>
      </c>
      <c r="B627" s="207" t="s">
        <v>6853</v>
      </c>
      <c r="C627" s="30" t="s">
        <v>3335</v>
      </c>
      <c r="D627" s="30" t="s">
        <v>6893</v>
      </c>
      <c r="E627" s="245" t="s">
        <v>6894</v>
      </c>
      <c r="F627" s="30" t="s">
        <v>128</v>
      </c>
      <c r="G627" s="207" t="s">
        <v>5235</v>
      </c>
      <c r="H627" s="30" t="s">
        <v>809</v>
      </c>
      <c r="I627" s="6" t="s">
        <v>809</v>
      </c>
      <c r="J627" s="30" t="s">
        <v>6882</v>
      </c>
      <c r="K627" s="207"/>
      <c r="L627" s="207"/>
      <c r="M627" s="207" t="s">
        <v>6895</v>
      </c>
      <c r="N627" s="6" t="s">
        <v>6884</v>
      </c>
      <c r="O627" s="6" t="s">
        <v>809</v>
      </c>
      <c r="P627" s="207" t="s">
        <v>5238</v>
      </c>
      <c r="Q627" s="49" t="n">
        <f aca="false">Cap_In!C157</f>
        <v>14000</v>
      </c>
      <c r="R627" s="30" t="s">
        <v>809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5239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6896</v>
      </c>
      <c r="B628" s="207" t="s">
        <v>6853</v>
      </c>
      <c r="C628" s="30" t="s">
        <v>3335</v>
      </c>
      <c r="D628" s="30" t="s">
        <v>6897</v>
      </c>
      <c r="E628" s="245" t="s">
        <v>6898</v>
      </c>
      <c r="F628" s="30" t="s">
        <v>128</v>
      </c>
      <c r="G628" s="207" t="s">
        <v>5235</v>
      </c>
      <c r="H628" s="30" t="s">
        <v>6899</v>
      </c>
      <c r="I628" s="245" t="s">
        <v>6900</v>
      </c>
      <c r="J628" s="30" t="s">
        <v>6857</v>
      </c>
      <c r="K628" s="207"/>
      <c r="L628" s="207"/>
      <c r="M628" s="207" t="s">
        <v>6901</v>
      </c>
      <c r="N628" s="6" t="s">
        <v>6902</v>
      </c>
      <c r="O628" s="6" t="s">
        <v>809</v>
      </c>
      <c r="P628" s="207" t="s">
        <v>5238</v>
      </c>
      <c r="Q628" s="46" t="n">
        <f aca="false">Cap_In!F185</f>
        <v>36</v>
      </c>
      <c r="R628" s="186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5239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708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6903</v>
      </c>
      <c r="B629" s="207" t="s">
        <v>6853</v>
      </c>
      <c r="C629" s="30" t="s">
        <v>3335</v>
      </c>
      <c r="D629" s="30" t="s">
        <v>6904</v>
      </c>
      <c r="E629" s="245" t="s">
        <v>6905</v>
      </c>
      <c r="F629" s="30" t="s">
        <v>128</v>
      </c>
      <c r="G629" s="207" t="s">
        <v>5235</v>
      </c>
      <c r="H629" s="30" t="s">
        <v>6906</v>
      </c>
      <c r="I629" s="245" t="s">
        <v>6907</v>
      </c>
      <c r="J629" s="30" t="s">
        <v>6857</v>
      </c>
      <c r="K629" s="207"/>
      <c r="L629" s="207"/>
      <c r="M629" s="207" t="s">
        <v>6908</v>
      </c>
      <c r="N629" s="6" t="s">
        <v>6909</v>
      </c>
      <c r="O629" s="6" t="s">
        <v>809</v>
      </c>
      <c r="P629" s="207" t="s">
        <v>5238</v>
      </c>
      <c r="Q629" s="186" t="s">
        <v>809</v>
      </c>
      <c r="R629" s="186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809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689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6910</v>
      </c>
      <c r="B630" s="207" t="s">
        <v>6853</v>
      </c>
      <c r="C630" s="30" t="s">
        <v>3335</v>
      </c>
      <c r="D630" s="30" t="s">
        <v>6911</v>
      </c>
      <c r="E630" s="245" t="s">
        <v>6912</v>
      </c>
      <c r="F630" s="30" t="s">
        <v>128</v>
      </c>
      <c r="G630" s="207" t="s">
        <v>5235</v>
      </c>
      <c r="H630" s="30" t="s">
        <v>6855</v>
      </c>
      <c r="I630" s="245" t="s">
        <v>6913</v>
      </c>
      <c r="J630" s="30" t="s">
        <v>6857</v>
      </c>
      <c r="K630" s="207"/>
      <c r="L630" s="207"/>
      <c r="M630" s="207" t="s">
        <v>6914</v>
      </c>
      <c r="N630" s="6" t="s">
        <v>6915</v>
      </c>
      <c r="O630" s="6" t="s">
        <v>809</v>
      </c>
      <c r="P630" s="207" t="s">
        <v>5238</v>
      </c>
      <c r="Q630" s="186" t="s">
        <v>809</v>
      </c>
      <c r="R630" s="186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809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737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6916</v>
      </c>
      <c r="B631" s="207" t="s">
        <v>6853</v>
      </c>
      <c r="C631" s="30" t="s">
        <v>3335</v>
      </c>
      <c r="D631" s="30" t="s">
        <v>6917</v>
      </c>
      <c r="E631" s="6" t="s">
        <v>1865</v>
      </c>
      <c r="F631" s="30" t="s">
        <v>128</v>
      </c>
      <c r="G631" s="207" t="s">
        <v>5235</v>
      </c>
      <c r="H631" s="30" t="s">
        <v>6918</v>
      </c>
      <c r="I631" s="245" t="s">
        <v>6919</v>
      </c>
      <c r="J631" s="30" t="s">
        <v>6857</v>
      </c>
      <c r="K631" s="207"/>
      <c r="L631" s="207"/>
      <c r="M631" s="207" t="s">
        <v>6920</v>
      </c>
      <c r="N631" s="6" t="s">
        <v>6921</v>
      </c>
      <c r="O631" s="6" t="s">
        <v>809</v>
      </c>
      <c r="P631" s="207" t="s">
        <v>5238</v>
      </c>
      <c r="Q631" s="216" t="n">
        <f aca="false">Cap_In!F195</f>
        <v>1.3</v>
      </c>
      <c r="R631" s="186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5239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677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6922</v>
      </c>
      <c r="B632" s="207" t="s">
        <v>6853</v>
      </c>
      <c r="C632" s="30" t="s">
        <v>3335</v>
      </c>
      <c r="D632" s="30" t="s">
        <v>6923</v>
      </c>
      <c r="E632" s="6" t="s">
        <v>1870</v>
      </c>
      <c r="F632" s="30" t="s">
        <v>128</v>
      </c>
      <c r="G632" s="207" t="s">
        <v>5235</v>
      </c>
      <c r="H632" s="30" t="s">
        <v>6732</v>
      </c>
      <c r="I632" s="6" t="s">
        <v>6924</v>
      </c>
      <c r="J632" s="30" t="s">
        <v>6857</v>
      </c>
      <c r="K632" s="207"/>
      <c r="L632" s="207"/>
      <c r="M632" s="207" t="s">
        <v>6925</v>
      </c>
      <c r="N632" s="6" t="s">
        <v>6926</v>
      </c>
      <c r="O632" s="6" t="s">
        <v>809</v>
      </c>
      <c r="P632" s="207" t="s">
        <v>5238</v>
      </c>
      <c r="Q632" s="186" t="s">
        <v>809</v>
      </c>
      <c r="R632" s="186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809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678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6927</v>
      </c>
      <c r="B633" s="207" t="s">
        <v>6853</v>
      </c>
      <c r="C633" s="30" t="s">
        <v>3335</v>
      </c>
      <c r="D633" s="30" t="s">
        <v>6928</v>
      </c>
      <c r="E633" s="245" t="s">
        <v>6929</v>
      </c>
      <c r="F633" s="207" t="s">
        <v>6930</v>
      </c>
      <c r="G633" s="207" t="s">
        <v>5235</v>
      </c>
      <c r="H633" s="30" t="s">
        <v>809</v>
      </c>
      <c r="I633" s="6" t="s">
        <v>809</v>
      </c>
      <c r="J633" s="30" t="s">
        <v>6857</v>
      </c>
      <c r="K633" s="207"/>
      <c r="L633" s="207"/>
      <c r="M633" s="207" t="s">
        <v>6931</v>
      </c>
      <c r="N633" s="6" t="s">
        <v>6932</v>
      </c>
      <c r="O633" s="6" t="s">
        <v>809</v>
      </c>
      <c r="P633" s="207" t="s">
        <v>5238</v>
      </c>
      <c r="Q633" s="186" t="s">
        <v>809</v>
      </c>
      <c r="R633" s="30" t="s">
        <v>809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809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6933</v>
      </c>
      <c r="B634" s="207" t="s">
        <v>6853</v>
      </c>
      <c r="C634" s="30" t="s">
        <v>3335</v>
      </c>
      <c r="D634" s="30" t="s">
        <v>6934</v>
      </c>
      <c r="E634" s="6" t="s">
        <v>1906</v>
      </c>
      <c r="F634" s="30" t="s">
        <v>128</v>
      </c>
      <c r="G634" s="207" t="s">
        <v>5235</v>
      </c>
      <c r="H634" s="30" t="s">
        <v>809</v>
      </c>
      <c r="I634" s="6" t="s">
        <v>809</v>
      </c>
      <c r="J634" s="30" t="s">
        <v>6857</v>
      </c>
      <c r="K634" s="207"/>
      <c r="L634" s="207"/>
      <c r="M634" s="207" t="s">
        <v>6935</v>
      </c>
      <c r="N634" s="6" t="s">
        <v>6936</v>
      </c>
      <c r="O634" s="6" t="s">
        <v>809</v>
      </c>
      <c r="P634" s="207" t="s">
        <v>5238</v>
      </c>
      <c r="Q634" s="198" t="n">
        <f aca="false">Cap_In!D211</f>
        <v>0.25</v>
      </c>
      <c r="R634" s="30" t="s">
        <v>809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5239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6937</v>
      </c>
      <c r="B635" s="207" t="s">
        <v>6853</v>
      </c>
      <c r="C635" s="30" t="s">
        <v>3335</v>
      </c>
      <c r="D635" s="30" t="s">
        <v>6938</v>
      </c>
      <c r="E635" s="6" t="s">
        <v>1909</v>
      </c>
      <c r="F635" s="30" t="s">
        <v>128</v>
      </c>
      <c r="G635" s="207" t="s">
        <v>5235</v>
      </c>
      <c r="H635" s="30" t="s">
        <v>809</v>
      </c>
      <c r="I635" s="6" t="s">
        <v>809</v>
      </c>
      <c r="J635" s="30" t="s">
        <v>6857</v>
      </c>
      <c r="K635" s="207"/>
      <c r="L635" s="207"/>
      <c r="M635" s="207" t="s">
        <v>6939</v>
      </c>
      <c r="N635" s="6" t="s">
        <v>6936</v>
      </c>
      <c r="O635" s="6" t="s">
        <v>809</v>
      </c>
      <c r="P635" s="207" t="s">
        <v>5238</v>
      </c>
      <c r="Q635" s="198" t="n">
        <f aca="false">Cap_In!D212</f>
        <v>0.45</v>
      </c>
      <c r="R635" s="30" t="s">
        <v>809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5239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6940</v>
      </c>
      <c r="B636" s="207" t="s">
        <v>6853</v>
      </c>
      <c r="C636" s="30" t="s">
        <v>3335</v>
      </c>
      <c r="D636" s="30" t="s">
        <v>6941</v>
      </c>
      <c r="E636" s="6" t="s">
        <v>1912</v>
      </c>
      <c r="F636" s="30" t="s">
        <v>128</v>
      </c>
      <c r="G636" s="207" t="s">
        <v>5235</v>
      </c>
      <c r="H636" s="30" t="s">
        <v>809</v>
      </c>
      <c r="I636" s="6" t="s">
        <v>809</v>
      </c>
      <c r="J636" s="30" t="s">
        <v>6857</v>
      </c>
      <c r="K636" s="207"/>
      <c r="L636" s="207"/>
      <c r="M636" s="207" t="s">
        <v>6935</v>
      </c>
      <c r="N636" s="6" t="s">
        <v>6936</v>
      </c>
      <c r="O636" s="6" t="s">
        <v>809</v>
      </c>
      <c r="P636" s="207" t="s">
        <v>5238</v>
      </c>
      <c r="Q636" s="198" t="n">
        <f aca="false">Cap_In!D213</f>
        <v>0.25</v>
      </c>
      <c r="R636" s="30" t="s">
        <v>809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5239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6942</v>
      </c>
      <c r="B637" s="207" t="s">
        <v>6853</v>
      </c>
      <c r="C637" s="30" t="s">
        <v>3335</v>
      </c>
      <c r="D637" s="30" t="s">
        <v>6943</v>
      </c>
      <c r="E637" s="6" t="s">
        <v>1915</v>
      </c>
      <c r="F637" s="30" t="s">
        <v>128</v>
      </c>
      <c r="G637" s="207" t="s">
        <v>5235</v>
      </c>
      <c r="H637" s="30" t="s">
        <v>809</v>
      </c>
      <c r="I637" s="6" t="s">
        <v>809</v>
      </c>
      <c r="J637" s="30" t="s">
        <v>6857</v>
      </c>
      <c r="K637" s="207"/>
      <c r="L637" s="207"/>
      <c r="M637" s="207" t="s">
        <v>6944</v>
      </c>
      <c r="N637" s="6" t="s">
        <v>6936</v>
      </c>
      <c r="O637" s="6" t="s">
        <v>809</v>
      </c>
      <c r="P637" s="207" t="s">
        <v>5238</v>
      </c>
      <c r="Q637" s="198" t="n">
        <f aca="false">Cap_In!D214</f>
        <v>0.05</v>
      </c>
      <c r="R637" s="30" t="s">
        <v>809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5239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6945</v>
      </c>
      <c r="B638" s="207" t="s">
        <v>6946</v>
      </c>
      <c r="C638" s="30" t="s">
        <v>3335</v>
      </c>
      <c r="D638" s="30" t="s">
        <v>6947</v>
      </c>
      <c r="E638" s="245" t="s">
        <v>6948</v>
      </c>
      <c r="F638" s="30" t="s">
        <v>128</v>
      </c>
      <c r="G638" s="207" t="s">
        <v>111</v>
      </c>
      <c r="H638" s="30" t="s">
        <v>809</v>
      </c>
      <c r="I638" s="6" t="s">
        <v>809</v>
      </c>
      <c r="J638" s="30" t="s">
        <v>6949</v>
      </c>
      <c r="K638" s="198" t="n">
        <f aca="false">Cap_In!D226</f>
        <v>-0.25</v>
      </c>
      <c r="L638" s="198" t="n">
        <f aca="false">Cap_In!E226</f>
        <v>0.05</v>
      </c>
      <c r="M638" s="30" t="s">
        <v>6950</v>
      </c>
      <c r="N638" s="6" t="s">
        <v>6951</v>
      </c>
      <c r="O638" s="6" t="s">
        <v>809</v>
      </c>
      <c r="P638" s="207" t="s">
        <v>5238</v>
      </c>
      <c r="Q638" s="198" t="n">
        <f aca="false">Cap_In!C226</f>
        <v>-0.1</v>
      </c>
      <c r="R638" s="30" t="s">
        <v>809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5239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6952</v>
      </c>
      <c r="B639" s="207" t="s">
        <v>6946</v>
      </c>
      <c r="C639" s="30" t="s">
        <v>3335</v>
      </c>
      <c r="D639" s="30" t="s">
        <v>6953</v>
      </c>
      <c r="E639" s="245" t="s">
        <v>6948</v>
      </c>
      <c r="F639" s="30" t="s">
        <v>128</v>
      </c>
      <c r="G639" s="207" t="s">
        <v>6195</v>
      </c>
      <c r="H639" s="30" t="s">
        <v>809</v>
      </c>
      <c r="I639" s="6" t="s">
        <v>809</v>
      </c>
      <c r="J639" s="30" t="s">
        <v>6949</v>
      </c>
      <c r="K639" s="207"/>
      <c r="L639" s="207"/>
      <c r="M639" s="30" t="s">
        <v>6954</v>
      </c>
      <c r="N639" s="6" t="s">
        <v>6951</v>
      </c>
      <c r="O639" s="6" t="s">
        <v>809</v>
      </c>
      <c r="P639" s="207" t="s">
        <v>5238</v>
      </c>
      <c r="Q639" s="186" t="s">
        <v>809</v>
      </c>
      <c r="R639" s="30" t="s">
        <v>809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809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6955</v>
      </c>
      <c r="B640" s="207" t="s">
        <v>6946</v>
      </c>
      <c r="C640" s="30" t="s">
        <v>3335</v>
      </c>
      <c r="D640" s="30" t="s">
        <v>6956</v>
      </c>
      <c r="E640" s="245" t="s">
        <v>6957</v>
      </c>
      <c r="F640" s="30" t="s">
        <v>128</v>
      </c>
      <c r="G640" s="207" t="s">
        <v>111</v>
      </c>
      <c r="H640" s="30" t="s">
        <v>809</v>
      </c>
      <c r="I640" s="6" t="s">
        <v>809</v>
      </c>
      <c r="J640" s="30" t="s">
        <v>6949</v>
      </c>
      <c r="K640" s="33" t="n">
        <f aca="false">Cap_In!D227</f>
        <v>3</v>
      </c>
      <c r="L640" s="33" t="n">
        <f aca="false">Cap_In!E227</f>
        <v>5</v>
      </c>
      <c r="M640" s="30" t="s">
        <v>6958</v>
      </c>
      <c r="N640" s="6" t="s">
        <v>6959</v>
      </c>
      <c r="O640" s="6" t="s">
        <v>809</v>
      </c>
      <c r="P640" s="207" t="s">
        <v>5238</v>
      </c>
      <c r="Q640" s="33" t="n">
        <f aca="false">Cap_In!C227</f>
        <v>4</v>
      </c>
      <c r="R640" s="30" t="s">
        <v>809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5239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6960</v>
      </c>
      <c r="B641" s="207" t="s">
        <v>6946</v>
      </c>
      <c r="C641" s="30" t="s">
        <v>3335</v>
      </c>
      <c r="D641" s="30" t="s">
        <v>6961</v>
      </c>
      <c r="E641" s="245" t="s">
        <v>6957</v>
      </c>
      <c r="F641" s="30" t="s">
        <v>128</v>
      </c>
      <c r="G641" s="207" t="s">
        <v>6195</v>
      </c>
      <c r="H641" s="30" t="s">
        <v>809</v>
      </c>
      <c r="I641" s="6" t="s">
        <v>809</v>
      </c>
      <c r="J641" s="30" t="s">
        <v>6949</v>
      </c>
      <c r="K641" s="207"/>
      <c r="L641" s="207"/>
      <c r="M641" s="30" t="s">
        <v>6962</v>
      </c>
      <c r="N641" s="6" t="s">
        <v>6959</v>
      </c>
      <c r="O641" s="6" t="s">
        <v>809</v>
      </c>
      <c r="P641" s="207" t="s">
        <v>5238</v>
      </c>
      <c r="Q641" s="186" t="s">
        <v>809</v>
      </c>
      <c r="R641" s="30" t="s">
        <v>809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809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6963</v>
      </c>
      <c r="B642" s="207" t="s">
        <v>6946</v>
      </c>
      <c r="C642" s="30" t="s">
        <v>3335</v>
      </c>
      <c r="D642" s="30" t="s">
        <v>6964</v>
      </c>
      <c r="E642" s="245" t="s">
        <v>6965</v>
      </c>
      <c r="F642" s="30" t="s">
        <v>128</v>
      </c>
      <c r="G642" s="207" t="s">
        <v>111</v>
      </c>
      <c r="H642" s="30" t="s">
        <v>809</v>
      </c>
      <c r="I642" s="6" t="s">
        <v>809</v>
      </c>
      <c r="J642" s="30" t="s">
        <v>6949</v>
      </c>
      <c r="K642" s="216" t="n">
        <f aca="false">Cap_In!D228</f>
        <v>0.05</v>
      </c>
      <c r="L642" s="216" t="n">
        <f aca="false">Cap_In!E228</f>
        <v>1</v>
      </c>
      <c r="M642" s="30" t="s">
        <v>6966</v>
      </c>
      <c r="N642" s="6" t="s">
        <v>6967</v>
      </c>
      <c r="O642" s="6" t="s">
        <v>809</v>
      </c>
      <c r="P642" s="207" t="s">
        <v>5238</v>
      </c>
      <c r="Q642" s="216" t="n">
        <f aca="false">Cap_In!C228</f>
        <v>0.5</v>
      </c>
      <c r="R642" s="30" t="s">
        <v>809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5239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6968</v>
      </c>
      <c r="B643" s="207" t="s">
        <v>6946</v>
      </c>
      <c r="C643" s="30" t="s">
        <v>3335</v>
      </c>
      <c r="D643" s="30" t="s">
        <v>6969</v>
      </c>
      <c r="E643" s="245" t="s">
        <v>6965</v>
      </c>
      <c r="F643" s="30" t="s">
        <v>128</v>
      </c>
      <c r="G643" s="207" t="s">
        <v>1434</v>
      </c>
      <c r="H643" s="30" t="s">
        <v>809</v>
      </c>
      <c r="I643" s="6" t="s">
        <v>809</v>
      </c>
      <c r="J643" s="30" t="s">
        <v>6949</v>
      </c>
      <c r="K643" s="207"/>
      <c r="L643" s="207"/>
      <c r="M643" s="30" t="s">
        <v>6970</v>
      </c>
      <c r="N643" s="6" t="s">
        <v>6967</v>
      </c>
      <c r="O643" s="6" t="s">
        <v>809</v>
      </c>
      <c r="P643" s="207" t="s">
        <v>5238</v>
      </c>
      <c r="Q643" s="216" t="n">
        <f aca="false">Cap_In!E228</f>
        <v>1</v>
      </c>
      <c r="R643" s="30" t="s">
        <v>809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5239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6971</v>
      </c>
      <c r="B644" s="207" t="s">
        <v>6972</v>
      </c>
      <c r="C644" s="30" t="s">
        <v>3335</v>
      </c>
      <c r="D644" s="30" t="s">
        <v>6973</v>
      </c>
      <c r="E644" s="245" t="s">
        <v>6974</v>
      </c>
      <c r="F644" s="30" t="s">
        <v>128</v>
      </c>
      <c r="G644" s="207" t="s">
        <v>5235</v>
      </c>
      <c r="H644" s="30" t="s">
        <v>6975</v>
      </c>
      <c r="I644" s="245" t="s">
        <v>6976</v>
      </c>
      <c r="J644" s="30" t="s">
        <v>6977</v>
      </c>
      <c r="K644" s="255" t="n">
        <v>0</v>
      </c>
      <c r="L644" s="255" t="n">
        <v>0.2</v>
      </c>
      <c r="M644" s="207" t="s">
        <v>6978</v>
      </c>
      <c r="N644" s="6" t="s">
        <v>6979</v>
      </c>
      <c r="O644" s="6" t="s">
        <v>809</v>
      </c>
      <c r="P644" s="207" t="s">
        <v>5238</v>
      </c>
      <c r="Q644" s="46" t="n">
        <f aca="false">Cap_In!D186</f>
        <v>0</v>
      </c>
      <c r="R644" s="186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5239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738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6980</v>
      </c>
      <c r="B645" s="207" t="s">
        <v>6972</v>
      </c>
      <c r="C645" s="30" t="s">
        <v>3335</v>
      </c>
      <c r="D645" s="30" t="s">
        <v>6981</v>
      </c>
      <c r="E645" s="245" t="s">
        <v>6974</v>
      </c>
      <c r="F645" s="30" t="s">
        <v>128</v>
      </c>
      <c r="G645" s="207" t="s">
        <v>5235</v>
      </c>
      <c r="H645" s="30" t="s">
        <v>6975</v>
      </c>
      <c r="I645" s="245" t="s">
        <v>6976</v>
      </c>
      <c r="J645" s="30" t="s">
        <v>6977</v>
      </c>
      <c r="K645" s="255" t="n">
        <v>0.3</v>
      </c>
      <c r="L645" s="255" t="n">
        <v>0.8</v>
      </c>
      <c r="M645" s="207" t="s">
        <v>6982</v>
      </c>
      <c r="N645" s="6" t="s">
        <v>6979</v>
      </c>
      <c r="O645" s="6" t="s">
        <v>809</v>
      </c>
      <c r="P645" s="207" t="s">
        <v>5238</v>
      </c>
      <c r="Q645" s="46" t="n">
        <f aca="false">Cap_In!E186</f>
        <v>0.5</v>
      </c>
      <c r="R645" s="186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5239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738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6983</v>
      </c>
      <c r="B646" s="207" t="s">
        <v>6972</v>
      </c>
      <c r="C646" s="30" t="s">
        <v>3335</v>
      </c>
      <c r="D646" s="30" t="s">
        <v>6984</v>
      </c>
      <c r="E646" s="245" t="s">
        <v>6974</v>
      </c>
      <c r="F646" s="30" t="s">
        <v>128</v>
      </c>
      <c r="G646" s="207" t="s">
        <v>5235</v>
      </c>
      <c r="H646" s="30" t="s">
        <v>6975</v>
      </c>
      <c r="I646" s="245" t="s">
        <v>6976</v>
      </c>
      <c r="J646" s="30" t="s">
        <v>6977</v>
      </c>
      <c r="K646" s="255" t="n">
        <v>0.5</v>
      </c>
      <c r="L646" s="255" t="n">
        <v>1.5</v>
      </c>
      <c r="M646" s="207" t="s">
        <v>6985</v>
      </c>
      <c r="N646" s="6" t="s">
        <v>6979</v>
      </c>
      <c r="O646" s="6" t="s">
        <v>809</v>
      </c>
      <c r="P646" s="207" t="s">
        <v>5238</v>
      </c>
      <c r="Q646" s="46" t="n">
        <f aca="false">Cap_In!F186</f>
        <v>1</v>
      </c>
      <c r="R646" s="186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5239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738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6986</v>
      </c>
      <c r="B647" s="207" t="s">
        <v>6972</v>
      </c>
      <c r="C647" s="30" t="s">
        <v>3335</v>
      </c>
      <c r="D647" s="30" t="s">
        <v>6987</v>
      </c>
      <c r="E647" s="6" t="s">
        <v>1881</v>
      </c>
      <c r="F647" s="30" t="s">
        <v>128</v>
      </c>
      <c r="G647" s="207" t="s">
        <v>5235</v>
      </c>
      <c r="H647" s="30" t="s">
        <v>809</v>
      </c>
      <c r="I647" s="6" t="s">
        <v>809</v>
      </c>
      <c r="J647" s="30" t="s">
        <v>6977</v>
      </c>
      <c r="K647" s="255" t="n">
        <v>0.5</v>
      </c>
      <c r="L647" s="255" t="n">
        <v>0.8</v>
      </c>
      <c r="M647" s="207" t="s">
        <v>6988</v>
      </c>
      <c r="N647" s="6" t="s">
        <v>6989</v>
      </c>
      <c r="O647" s="6" t="s">
        <v>809</v>
      </c>
      <c r="P647" s="207" t="s">
        <v>5238</v>
      </c>
      <c r="Q647" s="198" t="n">
        <f aca="false">Cap_In!D200</f>
        <v>0.65</v>
      </c>
      <c r="R647" s="30" t="s">
        <v>809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5239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6990</v>
      </c>
      <c r="B648" s="207" t="s">
        <v>6991</v>
      </c>
      <c r="C648" s="30" t="s">
        <v>3343</v>
      </c>
      <c r="D648" s="30" t="s">
        <v>3356</v>
      </c>
      <c r="E648" s="245" t="s">
        <v>6992</v>
      </c>
      <c r="F648" s="30" t="s">
        <v>176</v>
      </c>
      <c r="G648" s="207" t="s">
        <v>111</v>
      </c>
      <c r="H648" s="30" t="s">
        <v>809</v>
      </c>
      <c r="I648" s="6" t="s">
        <v>809</v>
      </c>
      <c r="J648" s="30" t="s">
        <v>6993</v>
      </c>
      <c r="K648" s="194" t="n">
        <f aca="false">Alloc_In!D26</f>
        <v>0.65</v>
      </c>
      <c r="L648" s="194" t="n">
        <f aca="false">Alloc_In!E26</f>
        <v>1.2</v>
      </c>
      <c r="M648" s="30" t="s">
        <v>6994</v>
      </c>
      <c r="N648" s="6" t="s">
        <v>6995</v>
      </c>
      <c r="O648" s="6" t="s">
        <v>809</v>
      </c>
      <c r="P648" s="207" t="s">
        <v>5281</v>
      </c>
      <c r="Q648" s="194" t="n">
        <f aca="false">Alloc_In!C26</f>
        <v>1</v>
      </c>
      <c r="R648" s="30" t="s">
        <v>809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5239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6996</v>
      </c>
      <c r="B649" s="207" t="s">
        <v>6991</v>
      </c>
      <c r="C649" s="30" t="s">
        <v>3343</v>
      </c>
      <c r="D649" s="30" t="s">
        <v>6997</v>
      </c>
      <c r="E649" s="245" t="s">
        <v>6992</v>
      </c>
      <c r="F649" s="30" t="s">
        <v>176</v>
      </c>
      <c r="G649" s="207" t="s">
        <v>6195</v>
      </c>
      <c r="H649" s="30" t="s">
        <v>809</v>
      </c>
      <c r="I649" s="6" t="s">
        <v>809</v>
      </c>
      <c r="J649" s="30" t="s">
        <v>6993</v>
      </c>
      <c r="K649" s="207"/>
      <c r="L649" s="207"/>
      <c r="M649" s="30" t="s">
        <v>6998</v>
      </c>
      <c r="N649" s="6" t="s">
        <v>6995</v>
      </c>
      <c r="O649" s="6" t="s">
        <v>809</v>
      </c>
      <c r="P649" s="30" t="s">
        <v>809</v>
      </c>
      <c r="Q649" s="186" t="s">
        <v>809</v>
      </c>
      <c r="R649" s="30" t="s">
        <v>809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809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6999</v>
      </c>
      <c r="B650" s="207" t="s">
        <v>7000</v>
      </c>
      <c r="C650" s="30" t="s">
        <v>3335</v>
      </c>
      <c r="D650" s="30" t="s">
        <v>7001</v>
      </c>
      <c r="E650" s="6" t="s">
        <v>2018</v>
      </c>
      <c r="F650" s="30" t="s">
        <v>176</v>
      </c>
      <c r="G650" s="207" t="s">
        <v>5235</v>
      </c>
      <c r="H650" s="30" t="s">
        <v>809</v>
      </c>
      <c r="I650" s="6" t="s">
        <v>809</v>
      </c>
      <c r="J650" s="30" t="s">
        <v>6993</v>
      </c>
      <c r="K650" s="255" t="n">
        <v>2.722</v>
      </c>
      <c r="L650" s="255" t="n">
        <v>2.722</v>
      </c>
      <c r="M650" s="207" t="s">
        <v>7002</v>
      </c>
      <c r="N650" s="6" t="s">
        <v>7003</v>
      </c>
      <c r="O650" s="6" t="s">
        <v>809</v>
      </c>
      <c r="P650" s="207" t="s">
        <v>5238</v>
      </c>
      <c r="Q650" s="195" t="n">
        <f aca="false">Cap_In!C258</f>
        <v>2.722</v>
      </c>
      <c r="R650" s="30" t="s">
        <v>809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5239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7004</v>
      </c>
      <c r="B651" s="207" t="s">
        <v>7000</v>
      </c>
      <c r="C651" s="30" t="s">
        <v>3335</v>
      </c>
      <c r="D651" s="30" t="s">
        <v>7005</v>
      </c>
      <c r="E651" s="6" t="s">
        <v>2018</v>
      </c>
      <c r="F651" s="30" t="s">
        <v>176</v>
      </c>
      <c r="G651" s="207" t="s">
        <v>5235</v>
      </c>
      <c r="H651" s="30" t="s">
        <v>809</v>
      </c>
      <c r="I651" s="6" t="s">
        <v>809</v>
      </c>
      <c r="J651" s="30" t="s">
        <v>6993</v>
      </c>
      <c r="K651" s="255" t="n">
        <v>7</v>
      </c>
      <c r="L651" s="255" t="n">
        <v>7</v>
      </c>
      <c r="M651" s="207" t="s">
        <v>7006</v>
      </c>
      <c r="N651" s="6" t="s">
        <v>7003</v>
      </c>
      <c r="O651" s="6" t="s">
        <v>809</v>
      </c>
      <c r="P651" s="207" t="s">
        <v>5238</v>
      </c>
      <c r="Q651" s="33" t="n">
        <f aca="false">Cap_In!D258</f>
        <v>7</v>
      </c>
      <c r="R651" s="30" t="s">
        <v>809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5239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7007</v>
      </c>
      <c r="B652" s="207" t="s">
        <v>7000</v>
      </c>
      <c r="C652" s="30" t="s">
        <v>3335</v>
      </c>
      <c r="D652" s="30" t="s">
        <v>7008</v>
      </c>
      <c r="E652" s="6" t="s">
        <v>2021</v>
      </c>
      <c r="F652" s="30" t="s">
        <v>176</v>
      </c>
      <c r="G652" s="207" t="s">
        <v>5235</v>
      </c>
      <c r="H652" s="30" t="s">
        <v>809</v>
      </c>
      <c r="I652" s="6" t="s">
        <v>809</v>
      </c>
      <c r="J652" s="30" t="s">
        <v>6993</v>
      </c>
      <c r="K652" s="255" t="n">
        <v>1.672</v>
      </c>
      <c r="L652" s="255" t="n">
        <v>1.672</v>
      </c>
      <c r="M652" s="207" t="s">
        <v>7002</v>
      </c>
      <c r="N652" s="6" t="s">
        <v>7009</v>
      </c>
      <c r="O652" s="6" t="s">
        <v>809</v>
      </c>
      <c r="P652" s="207" t="s">
        <v>5238</v>
      </c>
      <c r="Q652" s="195" t="n">
        <f aca="false">Cap_In!C259</f>
        <v>1.672</v>
      </c>
      <c r="R652" s="30" t="s">
        <v>809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5239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7010</v>
      </c>
      <c r="B653" s="207" t="s">
        <v>7000</v>
      </c>
      <c r="C653" s="30" t="s">
        <v>3335</v>
      </c>
      <c r="D653" s="30" t="s">
        <v>7011</v>
      </c>
      <c r="E653" s="6" t="s">
        <v>2021</v>
      </c>
      <c r="F653" s="30" t="s">
        <v>176</v>
      </c>
      <c r="G653" s="207" t="s">
        <v>5235</v>
      </c>
      <c r="H653" s="30" t="s">
        <v>809</v>
      </c>
      <c r="I653" s="6" t="s">
        <v>809</v>
      </c>
      <c r="J653" s="30" t="s">
        <v>6993</v>
      </c>
      <c r="K653" s="255" t="n">
        <v>4</v>
      </c>
      <c r="L653" s="255" t="n">
        <v>4</v>
      </c>
      <c r="M653" s="207" t="s">
        <v>7012</v>
      </c>
      <c r="N653" s="6" t="s">
        <v>7009</v>
      </c>
      <c r="O653" s="6" t="s">
        <v>809</v>
      </c>
      <c r="P653" s="207" t="s">
        <v>5238</v>
      </c>
      <c r="Q653" s="33" t="n">
        <f aca="false">Cap_In!D259</f>
        <v>4</v>
      </c>
      <c r="R653" s="30" t="s">
        <v>809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5239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7013</v>
      </c>
      <c r="B654" s="207" t="s">
        <v>7000</v>
      </c>
      <c r="C654" s="30" t="s">
        <v>3335</v>
      </c>
      <c r="D654" s="30" t="s">
        <v>7014</v>
      </c>
      <c r="E654" s="6" t="s">
        <v>2023</v>
      </c>
      <c r="F654" s="30" t="s">
        <v>176</v>
      </c>
      <c r="G654" s="207" t="s">
        <v>5235</v>
      </c>
      <c r="H654" s="30" t="s">
        <v>809</v>
      </c>
      <c r="I654" s="6" t="s">
        <v>809</v>
      </c>
      <c r="J654" s="30" t="s">
        <v>6993</v>
      </c>
      <c r="K654" s="255" t="n">
        <v>2.341</v>
      </c>
      <c r="L654" s="255" t="n">
        <v>2.341</v>
      </c>
      <c r="M654" s="207" t="s">
        <v>7002</v>
      </c>
      <c r="N654" s="6" t="s">
        <v>7015</v>
      </c>
      <c r="O654" s="6" t="s">
        <v>809</v>
      </c>
      <c r="P654" s="207" t="s">
        <v>5238</v>
      </c>
      <c r="Q654" s="195" t="n">
        <f aca="false">Cap_In!C260</f>
        <v>2.341</v>
      </c>
      <c r="R654" s="30" t="s">
        <v>809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5239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7016</v>
      </c>
      <c r="B655" s="207" t="s">
        <v>7000</v>
      </c>
      <c r="C655" s="30" t="s">
        <v>3335</v>
      </c>
      <c r="D655" s="30" t="s">
        <v>7017</v>
      </c>
      <c r="E655" s="6" t="s">
        <v>2023</v>
      </c>
      <c r="F655" s="30" t="s">
        <v>176</v>
      </c>
      <c r="G655" s="207" t="s">
        <v>5235</v>
      </c>
      <c r="H655" s="30" t="s">
        <v>809</v>
      </c>
      <c r="I655" s="6" t="s">
        <v>809</v>
      </c>
      <c r="J655" s="30" t="s">
        <v>6993</v>
      </c>
      <c r="K655" s="255" t="n">
        <v>1</v>
      </c>
      <c r="L655" s="255" t="n">
        <v>1</v>
      </c>
      <c r="M655" s="207" t="s">
        <v>7018</v>
      </c>
      <c r="N655" s="6" t="s">
        <v>7015</v>
      </c>
      <c r="O655" s="6" t="s">
        <v>809</v>
      </c>
      <c r="P655" s="207" t="s">
        <v>5238</v>
      </c>
      <c r="Q655" s="33" t="n">
        <f aca="false">Cap_In!D260</f>
        <v>1</v>
      </c>
      <c r="R655" s="30" t="s">
        <v>809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5239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7019</v>
      </c>
      <c r="B656" s="207" t="s">
        <v>7020</v>
      </c>
      <c r="C656" s="30" t="s">
        <v>3318</v>
      </c>
      <c r="D656" s="30" t="s">
        <v>3210</v>
      </c>
      <c r="E656" s="6" t="s">
        <v>7021</v>
      </c>
      <c r="F656" s="30" t="s">
        <v>128</v>
      </c>
      <c r="G656" s="207" t="s">
        <v>5235</v>
      </c>
      <c r="H656" s="30" t="s">
        <v>809</v>
      </c>
      <c r="I656" s="6" t="s">
        <v>809</v>
      </c>
      <c r="J656" s="30" t="s">
        <v>6342</v>
      </c>
      <c r="K656" s="255" t="n">
        <v>0.787</v>
      </c>
      <c r="L656" s="255" t="n">
        <v>2.36</v>
      </c>
      <c r="M656" s="30" t="s">
        <v>7022</v>
      </c>
      <c r="N656" s="6" t="s">
        <v>7023</v>
      </c>
      <c r="O656" s="6" t="s">
        <v>809</v>
      </c>
      <c r="P656" s="207" t="s">
        <v>1434</v>
      </c>
      <c r="Q656" s="51" t="n">
        <f aca="false">Train_In!C34</f>
        <v>2.36</v>
      </c>
      <c r="R656" s="30" t="s">
        <v>809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5239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7024</v>
      </c>
      <c r="B657" s="207" t="s">
        <v>7020</v>
      </c>
      <c r="C657" s="30" t="s">
        <v>3318</v>
      </c>
      <c r="D657" s="30" t="s">
        <v>3159</v>
      </c>
      <c r="E657" s="6" t="s">
        <v>7025</v>
      </c>
      <c r="F657" s="30" t="s">
        <v>128</v>
      </c>
      <c r="G657" s="207" t="s">
        <v>5235</v>
      </c>
      <c r="H657" s="30" t="s">
        <v>809</v>
      </c>
      <c r="I657" s="6" t="s">
        <v>809</v>
      </c>
      <c r="J657" s="30" t="s">
        <v>6342</v>
      </c>
      <c r="K657" s="255" t="n">
        <v>0.787</v>
      </c>
      <c r="L657" s="255" t="n">
        <v>2.36</v>
      </c>
      <c r="M657" s="30" t="s">
        <v>7022</v>
      </c>
      <c r="N657" s="6" t="s">
        <v>7023</v>
      </c>
      <c r="O657" s="6" t="s">
        <v>809</v>
      </c>
      <c r="P657" s="207" t="s">
        <v>1434</v>
      </c>
      <c r="Q657" s="51" t="n">
        <f aca="false">Train_In!D34</f>
        <v>2.36</v>
      </c>
      <c r="R657" s="30" t="s">
        <v>809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5239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7026</v>
      </c>
      <c r="B658" s="207" t="s">
        <v>7020</v>
      </c>
      <c r="C658" s="30" t="s">
        <v>3318</v>
      </c>
      <c r="D658" s="30" t="s">
        <v>3160</v>
      </c>
      <c r="E658" s="6" t="s">
        <v>7027</v>
      </c>
      <c r="F658" s="30" t="s">
        <v>128</v>
      </c>
      <c r="G658" s="207" t="s">
        <v>5235</v>
      </c>
      <c r="H658" s="30" t="s">
        <v>809</v>
      </c>
      <c r="I658" s="6" t="s">
        <v>809</v>
      </c>
      <c r="J658" s="30" t="s">
        <v>6342</v>
      </c>
      <c r="K658" s="255" t="n">
        <v>0.96</v>
      </c>
      <c r="L658" s="255" t="n">
        <v>19.2</v>
      </c>
      <c r="M658" s="30" t="s">
        <v>7028</v>
      </c>
      <c r="N658" s="6" t="s">
        <v>7029</v>
      </c>
      <c r="O658" s="6" t="s">
        <v>809</v>
      </c>
      <c r="P658" s="207" t="s">
        <v>1434</v>
      </c>
      <c r="Q658" s="51" t="n">
        <f aca="false">Train_In!E34</f>
        <v>9.6</v>
      </c>
      <c r="R658" s="30" t="s">
        <v>809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5239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7030</v>
      </c>
      <c r="B659" s="207" t="s">
        <v>7020</v>
      </c>
      <c r="C659" s="30" t="s">
        <v>6333</v>
      </c>
      <c r="D659" s="30" t="s">
        <v>6461</v>
      </c>
      <c r="E659" s="245" t="s">
        <v>7031</v>
      </c>
      <c r="F659" s="30" t="s">
        <v>128</v>
      </c>
      <c r="G659" s="207" t="s">
        <v>5883</v>
      </c>
      <c r="H659" s="30" t="s">
        <v>809</v>
      </c>
      <c r="I659" s="6" t="s">
        <v>809</v>
      </c>
      <c r="J659" s="30" t="s">
        <v>6342</v>
      </c>
      <c r="K659" s="255" t="n">
        <v>0.7</v>
      </c>
      <c r="L659" s="255" t="n">
        <v>1.7</v>
      </c>
      <c r="M659" s="30" t="s">
        <v>7032</v>
      </c>
      <c r="N659" s="6" t="s">
        <v>7033</v>
      </c>
      <c r="O659" s="6" t="s">
        <v>809</v>
      </c>
      <c r="P659" s="207" t="s">
        <v>5238</v>
      </c>
      <c r="Q659" s="186" t="s">
        <v>809</v>
      </c>
      <c r="R659" s="30" t="s">
        <v>809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809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7034</v>
      </c>
      <c r="B660" s="207" t="s">
        <v>7035</v>
      </c>
      <c r="C660" s="30" t="s">
        <v>3171</v>
      </c>
      <c r="D660" s="30" t="s">
        <v>7036</v>
      </c>
      <c r="E660" s="245" t="s">
        <v>7037</v>
      </c>
      <c r="F660" s="30" t="s">
        <v>128</v>
      </c>
      <c r="G660" s="207" t="s">
        <v>5235</v>
      </c>
      <c r="H660" s="30" t="s">
        <v>809</v>
      </c>
      <c r="I660" s="6" t="s">
        <v>809</v>
      </c>
      <c r="J660" s="30" t="s">
        <v>7038</v>
      </c>
      <c r="K660" s="207"/>
      <c r="L660" s="207"/>
      <c r="M660" s="207" t="s">
        <v>7039</v>
      </c>
      <c r="N660" s="6" t="s">
        <v>7040</v>
      </c>
      <c r="O660" s="6" t="s">
        <v>809</v>
      </c>
      <c r="P660" s="207" t="s">
        <v>1434</v>
      </c>
      <c r="Q660" s="186" t="s">
        <v>809</v>
      </c>
      <c r="R660" s="30" t="s">
        <v>809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809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7041</v>
      </c>
      <c r="B661" s="207" t="s">
        <v>7035</v>
      </c>
      <c r="C661" s="30" t="s">
        <v>3171</v>
      </c>
      <c r="D661" s="30" t="s">
        <v>7042</v>
      </c>
      <c r="E661" s="245" t="s">
        <v>7043</v>
      </c>
      <c r="F661" s="30" t="s">
        <v>128</v>
      </c>
      <c r="G661" s="207" t="s">
        <v>1433</v>
      </c>
      <c r="H661" s="30" t="s">
        <v>809</v>
      </c>
      <c r="I661" s="6" t="s">
        <v>809</v>
      </c>
      <c r="J661" s="30" t="s">
        <v>7038</v>
      </c>
      <c r="K661" s="207"/>
      <c r="L661" s="207"/>
      <c r="M661" s="207" t="s">
        <v>7044</v>
      </c>
      <c r="N661" s="6" t="s">
        <v>7045</v>
      </c>
      <c r="O661" s="6" t="s">
        <v>809</v>
      </c>
      <c r="P661" s="207" t="s">
        <v>1434</v>
      </c>
      <c r="Q661" s="186" t="s">
        <v>809</v>
      </c>
      <c r="R661" s="30" t="s">
        <v>809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809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7046</v>
      </c>
      <c r="B662" s="207" t="s">
        <v>7035</v>
      </c>
      <c r="C662" s="30" t="s">
        <v>3171</v>
      </c>
      <c r="D662" s="30" t="s">
        <v>7047</v>
      </c>
      <c r="E662" s="245" t="s">
        <v>7048</v>
      </c>
      <c r="F662" s="30" t="s">
        <v>128</v>
      </c>
      <c r="G662" s="207" t="s">
        <v>1434</v>
      </c>
      <c r="H662" s="30" t="s">
        <v>809</v>
      </c>
      <c r="I662" s="6" t="s">
        <v>809</v>
      </c>
      <c r="J662" s="30" t="s">
        <v>7038</v>
      </c>
      <c r="K662" s="207"/>
      <c r="L662" s="207"/>
      <c r="M662" s="207" t="s">
        <v>7049</v>
      </c>
      <c r="N662" s="6" t="s">
        <v>7045</v>
      </c>
      <c r="O662" s="6" t="s">
        <v>809</v>
      </c>
      <c r="P662" s="207" t="s">
        <v>1434</v>
      </c>
      <c r="Q662" s="186" t="s">
        <v>809</v>
      </c>
      <c r="R662" s="30" t="s">
        <v>809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809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7050</v>
      </c>
      <c r="B663" s="207" t="s">
        <v>7051</v>
      </c>
      <c r="C663" s="30" t="s">
        <v>3335</v>
      </c>
      <c r="D663" s="30" t="s">
        <v>7052</v>
      </c>
      <c r="E663" s="245" t="s">
        <v>7053</v>
      </c>
      <c r="F663" s="30" t="s">
        <v>128</v>
      </c>
      <c r="G663" s="207" t="s">
        <v>111</v>
      </c>
      <c r="H663" s="30" t="s">
        <v>809</v>
      </c>
      <c r="I663" s="6" t="s">
        <v>809</v>
      </c>
      <c r="J663" s="30" t="s">
        <v>7054</v>
      </c>
      <c r="K663" s="194" t="n">
        <f aca="false">Cap_In!D272</f>
        <v>1.88</v>
      </c>
      <c r="L663" s="194" t="n">
        <f aca="false">Cap_In!E272</f>
        <v>2.17</v>
      </c>
      <c r="M663" s="30" t="s">
        <v>7055</v>
      </c>
      <c r="N663" s="245" t="s">
        <v>7056</v>
      </c>
      <c r="O663" s="6" t="s">
        <v>809</v>
      </c>
      <c r="P663" s="207" t="s">
        <v>5281</v>
      </c>
      <c r="Q663" s="194" t="n">
        <f aca="false">Cap_In!C272</f>
        <v>1.88</v>
      </c>
      <c r="R663" s="30" t="s">
        <v>809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5239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7057</v>
      </c>
      <c r="B664" s="207" t="s">
        <v>7051</v>
      </c>
      <c r="C664" s="30" t="s">
        <v>3335</v>
      </c>
      <c r="D664" s="30" t="s">
        <v>7058</v>
      </c>
      <c r="E664" s="245" t="s">
        <v>7053</v>
      </c>
      <c r="F664" s="30" t="s">
        <v>128</v>
      </c>
      <c r="G664" s="207" t="s">
        <v>6195</v>
      </c>
      <c r="H664" s="30" t="s">
        <v>809</v>
      </c>
      <c r="I664" s="6" t="s">
        <v>809</v>
      </c>
      <c r="J664" s="30" t="s">
        <v>7054</v>
      </c>
      <c r="K664" s="207"/>
      <c r="L664" s="207"/>
      <c r="M664" s="30" t="s">
        <v>7059</v>
      </c>
      <c r="N664" s="245" t="s">
        <v>7056</v>
      </c>
      <c r="O664" s="6" t="s">
        <v>809</v>
      </c>
      <c r="P664" s="30" t="s">
        <v>809</v>
      </c>
      <c r="Q664" s="186" t="s">
        <v>809</v>
      </c>
      <c r="R664" s="30" t="s">
        <v>809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809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7060</v>
      </c>
      <c r="B665" s="207" t="s">
        <v>7051</v>
      </c>
      <c r="C665" s="30" t="s">
        <v>3335</v>
      </c>
      <c r="D665" s="30" t="s">
        <v>7061</v>
      </c>
      <c r="E665" s="245" t="s">
        <v>7062</v>
      </c>
      <c r="F665" s="30" t="s">
        <v>128</v>
      </c>
      <c r="G665" s="207" t="s">
        <v>111</v>
      </c>
      <c r="H665" s="30" t="s">
        <v>809</v>
      </c>
      <c r="I665" s="6" t="s">
        <v>809</v>
      </c>
      <c r="J665" s="30" t="s">
        <v>7054</v>
      </c>
      <c r="K665" s="194" t="n">
        <f aca="false">Cap_In!D273</f>
        <v>0.41</v>
      </c>
      <c r="L665" s="194" t="n">
        <f aca="false">Cap_In!E273</f>
        <v>0.54</v>
      </c>
      <c r="M665" s="30" t="s">
        <v>7063</v>
      </c>
      <c r="N665" s="245" t="s">
        <v>7064</v>
      </c>
      <c r="O665" s="6" t="s">
        <v>809</v>
      </c>
      <c r="P665" s="207" t="s">
        <v>5281</v>
      </c>
      <c r="Q665" s="194" t="n">
        <f aca="false">Cap_In!C273</f>
        <v>0.41</v>
      </c>
      <c r="R665" s="30" t="s">
        <v>809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5239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7065</v>
      </c>
      <c r="B666" s="207" t="s">
        <v>7051</v>
      </c>
      <c r="C666" s="30" t="s">
        <v>3335</v>
      </c>
      <c r="D666" s="30" t="s">
        <v>7066</v>
      </c>
      <c r="E666" s="245" t="s">
        <v>7062</v>
      </c>
      <c r="F666" s="30" t="s">
        <v>128</v>
      </c>
      <c r="G666" s="207" t="s">
        <v>6195</v>
      </c>
      <c r="H666" s="30" t="s">
        <v>809</v>
      </c>
      <c r="I666" s="6" t="s">
        <v>809</v>
      </c>
      <c r="J666" s="30" t="s">
        <v>7054</v>
      </c>
      <c r="K666" s="207"/>
      <c r="L666" s="207"/>
      <c r="M666" s="30" t="s">
        <v>7067</v>
      </c>
      <c r="N666" s="245" t="s">
        <v>7064</v>
      </c>
      <c r="O666" s="6" t="s">
        <v>809</v>
      </c>
      <c r="P666" s="30" t="s">
        <v>809</v>
      </c>
      <c r="Q666" s="186" t="s">
        <v>809</v>
      </c>
      <c r="R666" s="30" t="s">
        <v>809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809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7068</v>
      </c>
      <c r="B667" s="207" t="s">
        <v>7051</v>
      </c>
      <c r="C667" s="30" t="s">
        <v>3335</v>
      </c>
      <c r="D667" s="30" t="s">
        <v>7069</v>
      </c>
      <c r="E667" s="245" t="s">
        <v>7070</v>
      </c>
      <c r="F667" s="30" t="s">
        <v>128</v>
      </c>
      <c r="G667" s="207" t="s">
        <v>111</v>
      </c>
      <c r="H667" s="30" t="s">
        <v>809</v>
      </c>
      <c r="I667" s="6" t="s">
        <v>809</v>
      </c>
      <c r="J667" s="30" t="s">
        <v>7054</v>
      </c>
      <c r="K667" s="194" t="n">
        <f aca="false">Cap_In!D274</f>
        <v>1.11</v>
      </c>
      <c r="L667" s="194" t="n">
        <f aca="false">Cap_In!E274</f>
        <v>1.24</v>
      </c>
      <c r="M667" s="30" t="s">
        <v>7071</v>
      </c>
      <c r="N667" s="245" t="s">
        <v>7072</v>
      </c>
      <c r="O667" s="6" t="s">
        <v>809</v>
      </c>
      <c r="P667" s="207" t="s">
        <v>5281</v>
      </c>
      <c r="Q667" s="194" t="n">
        <f aca="false">Cap_In!C274</f>
        <v>1.18</v>
      </c>
      <c r="R667" s="30" t="s">
        <v>809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5239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7073</v>
      </c>
      <c r="B668" s="207" t="s">
        <v>7051</v>
      </c>
      <c r="C668" s="30" t="s">
        <v>3335</v>
      </c>
      <c r="D668" s="30" t="s">
        <v>7074</v>
      </c>
      <c r="E668" s="245" t="s">
        <v>7070</v>
      </c>
      <c r="F668" s="30" t="s">
        <v>128</v>
      </c>
      <c r="G668" s="207" t="s">
        <v>6195</v>
      </c>
      <c r="H668" s="30" t="s">
        <v>809</v>
      </c>
      <c r="I668" s="6" t="s">
        <v>809</v>
      </c>
      <c r="J668" s="30" t="s">
        <v>7054</v>
      </c>
      <c r="K668" s="207"/>
      <c r="L668" s="207"/>
      <c r="M668" s="30" t="s">
        <v>7075</v>
      </c>
      <c r="N668" s="245" t="s">
        <v>7072</v>
      </c>
      <c r="O668" s="6" t="s">
        <v>809</v>
      </c>
      <c r="P668" s="30" t="s">
        <v>809</v>
      </c>
      <c r="Q668" s="186" t="s">
        <v>809</v>
      </c>
      <c r="R668" s="30" t="s">
        <v>809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809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7076</v>
      </c>
      <c r="B669" s="207" t="s">
        <v>7077</v>
      </c>
      <c r="C669" s="30" t="s">
        <v>3335</v>
      </c>
      <c r="D669" s="30" t="s">
        <v>7078</v>
      </c>
      <c r="E669" s="6" t="s">
        <v>2049</v>
      </c>
      <c r="F669" s="30" t="s">
        <v>176</v>
      </c>
      <c r="G669" s="207" t="s">
        <v>111</v>
      </c>
      <c r="H669" s="30" t="s">
        <v>809</v>
      </c>
      <c r="I669" s="6" t="s">
        <v>809</v>
      </c>
      <c r="J669" s="30" t="s">
        <v>7079</v>
      </c>
      <c r="K669" s="53" t="n">
        <f aca="false">Cap_In!D278</f>
        <v>0.0669</v>
      </c>
      <c r="L669" s="53" t="n">
        <f aca="false">Cap_In!E278</f>
        <v>0.3026</v>
      </c>
      <c r="M669" s="30" t="s">
        <v>7080</v>
      </c>
      <c r="N669" s="6" t="s">
        <v>7081</v>
      </c>
      <c r="O669" s="6" t="s">
        <v>809</v>
      </c>
      <c r="P669" s="207" t="s">
        <v>5281</v>
      </c>
      <c r="Q669" s="53" t="n">
        <f aca="false">Cap_In!C278</f>
        <v>0.1035</v>
      </c>
      <c r="R669" s="30" t="s">
        <v>809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5239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7082</v>
      </c>
      <c r="B670" s="207" t="s">
        <v>7077</v>
      </c>
      <c r="C670" s="30" t="s">
        <v>3335</v>
      </c>
      <c r="D670" s="30" t="s">
        <v>7083</v>
      </c>
      <c r="E670" s="6" t="s">
        <v>2049</v>
      </c>
      <c r="F670" s="30" t="s">
        <v>176</v>
      </c>
      <c r="G670" s="207" t="s">
        <v>6195</v>
      </c>
      <c r="H670" s="30" t="s">
        <v>809</v>
      </c>
      <c r="I670" s="6" t="s">
        <v>809</v>
      </c>
      <c r="J670" s="30" t="s">
        <v>7079</v>
      </c>
      <c r="K670" s="207"/>
      <c r="L670" s="207"/>
      <c r="M670" s="30" t="s">
        <v>7084</v>
      </c>
      <c r="N670" s="6" t="s">
        <v>7081</v>
      </c>
      <c r="O670" s="6" t="s">
        <v>809</v>
      </c>
      <c r="P670" s="30" t="s">
        <v>809</v>
      </c>
      <c r="Q670" s="186" t="s">
        <v>809</v>
      </c>
      <c r="R670" s="30" t="s">
        <v>809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809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7085</v>
      </c>
      <c r="B671" s="207" t="s">
        <v>7077</v>
      </c>
      <c r="C671" s="30" t="s">
        <v>3335</v>
      </c>
      <c r="D671" s="30" t="s">
        <v>7086</v>
      </c>
      <c r="E671" s="6" t="s">
        <v>2051</v>
      </c>
      <c r="F671" s="30" t="s">
        <v>176</v>
      </c>
      <c r="G671" s="207" t="s">
        <v>111</v>
      </c>
      <c r="H671" s="30" t="s">
        <v>809</v>
      </c>
      <c r="I671" s="6" t="s">
        <v>809</v>
      </c>
      <c r="J671" s="30" t="s">
        <v>7079</v>
      </c>
      <c r="K671" s="53" t="n">
        <f aca="false">Cap_In!D279</f>
        <v>1.672</v>
      </c>
      <c r="L671" s="53" t="n">
        <f aca="false">Cap_In!E279</f>
        <v>2.338</v>
      </c>
      <c r="M671" s="30" t="s">
        <v>7087</v>
      </c>
      <c r="N671" s="6" t="s">
        <v>7088</v>
      </c>
      <c r="O671" s="6" t="s">
        <v>809</v>
      </c>
      <c r="P671" s="207" t="s">
        <v>5281</v>
      </c>
      <c r="Q671" s="53" t="n">
        <f aca="false">Cap_In!C279</f>
        <v>2.184</v>
      </c>
      <c r="R671" s="30" t="s">
        <v>809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5239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7089</v>
      </c>
      <c r="B672" s="207" t="s">
        <v>7077</v>
      </c>
      <c r="C672" s="30" t="s">
        <v>3335</v>
      </c>
      <c r="D672" s="30" t="s">
        <v>7090</v>
      </c>
      <c r="E672" s="6" t="s">
        <v>2051</v>
      </c>
      <c r="F672" s="30" t="s">
        <v>176</v>
      </c>
      <c r="G672" s="207" t="s">
        <v>6195</v>
      </c>
      <c r="H672" s="30" t="s">
        <v>809</v>
      </c>
      <c r="I672" s="6" t="s">
        <v>809</v>
      </c>
      <c r="J672" s="30" t="s">
        <v>7079</v>
      </c>
      <c r="K672" s="207"/>
      <c r="L672" s="207"/>
      <c r="M672" s="30" t="s">
        <v>7091</v>
      </c>
      <c r="N672" s="6" t="s">
        <v>7088</v>
      </c>
      <c r="O672" s="6" t="s">
        <v>809</v>
      </c>
      <c r="P672" s="30" t="s">
        <v>809</v>
      </c>
      <c r="Q672" s="186" t="s">
        <v>809</v>
      </c>
      <c r="R672" s="30" t="s">
        <v>809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809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7092</v>
      </c>
      <c r="B673" s="207" t="s">
        <v>7077</v>
      </c>
      <c r="C673" s="30" t="s">
        <v>3335</v>
      </c>
      <c r="D673" s="30" t="s">
        <v>7093</v>
      </c>
      <c r="E673" s="6" t="s">
        <v>2053</v>
      </c>
      <c r="F673" s="30" t="s">
        <v>176</v>
      </c>
      <c r="G673" s="207" t="s">
        <v>111</v>
      </c>
      <c r="H673" s="30" t="s">
        <v>809</v>
      </c>
      <c r="I673" s="6" t="s">
        <v>809</v>
      </c>
      <c r="J673" s="30" t="s">
        <v>7079</v>
      </c>
      <c r="K673" s="53" t="n">
        <f aca="false">Cap_In!D280</f>
        <v>2.089</v>
      </c>
      <c r="L673" s="53" t="n">
        <f aca="false">Cap_In!E280</f>
        <v>16.33</v>
      </c>
      <c r="M673" s="30" t="s">
        <v>7094</v>
      </c>
      <c r="N673" s="6" t="s">
        <v>7095</v>
      </c>
      <c r="O673" s="6" t="s">
        <v>809</v>
      </c>
      <c r="P673" s="207" t="s">
        <v>5281</v>
      </c>
      <c r="Q673" s="53" t="n">
        <f aca="false">Cap_In!C280</f>
        <v>7.174</v>
      </c>
      <c r="R673" s="30" t="s">
        <v>809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5239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7096</v>
      </c>
      <c r="B674" s="207" t="s">
        <v>7077</v>
      </c>
      <c r="C674" s="30" t="s">
        <v>3335</v>
      </c>
      <c r="D674" s="30" t="s">
        <v>7097</v>
      </c>
      <c r="E674" s="6" t="s">
        <v>2053</v>
      </c>
      <c r="F674" s="30" t="s">
        <v>176</v>
      </c>
      <c r="G674" s="207" t="s">
        <v>6195</v>
      </c>
      <c r="H674" s="30" t="s">
        <v>809</v>
      </c>
      <c r="I674" s="6" t="s">
        <v>809</v>
      </c>
      <c r="J674" s="30" t="s">
        <v>7079</v>
      </c>
      <c r="K674" s="207"/>
      <c r="L674" s="207"/>
      <c r="M674" s="30" t="s">
        <v>7098</v>
      </c>
      <c r="N674" s="6" t="s">
        <v>7095</v>
      </c>
      <c r="O674" s="6" t="s">
        <v>809</v>
      </c>
      <c r="P674" s="30" t="s">
        <v>809</v>
      </c>
      <c r="Q674" s="186" t="s">
        <v>809</v>
      </c>
      <c r="R674" s="30" t="s">
        <v>809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809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7099</v>
      </c>
      <c r="B675" s="207" t="s">
        <v>7077</v>
      </c>
      <c r="C675" s="30" t="s">
        <v>3343</v>
      </c>
      <c r="D675" s="30" t="s">
        <v>3192</v>
      </c>
      <c r="E675" s="245" t="s">
        <v>7100</v>
      </c>
      <c r="F675" s="30" t="s">
        <v>176</v>
      </c>
      <c r="G675" s="207" t="s">
        <v>111</v>
      </c>
      <c r="H675" s="30" t="s">
        <v>809</v>
      </c>
      <c r="I675" s="6" t="s">
        <v>809</v>
      </c>
      <c r="J675" s="30" t="s">
        <v>7101</v>
      </c>
      <c r="K675" s="196" t="n">
        <f aca="false">Alloc_In!D29</f>
        <v>0.4</v>
      </c>
      <c r="L675" s="196" t="n">
        <f aca="false">Alloc_In!E29</f>
        <v>0.75</v>
      </c>
      <c r="M675" s="30" t="s">
        <v>7102</v>
      </c>
      <c r="N675" s="6" t="s">
        <v>7103</v>
      </c>
      <c r="O675" s="6" t="s">
        <v>809</v>
      </c>
      <c r="P675" s="207" t="s">
        <v>5281</v>
      </c>
      <c r="Q675" s="196" t="n">
        <f aca="false">Alloc_In!C29</f>
        <v>0.6</v>
      </c>
      <c r="R675" s="30" t="s">
        <v>809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5239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7104</v>
      </c>
      <c r="B676" s="207" t="s">
        <v>7077</v>
      </c>
      <c r="C676" s="30" t="s">
        <v>3343</v>
      </c>
      <c r="D676" s="30" t="s">
        <v>6245</v>
      </c>
      <c r="E676" s="245" t="s">
        <v>7100</v>
      </c>
      <c r="F676" s="30" t="s">
        <v>176</v>
      </c>
      <c r="G676" s="207" t="s">
        <v>6195</v>
      </c>
      <c r="H676" s="30" t="s">
        <v>809</v>
      </c>
      <c r="I676" s="6" t="s">
        <v>809</v>
      </c>
      <c r="J676" s="30" t="s">
        <v>7101</v>
      </c>
      <c r="K676" s="207"/>
      <c r="L676" s="207"/>
      <c r="M676" s="30" t="s">
        <v>6246</v>
      </c>
      <c r="N676" s="6" t="s">
        <v>7103</v>
      </c>
      <c r="O676" s="6" t="s">
        <v>809</v>
      </c>
      <c r="P676" s="30" t="s">
        <v>809</v>
      </c>
      <c r="Q676" s="186" t="s">
        <v>809</v>
      </c>
      <c r="R676" s="30" t="s">
        <v>809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809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7105</v>
      </c>
      <c r="B677" s="207" t="s">
        <v>7077</v>
      </c>
      <c r="C677" s="30" t="s">
        <v>3343</v>
      </c>
      <c r="D677" s="30" t="s">
        <v>3324</v>
      </c>
      <c r="E677" s="245" t="s">
        <v>7106</v>
      </c>
      <c r="F677" s="30" t="s">
        <v>176</v>
      </c>
      <c r="G677" s="207" t="s">
        <v>111</v>
      </c>
      <c r="H677" s="30" t="s">
        <v>809</v>
      </c>
      <c r="I677" s="6" t="s">
        <v>809</v>
      </c>
      <c r="J677" s="30" t="s">
        <v>7101</v>
      </c>
      <c r="K677" s="196" t="n">
        <f aca="false">Alloc_In!D30</f>
        <v>0.25</v>
      </c>
      <c r="L677" s="196" t="n">
        <f aca="false">Alloc_In!E30</f>
        <v>0.55</v>
      </c>
      <c r="M677" s="30" t="s">
        <v>7107</v>
      </c>
      <c r="N677" s="6" t="s">
        <v>7108</v>
      </c>
      <c r="O677" s="6" t="s">
        <v>809</v>
      </c>
      <c r="P677" s="207" t="s">
        <v>5281</v>
      </c>
      <c r="Q677" s="196" t="n">
        <f aca="false">Alloc_In!C30</f>
        <v>0.38</v>
      </c>
      <c r="R677" s="30" t="s">
        <v>809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5239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7109</v>
      </c>
      <c r="B678" s="207" t="s">
        <v>7077</v>
      </c>
      <c r="C678" s="30" t="s">
        <v>3343</v>
      </c>
      <c r="D678" s="30" t="s">
        <v>7110</v>
      </c>
      <c r="E678" s="245" t="s">
        <v>7106</v>
      </c>
      <c r="F678" s="30" t="s">
        <v>176</v>
      </c>
      <c r="G678" s="207" t="s">
        <v>6195</v>
      </c>
      <c r="H678" s="30" t="s">
        <v>809</v>
      </c>
      <c r="I678" s="6" t="s">
        <v>809</v>
      </c>
      <c r="J678" s="30" t="s">
        <v>7101</v>
      </c>
      <c r="K678" s="207"/>
      <c r="L678" s="207"/>
      <c r="M678" s="30" t="s">
        <v>7111</v>
      </c>
      <c r="N678" s="6" t="s">
        <v>7108</v>
      </c>
      <c r="O678" s="6" t="s">
        <v>809</v>
      </c>
      <c r="P678" s="30" t="s">
        <v>809</v>
      </c>
      <c r="Q678" s="186" t="s">
        <v>809</v>
      </c>
      <c r="R678" s="30" t="s">
        <v>809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809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7112</v>
      </c>
      <c r="B679" s="207" t="s">
        <v>7077</v>
      </c>
      <c r="C679" s="30" t="s">
        <v>3343</v>
      </c>
      <c r="D679" s="30" t="s">
        <v>3196</v>
      </c>
      <c r="E679" s="245" t="s">
        <v>7113</v>
      </c>
      <c r="F679" s="30" t="s">
        <v>176</v>
      </c>
      <c r="G679" s="207" t="s">
        <v>111</v>
      </c>
      <c r="H679" s="30" t="s">
        <v>809</v>
      </c>
      <c r="I679" s="6" t="s">
        <v>809</v>
      </c>
      <c r="J679" s="30" t="s">
        <v>7101</v>
      </c>
      <c r="K679" s="196" t="n">
        <f aca="false">Alloc_In!D31</f>
        <v>0</v>
      </c>
      <c r="L679" s="196" t="n">
        <f aca="false">Alloc_In!E31</f>
        <v>0.05</v>
      </c>
      <c r="M679" s="30" t="s">
        <v>7114</v>
      </c>
      <c r="N679" s="6" t="s">
        <v>7115</v>
      </c>
      <c r="O679" s="6" t="s">
        <v>809</v>
      </c>
      <c r="P679" s="207" t="s">
        <v>5281</v>
      </c>
      <c r="Q679" s="196" t="n">
        <f aca="false">Alloc_In!C31</f>
        <v>0.02</v>
      </c>
      <c r="R679" s="30" t="s">
        <v>809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5239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7116</v>
      </c>
      <c r="B680" s="207" t="s">
        <v>7077</v>
      </c>
      <c r="C680" s="30" t="s">
        <v>3343</v>
      </c>
      <c r="D680" s="30" t="s">
        <v>7117</v>
      </c>
      <c r="E680" s="245" t="s">
        <v>7113</v>
      </c>
      <c r="F680" s="30" t="s">
        <v>176</v>
      </c>
      <c r="G680" s="207" t="s">
        <v>6195</v>
      </c>
      <c r="H680" s="30" t="s">
        <v>809</v>
      </c>
      <c r="I680" s="6" t="s">
        <v>809</v>
      </c>
      <c r="J680" s="30" t="s">
        <v>7101</v>
      </c>
      <c r="K680" s="207"/>
      <c r="L680" s="207"/>
      <c r="M680" s="30" t="s">
        <v>7118</v>
      </c>
      <c r="N680" s="6" t="s">
        <v>7115</v>
      </c>
      <c r="O680" s="6" t="s">
        <v>809</v>
      </c>
      <c r="P680" s="30" t="s">
        <v>809</v>
      </c>
      <c r="Q680" s="186" t="s">
        <v>809</v>
      </c>
      <c r="R680" s="30" t="s">
        <v>809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809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7119</v>
      </c>
      <c r="B681" s="207" t="s">
        <v>7077</v>
      </c>
      <c r="C681" s="30" t="s">
        <v>3343</v>
      </c>
      <c r="D681" s="30" t="s">
        <v>3198</v>
      </c>
      <c r="E681" s="245" t="s">
        <v>7120</v>
      </c>
      <c r="F681" s="30" t="s">
        <v>176</v>
      </c>
      <c r="G681" s="207" t="s">
        <v>111</v>
      </c>
      <c r="H681" s="30" t="s">
        <v>809</v>
      </c>
      <c r="I681" s="6" t="s">
        <v>809</v>
      </c>
      <c r="J681" s="30" t="s">
        <v>7101</v>
      </c>
      <c r="K681" s="196" t="n">
        <f aca="false">Alloc_In!D32</f>
        <v>0</v>
      </c>
      <c r="L681" s="196" t="n">
        <f aca="false">Alloc_In!E32</f>
        <v>0</v>
      </c>
      <c r="M681" s="30" t="s">
        <v>7121</v>
      </c>
      <c r="N681" s="6" t="s">
        <v>7122</v>
      </c>
      <c r="O681" s="6" t="s">
        <v>809</v>
      </c>
      <c r="P681" s="207" t="s">
        <v>5238</v>
      </c>
      <c r="Q681" s="196" t="n">
        <f aca="false">Alloc_In!C32</f>
        <v>0</v>
      </c>
      <c r="R681" s="30" t="s">
        <v>809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5239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7123</v>
      </c>
      <c r="B682" s="207" t="s">
        <v>7077</v>
      </c>
      <c r="C682" s="30" t="s">
        <v>3343</v>
      </c>
      <c r="D682" s="30" t="s">
        <v>7124</v>
      </c>
      <c r="E682" s="245" t="s">
        <v>7120</v>
      </c>
      <c r="F682" s="30" t="s">
        <v>176</v>
      </c>
      <c r="G682" s="207" t="s">
        <v>6195</v>
      </c>
      <c r="H682" s="30" t="s">
        <v>809</v>
      </c>
      <c r="I682" s="6" t="s">
        <v>809</v>
      </c>
      <c r="J682" s="30" t="s">
        <v>7101</v>
      </c>
      <c r="K682" s="207"/>
      <c r="L682" s="207"/>
      <c r="M682" s="30" t="s">
        <v>7125</v>
      </c>
      <c r="N682" s="6" t="s">
        <v>7122</v>
      </c>
      <c r="O682" s="6" t="s">
        <v>809</v>
      </c>
      <c r="P682" s="30" t="s">
        <v>809</v>
      </c>
      <c r="Q682" s="186" t="s">
        <v>809</v>
      </c>
      <c r="R682" s="30" t="s">
        <v>809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809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7126</v>
      </c>
      <c r="B683" s="207" t="s">
        <v>7077</v>
      </c>
      <c r="C683" s="30" t="s">
        <v>3335</v>
      </c>
      <c r="D683" s="30" t="s">
        <v>7127</v>
      </c>
      <c r="E683" s="6" t="s">
        <v>2078</v>
      </c>
      <c r="F683" s="30" t="s">
        <v>128</v>
      </c>
      <c r="G683" s="207" t="s">
        <v>5235</v>
      </c>
      <c r="H683" s="30" t="s">
        <v>809</v>
      </c>
      <c r="I683" s="6" t="s">
        <v>809</v>
      </c>
      <c r="J683" s="30" t="s">
        <v>7128</v>
      </c>
      <c r="K683" s="255" t="n">
        <v>400</v>
      </c>
      <c r="L683" s="255" t="n">
        <v>400</v>
      </c>
      <c r="M683" s="207" t="s">
        <v>7129</v>
      </c>
      <c r="N683" s="6" t="s">
        <v>7130</v>
      </c>
      <c r="O683" s="6" t="s">
        <v>809</v>
      </c>
      <c r="P683" s="207" t="s">
        <v>5238</v>
      </c>
      <c r="Q683" s="33" t="n">
        <f aca="false">Cap_In!C292</f>
        <v>400</v>
      </c>
      <c r="R683" s="30" t="s">
        <v>809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5239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7131</v>
      </c>
      <c r="B684" s="207" t="s">
        <v>7077</v>
      </c>
      <c r="C684" s="30" t="s">
        <v>3335</v>
      </c>
      <c r="D684" s="30" t="s">
        <v>7132</v>
      </c>
      <c r="E684" s="6" t="s">
        <v>2080</v>
      </c>
      <c r="F684" s="30" t="s">
        <v>128</v>
      </c>
      <c r="G684" s="207" t="s">
        <v>5235</v>
      </c>
      <c r="H684" s="30" t="s">
        <v>809</v>
      </c>
      <c r="I684" s="6" t="s">
        <v>809</v>
      </c>
      <c r="J684" s="30" t="s">
        <v>7128</v>
      </c>
      <c r="K684" s="255" t="n">
        <v>800</v>
      </c>
      <c r="L684" s="255" t="n">
        <v>800</v>
      </c>
      <c r="M684" s="207" t="s">
        <v>7133</v>
      </c>
      <c r="N684" s="6" t="s">
        <v>7134</v>
      </c>
      <c r="O684" s="6" t="s">
        <v>809</v>
      </c>
      <c r="P684" s="207" t="s">
        <v>5238</v>
      </c>
      <c r="Q684" s="33" t="n">
        <f aca="false">Cap_In!C293</f>
        <v>800</v>
      </c>
      <c r="R684" s="30" t="s">
        <v>809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5239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7135</v>
      </c>
      <c r="B685" s="253" t="s">
        <v>7136</v>
      </c>
      <c r="C685" s="30" t="s">
        <v>3345</v>
      </c>
      <c r="D685" s="30" t="s">
        <v>7137</v>
      </c>
      <c r="E685" s="245" t="s">
        <v>7138</v>
      </c>
      <c r="F685" s="253" t="s">
        <v>5979</v>
      </c>
      <c r="G685" s="253" t="s">
        <v>5883</v>
      </c>
      <c r="H685" s="207"/>
      <c r="I685" s="6" t="s">
        <v>809</v>
      </c>
      <c r="J685" s="30" t="s">
        <v>7139</v>
      </c>
      <c r="K685" s="253"/>
      <c r="L685" s="253"/>
      <c r="M685" s="30" t="s">
        <v>809</v>
      </c>
      <c r="N685" s="20" t="s">
        <v>7140</v>
      </c>
      <c r="O685" s="6" t="s">
        <v>809</v>
      </c>
      <c r="P685" s="30" t="s">
        <v>809</v>
      </c>
      <c r="Q685" s="186" t="s">
        <v>809</v>
      </c>
      <c r="R685" s="30" t="s">
        <v>809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809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  <row r="686" customFormat="false" ht="100.5" hidden="false" customHeight="true" outlineLevel="0" collapsed="false">
      <c r="A686" s="30" t="s">
        <v>7141</v>
      </c>
      <c r="B686" s="207" t="s">
        <v>7142</v>
      </c>
      <c r="C686" s="30" t="s">
        <v>3227</v>
      </c>
      <c r="D686" s="30" t="s">
        <v>7143</v>
      </c>
      <c r="E686" s="6" t="s">
        <v>759</v>
      </c>
      <c r="F686" s="30" t="s">
        <v>128</v>
      </c>
      <c r="G686" s="207" t="s">
        <v>5235</v>
      </c>
      <c r="H686" s="30" t="s">
        <v>809</v>
      </c>
      <c r="I686" s="6" t="s">
        <v>809</v>
      </c>
      <c r="J686" s="30" t="s">
        <v>7144</v>
      </c>
      <c r="K686" s="255" t="n">
        <v>0.1</v>
      </c>
      <c r="L686" s="255" t="n">
        <v>0.3</v>
      </c>
      <c r="M686" s="30" t="s">
        <v>7145</v>
      </c>
      <c r="N686" s="6" t="s">
        <v>7146</v>
      </c>
      <c r="O686" s="6" t="s">
        <v>809</v>
      </c>
      <c r="P686" s="207" t="s">
        <v>1433</v>
      </c>
      <c r="Q686" s="196" t="n">
        <f aca="false">Calib!C207</f>
        <v>0.2</v>
      </c>
      <c r="R686" s="30" t="s">
        <v>809</v>
      </c>
      <c r="S686" s="44" t="str">
        <f aca="false">IF(ISNUMBER($AF686),INDEX(IDX_SrcStat,$AF686),"—")</f>
        <v>—</v>
      </c>
      <c r="T686" s="44" t="str">
        <f aca="false">IF(ISNUMBER($AF686),INDEX(IDX_SrcGrade,$AF686),"—")</f>
        <v>—</v>
      </c>
      <c r="U686" s="44" t="s">
        <v>5239</v>
      </c>
      <c r="V686" s="32" t="n">
        <f aca="false">IF(AND($F686="原始數據",$U686&lt;&gt;"連結 SRC"),1,0)</f>
        <v>0</v>
      </c>
      <c r="W686" s="32" t="n">
        <f aca="false">IF(AND($F686="Analogy",OR($H686="—",$H686="")),1,0)</f>
        <v>0</v>
      </c>
      <c r="X686" s="32" t="n">
        <f aca="false">IF(AND(OR($F686="Analogy",$F686="Assumed"),$G686&lt;&gt;"低",$G686&lt;&gt;"高",NOT(ISNUMBER($K686)),NOT(ISNUMBER($L686)),OR($M686="—",$M686="")),1,0)</f>
        <v>0</v>
      </c>
      <c r="Y686" s="32" t="n">
        <f aca="false">IF(AND(OR($F686="Analogy",$F686="Assumed",$F686="Derived（待改公式）",$F686="Derived（公式）"),OR($N686="—",$N686="",$N686=0)),1,0)</f>
        <v>0</v>
      </c>
      <c r="Z686" s="32" t="n">
        <f aca="false">IF(AND($F686="Decision",OR($J686="—",$J686="")),1,0)</f>
        <v>0</v>
      </c>
      <c r="AA686" s="33" t="n">
        <f aca="false">IF(OR($J686="—",$J686=""),0,IF(COUNTIF(Decisions!$A$5:$A$300,$J686)=0,1,0))</f>
        <v>0</v>
      </c>
      <c r="AB686" s="32" t="n">
        <f aca="false">IF(AND($F686="原始數據",$S686&lt;&gt;"Active"),1,0)</f>
        <v>0</v>
      </c>
      <c r="AC686" s="32" t="n">
        <f aca="false">IF(AND(ISNUMBER($K686),ISNUMBER($L686),ISNUMBER($Q686)),IF(OR($Q686&lt;MIN($K686,$L686),$Q686&gt;MAX($K686,$L686)),1,0),0)</f>
        <v>0</v>
      </c>
      <c r="AD686" s="32" t="n">
        <f aca="false">IF(AND(ISNUMBER($T686),$P686="高"),IF($T686=3,1,0),0)</f>
        <v>0</v>
      </c>
      <c r="AE686" s="32" t="n">
        <f aca="false">IF($S686="不存在",1,0)</f>
        <v>0</v>
      </c>
      <c r="AF686" s="44" t="str">
        <f aca="false">IF(OR($H686="—",$H686=""),"—",MATCH($H686,IDX_SrcID,0))</f>
        <v>—</v>
      </c>
      <c r="AG686" s="32" t="n">
        <f aca="false">IF(AND($P686="高",OR($AD686=1,$X686=1)),1,0)</f>
        <v>0</v>
      </c>
      <c r="AH686" s="32" t="n">
        <f aca="false">IF(AND($P686="高",$AG686=0,OR($F686&lt;&gt;"原始數據",$T686&lt;&gt;1)),1,0)</f>
        <v>0</v>
      </c>
      <c r="AI686" s="44" t="str">
        <f aca="false">IF(AND($P686="高",ISNUMBER($AF686)),INDEX(IDX_SrcDate,$AF686),"—")</f>
        <v>—</v>
      </c>
      <c r="AJ686" s="32" t="n">
        <f aca="false">IF(AND(ISTEXT($AI686),LEN($AI686)=10),IF(ISNUMBER(VALUE(SUBSTITUTE($AI686,"-",""))),VALUE(SUBSTITUTE($AI686,"-","")),0),0)</f>
        <v>0</v>
      </c>
    </row>
    <row r="687" customFormat="false" ht="114.75" hidden="false" customHeight="true" outlineLevel="0" collapsed="false">
      <c r="A687" s="30" t="s">
        <v>7147</v>
      </c>
      <c r="B687" s="207" t="s">
        <v>7142</v>
      </c>
      <c r="C687" s="30" t="s">
        <v>3171</v>
      </c>
      <c r="D687" s="30" t="s">
        <v>3206</v>
      </c>
      <c r="E687" s="6" t="s">
        <v>296</v>
      </c>
      <c r="F687" s="30" t="s">
        <v>128</v>
      </c>
      <c r="G687" s="207" t="s">
        <v>5235</v>
      </c>
      <c r="H687" s="30" t="s">
        <v>809</v>
      </c>
      <c r="I687" s="6" t="s">
        <v>809</v>
      </c>
      <c r="J687" s="30" t="s">
        <v>7144</v>
      </c>
      <c r="K687" s="255" t="n">
        <v>1.2</v>
      </c>
      <c r="L687" s="255" t="n">
        <v>2</v>
      </c>
      <c r="M687" s="30" t="s">
        <v>7148</v>
      </c>
      <c r="N687" s="6" t="s">
        <v>7149</v>
      </c>
      <c r="O687" s="6" t="s">
        <v>809</v>
      </c>
      <c r="P687" s="207" t="s">
        <v>1433</v>
      </c>
      <c r="Q687" s="194" t="n">
        <f aca="false">Spec_Rack!C49</f>
        <v>1.5</v>
      </c>
      <c r="R687" s="30" t="s">
        <v>809</v>
      </c>
      <c r="S687" s="44" t="str">
        <f aca="false">IF(ISNUMBER($AF687),INDEX(IDX_SrcStat,$AF687),"—")</f>
        <v>—</v>
      </c>
      <c r="T687" s="44" t="str">
        <f aca="false">IF(ISNUMBER($AF687),INDEX(IDX_SrcGrade,$AF687),"—")</f>
        <v>—</v>
      </c>
      <c r="U687" s="44" t="s">
        <v>5239</v>
      </c>
      <c r="V687" s="32" t="n">
        <f aca="false">IF(AND($F687="原始數據",$U687&lt;&gt;"連結 SRC"),1,0)</f>
        <v>0</v>
      </c>
      <c r="W687" s="32" t="n">
        <f aca="false">IF(AND($F687="Analogy",OR($H687="—",$H687="")),1,0)</f>
        <v>0</v>
      </c>
      <c r="X687" s="32" t="n">
        <f aca="false">IF(AND(OR($F687="Analogy",$F687="Assumed"),$G687&lt;&gt;"低",$G687&lt;&gt;"高",NOT(ISNUMBER($K687)),NOT(ISNUMBER($L687)),OR($M687="—",$M687="")),1,0)</f>
        <v>0</v>
      </c>
      <c r="Y687" s="32" t="n">
        <f aca="false">IF(AND(OR($F687="Analogy",$F687="Assumed",$F687="Derived（待改公式）",$F687="Derived（公式）"),OR($N687="—",$N687="",$N687=0)),1,0)</f>
        <v>0</v>
      </c>
      <c r="Z687" s="32" t="n">
        <f aca="false">IF(AND($F687="Decision",OR($J687="—",$J687="")),1,0)</f>
        <v>0</v>
      </c>
      <c r="AA687" s="33" t="n">
        <f aca="false">IF(OR($J687="—",$J687=""),0,IF(COUNTIF(Decisions!$A$5:$A$300,$J687)=0,1,0))</f>
        <v>0</v>
      </c>
      <c r="AB687" s="32" t="n">
        <f aca="false">IF(AND($F687="原始數據",$S687&lt;&gt;"Active"),1,0)</f>
        <v>0</v>
      </c>
      <c r="AC687" s="32" t="n">
        <f aca="false">IF(AND(ISNUMBER($K687),ISNUMBER($L687),ISNUMBER($Q687)),IF(OR($Q687&lt;MIN($K687,$L687),$Q687&gt;MAX($K687,$L687)),1,0),0)</f>
        <v>0</v>
      </c>
      <c r="AD687" s="32" t="n">
        <f aca="false">IF(AND(ISNUMBER($T687),$P687="高"),IF($T687=3,1,0),0)</f>
        <v>0</v>
      </c>
      <c r="AE687" s="32" t="n">
        <f aca="false">IF($S687="不存在",1,0)</f>
        <v>0</v>
      </c>
      <c r="AF687" s="44" t="str">
        <f aca="false">IF(OR($H687="—",$H687=""),"—",MATCH($H687,IDX_SrcID,0))</f>
        <v>—</v>
      </c>
      <c r="AG687" s="32" t="n">
        <f aca="false">IF(AND($P687="高",OR($AD687=1,$X687=1)),1,0)</f>
        <v>0</v>
      </c>
      <c r="AH687" s="32" t="n">
        <f aca="false">IF(AND($P687="高",$AG687=0,OR($F687&lt;&gt;"原始數據",$T687&lt;&gt;1)),1,0)</f>
        <v>0</v>
      </c>
      <c r="AI687" s="44" t="str">
        <f aca="false">IF(AND($P687="高",ISNUMBER($AF687)),INDEX(IDX_SrcDate,$AF687),"—")</f>
        <v>—</v>
      </c>
      <c r="AJ687" s="32" t="n">
        <f aca="false">IF(AND(ISTEXT($AI687),LEN($AI687)=10),IF(ISNUMBER(VALUE(SUBSTITUTE($AI687,"-",""))),VALUE(SUBSTITUTE($AI687,"-","")),0),0)</f>
        <v>0</v>
      </c>
    </row>
    <row r="688" customFormat="false" ht="114.75" hidden="false" customHeight="true" outlineLevel="0" collapsed="false">
      <c r="A688" s="30" t="s">
        <v>7150</v>
      </c>
      <c r="B688" s="207" t="s">
        <v>7142</v>
      </c>
      <c r="C688" s="30" t="s">
        <v>3171</v>
      </c>
      <c r="D688" s="30" t="s">
        <v>3207</v>
      </c>
      <c r="E688" s="6" t="s">
        <v>298</v>
      </c>
      <c r="F688" s="30" t="s">
        <v>128</v>
      </c>
      <c r="G688" s="207" t="s">
        <v>5235</v>
      </c>
      <c r="H688" s="30" t="s">
        <v>809</v>
      </c>
      <c r="I688" s="6" t="s">
        <v>809</v>
      </c>
      <c r="J688" s="30" t="s">
        <v>7144</v>
      </c>
      <c r="K688" s="255" t="n">
        <v>2</v>
      </c>
      <c r="L688" s="255" t="n">
        <v>3</v>
      </c>
      <c r="M688" s="30" t="s">
        <v>7151</v>
      </c>
      <c r="N688" s="6" t="s">
        <v>7152</v>
      </c>
      <c r="O688" s="6" t="s">
        <v>809</v>
      </c>
      <c r="P688" s="207" t="s">
        <v>1433</v>
      </c>
      <c r="Q688" s="194" t="n">
        <f aca="false">Spec_Rack!C50</f>
        <v>2.5</v>
      </c>
      <c r="R688" s="30" t="s">
        <v>809</v>
      </c>
      <c r="S688" s="44" t="str">
        <f aca="false">IF(ISNUMBER($AF688),INDEX(IDX_SrcStat,$AF688),"—")</f>
        <v>—</v>
      </c>
      <c r="T688" s="44" t="str">
        <f aca="false">IF(ISNUMBER($AF688),INDEX(IDX_SrcGrade,$AF688),"—")</f>
        <v>—</v>
      </c>
      <c r="U688" s="44" t="s">
        <v>5239</v>
      </c>
      <c r="V688" s="32" t="n">
        <f aca="false">IF(AND($F688="原始數據",$U688&lt;&gt;"連結 SRC"),1,0)</f>
        <v>0</v>
      </c>
      <c r="W688" s="32" t="n">
        <f aca="false">IF(AND($F688="Analogy",OR($H688="—",$H688="")),1,0)</f>
        <v>0</v>
      </c>
      <c r="X688" s="32" t="n">
        <f aca="false">IF(AND(OR($F688="Analogy",$F688="Assumed"),$G688&lt;&gt;"低",$G688&lt;&gt;"高",NOT(ISNUMBER($K688)),NOT(ISNUMBER($L688)),OR($M688="—",$M688="")),1,0)</f>
        <v>0</v>
      </c>
      <c r="Y688" s="32" t="n">
        <f aca="false">IF(AND(OR($F688="Analogy",$F688="Assumed",$F688="Derived（待改公式）",$F688="Derived（公式）"),OR($N688="—",$N688="",$N688=0)),1,0)</f>
        <v>0</v>
      </c>
      <c r="Z688" s="32" t="n">
        <f aca="false">IF(AND($F688="Decision",OR($J688="—",$J688="")),1,0)</f>
        <v>0</v>
      </c>
      <c r="AA688" s="33" t="n">
        <f aca="false">IF(OR($J688="—",$J688=""),0,IF(COUNTIF(Decisions!$A$5:$A$300,$J688)=0,1,0))</f>
        <v>0</v>
      </c>
      <c r="AB688" s="32" t="n">
        <f aca="false">IF(AND($F688="原始數據",$S688&lt;&gt;"Active"),1,0)</f>
        <v>0</v>
      </c>
      <c r="AC688" s="32" t="n">
        <f aca="false">IF(AND(ISNUMBER($K688),ISNUMBER($L688),ISNUMBER($Q688)),IF(OR($Q688&lt;MIN($K688,$L688),$Q688&gt;MAX($K688,$L688)),1,0),0)</f>
        <v>0</v>
      </c>
      <c r="AD688" s="32" t="n">
        <f aca="false">IF(AND(ISNUMBER($T688),$P688="高"),IF($T688=3,1,0),0)</f>
        <v>0</v>
      </c>
      <c r="AE688" s="32" t="n">
        <f aca="false">IF($S688="不存在",1,0)</f>
        <v>0</v>
      </c>
      <c r="AF688" s="44" t="str">
        <f aca="false">IF(OR($H688="—",$H688=""),"—",MATCH($H688,IDX_SrcID,0))</f>
        <v>—</v>
      </c>
      <c r="AG688" s="32" t="n">
        <f aca="false">IF(AND($P688="高",OR($AD688=1,$X688=1)),1,0)</f>
        <v>0</v>
      </c>
      <c r="AH688" s="32" t="n">
        <f aca="false">IF(AND($P688="高",$AG688=0,OR($F688&lt;&gt;"原始數據",$T688&lt;&gt;1)),1,0)</f>
        <v>0</v>
      </c>
      <c r="AI688" s="44" t="str">
        <f aca="false">IF(AND($P688="高",ISNUMBER($AF688)),INDEX(IDX_SrcDate,$AF688),"—")</f>
        <v>—</v>
      </c>
      <c r="AJ688" s="32" t="n">
        <f aca="false">IF(AND(ISTEXT($AI688),LEN($AI688)=10),IF(ISNUMBER(VALUE(SUBSTITUTE($AI688,"-",""))),VALUE(SUBSTITUTE($AI688,"-","")),0),0)</f>
        <v>0</v>
      </c>
    </row>
    <row r="689" customFormat="false" ht="196.5" hidden="false" customHeight="true" outlineLevel="0" collapsed="false">
      <c r="A689" s="30" t="s">
        <v>7153</v>
      </c>
      <c r="B689" s="207" t="s">
        <v>7154</v>
      </c>
      <c r="C689" s="30" t="s">
        <v>3227</v>
      </c>
      <c r="D689" s="30" t="s">
        <v>3244</v>
      </c>
      <c r="E689" s="245" t="s">
        <v>7155</v>
      </c>
      <c r="F689" s="30" t="s">
        <v>176</v>
      </c>
      <c r="G689" s="207" t="s">
        <v>5235</v>
      </c>
      <c r="H689" s="30" t="s">
        <v>7156</v>
      </c>
      <c r="I689" s="245" t="s">
        <v>7157</v>
      </c>
      <c r="J689" s="30" t="s">
        <v>7158</v>
      </c>
      <c r="K689" s="255" t="n">
        <v>1.83</v>
      </c>
      <c r="L689" s="255" t="n">
        <v>3.04</v>
      </c>
      <c r="M689" s="30" t="s">
        <v>7159</v>
      </c>
      <c r="N689" s="6" t="s">
        <v>7160</v>
      </c>
      <c r="O689" s="6" t="s">
        <v>809</v>
      </c>
      <c r="P689" s="207" t="s">
        <v>1434</v>
      </c>
      <c r="Q689" s="194" t="n">
        <f aca="false">Calib!D156</f>
        <v>2.36</v>
      </c>
      <c r="R689" s="186" t="n">
        <f aca="false">SRC_PERF_074</f>
        <v>10100</v>
      </c>
      <c r="S689" s="44" t="str">
        <f aca="false">IF(ISNUMBER($AF689),INDEX(IDX_SrcStat,$AF689),"—")</f>
        <v>Active</v>
      </c>
      <c r="T689" s="44" t="n">
        <f aca="false">IF(ISNUMBER($AF689),INDEX(IDX_SrcGrade,$AF689),"—")</f>
        <v>1</v>
      </c>
      <c r="U689" s="44" t="s">
        <v>5239</v>
      </c>
      <c r="V689" s="32" t="n">
        <f aca="false">IF(AND($F689="原始數據",$U689&lt;&gt;"連結 SRC"),1,0)</f>
        <v>0</v>
      </c>
      <c r="W689" s="32" t="n">
        <f aca="false">IF(AND($F689="Analogy",OR($H689="—",$H689="")),1,0)</f>
        <v>0</v>
      </c>
      <c r="X689" s="32" t="n">
        <f aca="false">IF(AND(OR($F689="Analogy",$F689="Assumed"),$G689&lt;&gt;"低",$G689&lt;&gt;"高",NOT(ISNUMBER($K689)),NOT(ISNUMBER($L689)),OR($M689="—",$M689="")),1,0)</f>
        <v>0</v>
      </c>
      <c r="Y689" s="32" t="n">
        <f aca="false">IF(AND(OR($F689="Analogy",$F689="Assumed",$F689="Derived（待改公式）",$F689="Derived（公式）"),OR($N689="—",$N689="",$N689=0)),1,0)</f>
        <v>0</v>
      </c>
      <c r="Z689" s="32" t="n">
        <f aca="false">IF(AND($F689="Decision",OR($J689="—",$J689="")),1,0)</f>
        <v>0</v>
      </c>
      <c r="AA689" s="33" t="n">
        <f aca="false">IF(OR($J689="—",$J689=""),0,IF(COUNTIF(Decisions!$A$5:$A$300,$J689)=0,1,0))</f>
        <v>0</v>
      </c>
      <c r="AB689" s="32" t="n">
        <f aca="false">IF(AND($F689="原始數據",$S689&lt;&gt;"Active"),1,0)</f>
        <v>0</v>
      </c>
      <c r="AC689" s="32" t="n">
        <f aca="false">IF(AND(ISNUMBER($K689),ISNUMBER($L689),ISNUMBER($Q689)),IF(OR($Q689&lt;MIN($K689,$L689),$Q689&gt;MAX($K689,$L689)),1,0),0)</f>
        <v>0</v>
      </c>
      <c r="AD689" s="32" t="n">
        <f aca="false">IF(AND(ISNUMBER($T689),$P689="高"),IF($T689=3,1,0),0)</f>
        <v>0</v>
      </c>
      <c r="AE689" s="32" t="n">
        <f aca="false">IF($S689="不存在",1,0)</f>
        <v>0</v>
      </c>
      <c r="AF689" s="44" t="n">
        <f aca="false">IF(OR($H689="—",$H689=""),"—",MATCH($H689,IDX_SrcID,0))</f>
        <v>374</v>
      </c>
      <c r="AG689" s="32" t="n">
        <f aca="false">IF(AND($P689="高",OR($AD689=1,$X689=1)),1,0)</f>
        <v>0</v>
      </c>
      <c r="AH689" s="32" t="n">
        <f aca="false">IF(AND($P689="高",$AG689=0,OR($F689&lt;&gt;"原始數據",$T689&lt;&gt;1)),1,0)</f>
        <v>1</v>
      </c>
      <c r="AI689" s="44" t="str">
        <f aca="false">IF(AND($P689="高",ISNUMBER($AF689)),INDEX(IDX_SrcDate,$AF689),"—")</f>
        <v>—</v>
      </c>
      <c r="AJ689" s="32" t="n">
        <f aca="false">IF(AND(ISTEXT($AI689),LEN($AI689)=10),IF(ISNUMBER(VALUE(SUBSTITUTE($AI689,"-",""))),VALUE(SUBSTITUTE($AI689,"-","")),0),0)</f>
        <v>0</v>
      </c>
    </row>
    <row r="690" customFormat="false" ht="129" hidden="false" customHeight="true" outlineLevel="0" collapsed="false">
      <c r="A690" s="30" t="s">
        <v>7161</v>
      </c>
      <c r="B690" s="207" t="s">
        <v>7162</v>
      </c>
      <c r="C690" s="30" t="s">
        <v>3227</v>
      </c>
      <c r="D690" s="30" t="s">
        <v>7163</v>
      </c>
      <c r="E690" s="245" t="s">
        <v>7164</v>
      </c>
      <c r="F690" s="30" t="s">
        <v>128</v>
      </c>
      <c r="G690" s="207" t="s">
        <v>5235</v>
      </c>
      <c r="H690" s="30" t="s">
        <v>809</v>
      </c>
      <c r="I690" s="6" t="s">
        <v>809</v>
      </c>
      <c r="J690" s="30" t="s">
        <v>7165</v>
      </c>
      <c r="K690" s="255" t="n">
        <v>1.5</v>
      </c>
      <c r="L690" s="255" t="n">
        <v>3</v>
      </c>
      <c r="M690" s="30" t="s">
        <v>7166</v>
      </c>
      <c r="N690" s="6" t="s">
        <v>7167</v>
      </c>
      <c r="O690" s="6" t="s">
        <v>809</v>
      </c>
      <c r="P690" s="207" t="s">
        <v>1433</v>
      </c>
      <c r="Q690" s="201" t="n">
        <f aca="false">Calib!C257</f>
        <v>2</v>
      </c>
      <c r="R690" s="30" t="s">
        <v>809</v>
      </c>
      <c r="S690" s="44" t="str">
        <f aca="false">IF(ISNUMBER($AF690),INDEX(IDX_SrcStat,$AF690),"—")</f>
        <v>—</v>
      </c>
      <c r="T690" s="44" t="str">
        <f aca="false">IF(ISNUMBER($AF690),INDEX(IDX_SrcGrade,$AF690),"—")</f>
        <v>—</v>
      </c>
      <c r="U690" s="44" t="s">
        <v>5239</v>
      </c>
      <c r="V690" s="32" t="n">
        <f aca="false">IF(AND($F690="原始數據",$U690&lt;&gt;"連結 SRC"),1,0)</f>
        <v>0</v>
      </c>
      <c r="W690" s="32" t="n">
        <f aca="false">IF(AND($F690="Analogy",OR($H690="—",$H690="")),1,0)</f>
        <v>0</v>
      </c>
      <c r="X690" s="32" t="n">
        <f aca="false">IF(AND(OR($F690="Analogy",$F690="Assumed"),$G690&lt;&gt;"低",$G690&lt;&gt;"高",NOT(ISNUMBER($K690)),NOT(ISNUMBER($L690)),OR($M690="—",$M690="")),1,0)</f>
        <v>0</v>
      </c>
      <c r="Y690" s="32" t="n">
        <f aca="false">IF(AND(OR($F690="Analogy",$F690="Assumed",$F690="Derived（待改公式）",$F690="Derived（公式）"),OR($N690="—",$N690="",$N690=0)),1,0)</f>
        <v>0</v>
      </c>
      <c r="Z690" s="32" t="n">
        <f aca="false">IF(AND($F690="Decision",OR($J690="—",$J690="")),1,0)</f>
        <v>0</v>
      </c>
      <c r="AA690" s="33" t="n">
        <f aca="false">IF(OR($J690="—",$J690=""),0,IF(COUNTIF(Decisions!$A$5:$A$300,$J690)=0,1,0))</f>
        <v>0</v>
      </c>
      <c r="AB690" s="32" t="n">
        <f aca="false">IF(AND($F690="原始數據",$S690&lt;&gt;"Active"),1,0)</f>
        <v>0</v>
      </c>
      <c r="AC690" s="32" t="n">
        <f aca="false">IF(AND(ISNUMBER($K690),ISNUMBER($L690),ISNUMBER($Q690)),IF(OR($Q690&lt;MIN($K690,$L690),$Q690&gt;MAX($K690,$L690)),1,0),0)</f>
        <v>0</v>
      </c>
      <c r="AD690" s="32" t="n">
        <f aca="false">IF(AND(ISNUMBER($T690),$P690="高"),IF($T690=3,1,0),0)</f>
        <v>0</v>
      </c>
      <c r="AE690" s="32" t="n">
        <f aca="false">IF($S690="不存在",1,0)</f>
        <v>0</v>
      </c>
      <c r="AF690" s="44" t="str">
        <f aca="false">IF(OR($H690="—",$H690=""),"—",MATCH($H690,IDX_SrcID,0))</f>
        <v>—</v>
      </c>
      <c r="AG690" s="32" t="n">
        <f aca="false">IF(AND($P690="高",OR($AD690=1,$X690=1)),1,0)</f>
        <v>0</v>
      </c>
      <c r="AH690" s="32" t="n">
        <f aca="false">IF(AND($P690="高",$AG690=0,OR($F690&lt;&gt;"原始數據",$T690&lt;&gt;1)),1,0)</f>
        <v>0</v>
      </c>
      <c r="AI690" s="44" t="str">
        <f aca="false">IF(AND($P690="高",ISNUMBER($AF690)),INDEX(IDX_SrcDate,$AF690),"—")</f>
        <v>—</v>
      </c>
      <c r="AJ690" s="32" t="n">
        <f aca="false">IF(AND(ISTEXT($AI690),LEN($AI690)=10),IF(ISNUMBER(VALUE(SUBSTITUTE($AI690,"-",""))),VALUE(SUBSTITUTE($AI690,"-","")),0),0)</f>
        <v>0</v>
      </c>
    </row>
    <row r="691" customFormat="false" ht="185.25" hidden="false" customHeight="true" outlineLevel="0" collapsed="false">
      <c r="A691" s="30" t="s">
        <v>7168</v>
      </c>
      <c r="B691" s="207" t="s">
        <v>7162</v>
      </c>
      <c r="C691" s="30" t="s">
        <v>3227</v>
      </c>
      <c r="D691" s="30" t="s">
        <v>3243</v>
      </c>
      <c r="E691" s="245" t="s">
        <v>7169</v>
      </c>
      <c r="F691" s="30" t="s">
        <v>128</v>
      </c>
      <c r="G691" s="207" t="s">
        <v>5235</v>
      </c>
      <c r="H691" s="30" t="s">
        <v>809</v>
      </c>
      <c r="I691" s="6" t="s">
        <v>809</v>
      </c>
      <c r="J691" s="30" t="s">
        <v>7170</v>
      </c>
      <c r="K691" s="255" t="n">
        <v>1</v>
      </c>
      <c r="L691" s="255" t="n">
        <v>3.74</v>
      </c>
      <c r="M691" s="30" t="s">
        <v>7171</v>
      </c>
      <c r="N691" s="6" t="s">
        <v>7172</v>
      </c>
      <c r="O691" s="6" t="s">
        <v>809</v>
      </c>
      <c r="P691" s="207" t="s">
        <v>1434</v>
      </c>
      <c r="Q691" s="194" t="n">
        <f aca="false">Calib!C156</f>
        <v>1</v>
      </c>
      <c r="R691" s="30" t="s">
        <v>809</v>
      </c>
      <c r="S691" s="44" t="str">
        <f aca="false">IF(ISNUMBER($AF691),INDEX(IDX_SrcStat,$AF691),"—")</f>
        <v>—</v>
      </c>
      <c r="T691" s="44" t="str">
        <f aca="false">IF(ISNUMBER($AF691),INDEX(IDX_SrcGrade,$AF691),"—")</f>
        <v>—</v>
      </c>
      <c r="U691" s="44" t="s">
        <v>5239</v>
      </c>
      <c r="V691" s="32" t="n">
        <f aca="false">IF(AND($F691="原始數據",$U691&lt;&gt;"連結 SRC"),1,0)</f>
        <v>0</v>
      </c>
      <c r="W691" s="32" t="n">
        <f aca="false">IF(AND($F691="Analogy",OR($H691="—",$H691="")),1,0)</f>
        <v>0</v>
      </c>
      <c r="X691" s="32" t="n">
        <f aca="false">IF(AND(OR($F691="Analogy",$F691="Assumed"),$G691&lt;&gt;"低",$G691&lt;&gt;"高",NOT(ISNUMBER($K691)),NOT(ISNUMBER($L691)),OR($M691="—",$M691="")),1,0)</f>
        <v>0</v>
      </c>
      <c r="Y691" s="32" t="n">
        <f aca="false">IF(AND(OR($F691="Analogy",$F691="Assumed",$F691="Derived（待改公式）",$F691="Derived（公式）"),OR($N691="—",$N691="",$N691=0)),1,0)</f>
        <v>0</v>
      </c>
      <c r="Z691" s="32" t="n">
        <f aca="false">IF(AND($F691="Decision",OR($J691="—",$J691="")),1,0)</f>
        <v>0</v>
      </c>
      <c r="AA691" s="33" t="n">
        <f aca="false">IF(OR($J691="—",$J691=""),0,IF(COUNTIF(Decisions!$A$5:$A$300,$J691)=0,1,0))</f>
        <v>0</v>
      </c>
      <c r="AB691" s="32" t="n">
        <f aca="false">IF(AND($F691="原始數據",$S691&lt;&gt;"Active"),1,0)</f>
        <v>0</v>
      </c>
      <c r="AC691" s="32" t="n">
        <f aca="false">IF(AND(ISNUMBER($K691),ISNUMBER($L691),ISNUMBER($Q691)),IF(OR($Q691&lt;MIN($K691,$L691),$Q691&gt;MAX($K691,$L691)),1,0),0)</f>
        <v>0</v>
      </c>
      <c r="AD691" s="32" t="n">
        <f aca="false">IF(AND(ISNUMBER($T691),$P691="高"),IF($T691=3,1,0),0)</f>
        <v>0</v>
      </c>
      <c r="AE691" s="32" t="n">
        <f aca="false">IF($S691="不存在",1,0)</f>
        <v>0</v>
      </c>
      <c r="AF691" s="44" t="str">
        <f aca="false">IF(OR($H691="—",$H691=""),"—",MATCH($H691,IDX_SrcID,0))</f>
        <v>—</v>
      </c>
      <c r="AG691" s="32" t="n">
        <f aca="false">IF(AND($P691="高",OR($AD691=1,$X691=1)),1,0)</f>
        <v>0</v>
      </c>
      <c r="AH691" s="32" t="n">
        <f aca="false">IF(AND($P691="高",$AG691=0,OR($F691&lt;&gt;"原始數據",$T691&lt;&gt;1)),1,0)</f>
        <v>1</v>
      </c>
      <c r="AI691" s="44" t="str">
        <f aca="false">IF(AND($P691="高",ISNUMBER($AF691)),INDEX(IDX_SrcDate,$AF691),"—")</f>
        <v>—</v>
      </c>
      <c r="AJ691" s="32" t="n">
        <f aca="false">IF(AND(ISTEXT($AI691),LEN($AI691)=10),IF(ISNUMBER(VALUE(SUBSTITUTE($AI691,"-",""))),VALUE(SUBSTITUTE($AI691,"-","")),0),0)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51" t="s">
        <v>7173</v>
      </c>
    </row>
    <row r="2" customFormat="false" ht="15" hidden="false" customHeight="true" outlineLevel="0" collapsed="false">
      <c r="A2" s="45" t="s">
        <v>7174</v>
      </c>
    </row>
    <row r="4" customFormat="false" ht="29.25" hidden="false" customHeight="true" outlineLevel="0" collapsed="false">
      <c r="A4" s="252" t="s">
        <v>5209</v>
      </c>
      <c r="B4" s="252" t="s">
        <v>4630</v>
      </c>
      <c r="C4" s="252" t="s">
        <v>411</v>
      </c>
      <c r="D4" s="252" t="s">
        <v>7175</v>
      </c>
      <c r="E4" s="252" t="s">
        <v>7176</v>
      </c>
      <c r="F4" s="85" t="s">
        <v>7177</v>
      </c>
      <c r="G4" s="252" t="s">
        <v>796</v>
      </c>
      <c r="H4" s="252" t="s">
        <v>7178</v>
      </c>
      <c r="I4" s="252" t="s">
        <v>7179</v>
      </c>
      <c r="J4" s="252" t="s">
        <v>7180</v>
      </c>
    </row>
    <row r="5" customFormat="false" ht="29.25" hidden="false" customHeight="true" outlineLevel="0" collapsed="false">
      <c r="A5" s="30" t="s">
        <v>5236</v>
      </c>
      <c r="B5" s="30" t="s">
        <v>7181</v>
      </c>
      <c r="C5" s="20" t="s">
        <v>6</v>
      </c>
      <c r="D5" s="6" t="s">
        <v>7182</v>
      </c>
      <c r="E5" s="30" t="s">
        <v>7183</v>
      </c>
      <c r="F5" s="6" t="s">
        <v>809</v>
      </c>
      <c r="G5" s="253" t="s">
        <v>7184</v>
      </c>
      <c r="H5" s="6" t="s">
        <v>7185</v>
      </c>
      <c r="I5" s="253" t="s">
        <v>7186</v>
      </c>
      <c r="J5" s="253" t="s">
        <v>840</v>
      </c>
    </row>
    <row r="6" customFormat="false" ht="29.25" hidden="false" customHeight="true" outlineLevel="0" collapsed="false">
      <c r="A6" s="30" t="s">
        <v>5364</v>
      </c>
      <c r="B6" s="30" t="s">
        <v>7181</v>
      </c>
      <c r="C6" s="20" t="s">
        <v>200</v>
      </c>
      <c r="D6" s="6" t="s">
        <v>7187</v>
      </c>
      <c r="E6" s="30" t="s">
        <v>7183</v>
      </c>
      <c r="F6" s="6" t="s">
        <v>809</v>
      </c>
      <c r="G6" s="253" t="s">
        <v>7184</v>
      </c>
      <c r="H6" s="6" t="s">
        <v>809</v>
      </c>
      <c r="I6" s="253" t="s">
        <v>7186</v>
      </c>
      <c r="J6" s="253" t="s">
        <v>840</v>
      </c>
    </row>
    <row r="7" customFormat="false" ht="29.25" hidden="false" customHeight="true" outlineLevel="0" collapsed="false">
      <c r="A7" s="30" t="s">
        <v>5241</v>
      </c>
      <c r="B7" s="30" t="s">
        <v>7181</v>
      </c>
      <c r="C7" s="6" t="s">
        <v>7188</v>
      </c>
      <c r="D7" s="20" t="s">
        <v>7189</v>
      </c>
      <c r="E7" s="30" t="s">
        <v>7183</v>
      </c>
      <c r="F7" s="6" t="s">
        <v>809</v>
      </c>
      <c r="G7" s="253" t="s">
        <v>7184</v>
      </c>
      <c r="H7" s="6" t="s">
        <v>7190</v>
      </c>
      <c r="I7" s="253" t="s">
        <v>7186</v>
      </c>
      <c r="J7" s="253" t="s">
        <v>840</v>
      </c>
    </row>
    <row r="8" customFormat="false" ht="29.25" hidden="false" customHeight="true" outlineLevel="0" collapsed="false">
      <c r="A8" s="30" t="s">
        <v>5327</v>
      </c>
      <c r="B8" s="30" t="s">
        <v>7181</v>
      </c>
      <c r="C8" s="20" t="s">
        <v>7191</v>
      </c>
      <c r="D8" s="20" t="s">
        <v>7192</v>
      </c>
      <c r="E8" s="30" t="s">
        <v>7183</v>
      </c>
      <c r="F8" s="6" t="s">
        <v>809</v>
      </c>
      <c r="G8" s="253" t="s">
        <v>7184</v>
      </c>
      <c r="H8" s="6" t="s">
        <v>7193</v>
      </c>
      <c r="I8" s="253" t="s">
        <v>7186</v>
      </c>
      <c r="J8" s="253" t="s">
        <v>840</v>
      </c>
    </row>
    <row r="9" customFormat="false" ht="15" hidden="false" customHeight="true" outlineLevel="0" collapsed="false">
      <c r="A9" s="30" t="s">
        <v>5676</v>
      </c>
      <c r="B9" s="30" t="s">
        <v>7181</v>
      </c>
      <c r="C9" s="20" t="s">
        <v>305</v>
      </c>
      <c r="D9" s="20" t="s">
        <v>7194</v>
      </c>
      <c r="E9" s="30" t="s">
        <v>7183</v>
      </c>
      <c r="F9" s="6" t="s">
        <v>809</v>
      </c>
      <c r="G9" s="253" t="s">
        <v>7184</v>
      </c>
      <c r="H9" s="6" t="s">
        <v>809</v>
      </c>
      <c r="I9" s="253" t="s">
        <v>7186</v>
      </c>
      <c r="J9" s="253" t="s">
        <v>840</v>
      </c>
    </row>
    <row r="10" customFormat="false" ht="15" hidden="false" customHeight="true" outlineLevel="0" collapsed="false">
      <c r="A10" s="30" t="s">
        <v>3300</v>
      </c>
      <c r="B10" s="30" t="s">
        <v>7181</v>
      </c>
      <c r="C10" s="20" t="s">
        <v>7195</v>
      </c>
      <c r="D10" s="6" t="s">
        <v>7196</v>
      </c>
      <c r="E10" s="30" t="s">
        <v>7183</v>
      </c>
      <c r="F10" s="6" t="s">
        <v>809</v>
      </c>
      <c r="G10" s="253" t="s">
        <v>7184</v>
      </c>
      <c r="H10" s="6" t="s">
        <v>809</v>
      </c>
      <c r="I10" s="253" t="s">
        <v>7186</v>
      </c>
      <c r="J10" s="253" t="s">
        <v>840</v>
      </c>
    </row>
    <row r="11" customFormat="false" ht="15" hidden="false" customHeight="true" outlineLevel="0" collapsed="false">
      <c r="A11" s="30" t="s">
        <v>3309</v>
      </c>
      <c r="B11" s="30" t="s">
        <v>7181</v>
      </c>
      <c r="C11" s="20" t="s">
        <v>7197</v>
      </c>
      <c r="D11" s="6" t="s">
        <v>7198</v>
      </c>
      <c r="E11" s="30" t="s">
        <v>7183</v>
      </c>
      <c r="F11" s="6" t="s">
        <v>809</v>
      </c>
      <c r="G11" s="253" t="s">
        <v>7184</v>
      </c>
      <c r="H11" s="6" t="s">
        <v>809</v>
      </c>
      <c r="I11" s="253" t="s">
        <v>7186</v>
      </c>
      <c r="J11" s="253" t="s">
        <v>840</v>
      </c>
    </row>
    <row r="12" customFormat="false" ht="26.25" hidden="false" customHeight="true" outlineLevel="0" collapsed="false">
      <c r="A12" s="30" t="s">
        <v>3344</v>
      </c>
      <c r="B12" s="30" t="s">
        <v>7181</v>
      </c>
      <c r="C12" s="20" t="s">
        <v>7199</v>
      </c>
      <c r="D12" s="6" t="s">
        <v>7200</v>
      </c>
      <c r="E12" s="30" t="s">
        <v>7183</v>
      </c>
      <c r="F12" s="6" t="s">
        <v>809</v>
      </c>
      <c r="G12" s="253" t="s">
        <v>7184</v>
      </c>
      <c r="H12" s="6" t="s">
        <v>809</v>
      </c>
      <c r="I12" s="253" t="s">
        <v>7186</v>
      </c>
      <c r="J12" s="253" t="s">
        <v>840</v>
      </c>
    </row>
    <row r="13" customFormat="false" ht="15" hidden="false" customHeight="true" outlineLevel="0" collapsed="false">
      <c r="A13" s="30" t="s">
        <v>3111</v>
      </c>
      <c r="B13" s="30" t="s">
        <v>7181</v>
      </c>
      <c r="C13" s="20" t="s">
        <v>7201</v>
      </c>
      <c r="D13" s="20" t="s">
        <v>7202</v>
      </c>
      <c r="E13" s="30" t="s">
        <v>7183</v>
      </c>
      <c r="F13" s="6" t="s">
        <v>809</v>
      </c>
      <c r="G13" s="253" t="s">
        <v>7184</v>
      </c>
      <c r="H13" s="6" t="s">
        <v>809</v>
      </c>
      <c r="I13" s="253" t="s">
        <v>7186</v>
      </c>
      <c r="J13" s="253" t="s">
        <v>840</v>
      </c>
    </row>
    <row r="14" customFormat="false" ht="15" hidden="false" customHeight="true" outlineLevel="0" collapsed="false">
      <c r="A14" s="30" t="s">
        <v>3114</v>
      </c>
      <c r="B14" s="30" t="s">
        <v>7181</v>
      </c>
      <c r="C14" s="6" t="s">
        <v>1117</v>
      </c>
      <c r="D14" s="20" t="s">
        <v>7203</v>
      </c>
      <c r="E14" s="30" t="s">
        <v>7183</v>
      </c>
      <c r="F14" s="6" t="s">
        <v>809</v>
      </c>
      <c r="G14" s="253" t="s">
        <v>7184</v>
      </c>
      <c r="H14" s="6" t="s">
        <v>7204</v>
      </c>
      <c r="I14" s="253" t="s">
        <v>7186</v>
      </c>
      <c r="J14" s="253" t="s">
        <v>840</v>
      </c>
    </row>
    <row r="15" customFormat="false" ht="29.25" hidden="false" customHeight="true" outlineLevel="0" collapsed="false">
      <c r="A15" s="30" t="s">
        <v>3117</v>
      </c>
      <c r="B15" s="30" t="s">
        <v>7181</v>
      </c>
      <c r="C15" s="20" t="s">
        <v>7205</v>
      </c>
      <c r="D15" s="6" t="s">
        <v>7206</v>
      </c>
      <c r="E15" s="30" t="s">
        <v>7183</v>
      </c>
      <c r="F15" s="6" t="s">
        <v>809</v>
      </c>
      <c r="G15" s="253" t="s">
        <v>7184</v>
      </c>
      <c r="H15" s="6" t="s">
        <v>809</v>
      </c>
      <c r="I15" s="253" t="s">
        <v>7186</v>
      </c>
      <c r="J15" s="253" t="s">
        <v>840</v>
      </c>
    </row>
    <row r="16" customFormat="false" ht="15" hidden="false" customHeight="true" outlineLevel="0" collapsed="false">
      <c r="A16" s="30" t="s">
        <v>5701</v>
      </c>
      <c r="B16" s="30" t="s">
        <v>7207</v>
      </c>
      <c r="C16" s="6" t="s">
        <v>7208</v>
      </c>
      <c r="D16" s="20" t="s">
        <v>7209</v>
      </c>
      <c r="E16" s="30" t="s">
        <v>7183</v>
      </c>
      <c r="F16" s="6" t="s">
        <v>809</v>
      </c>
      <c r="G16" s="253" t="s">
        <v>7184</v>
      </c>
      <c r="H16" s="6" t="s">
        <v>7210</v>
      </c>
      <c r="I16" s="253" t="s">
        <v>7186</v>
      </c>
      <c r="J16" s="253" t="s">
        <v>840</v>
      </c>
    </row>
    <row r="17" customFormat="false" ht="15" hidden="false" customHeight="true" outlineLevel="0" collapsed="false">
      <c r="A17" s="30" t="s">
        <v>5752</v>
      </c>
      <c r="B17" s="30" t="s">
        <v>7207</v>
      </c>
      <c r="C17" s="6" t="s">
        <v>7211</v>
      </c>
      <c r="D17" s="20" t="s">
        <v>7212</v>
      </c>
      <c r="E17" s="30" t="s">
        <v>7183</v>
      </c>
      <c r="F17" s="6" t="s">
        <v>809</v>
      </c>
      <c r="G17" s="253" t="s">
        <v>7184</v>
      </c>
      <c r="H17" s="6" t="s">
        <v>7213</v>
      </c>
      <c r="I17" s="253" t="s">
        <v>7186</v>
      </c>
      <c r="J17" s="253" t="s">
        <v>840</v>
      </c>
    </row>
    <row r="18" customFormat="false" ht="29.25" hidden="false" customHeight="true" outlineLevel="0" collapsed="false">
      <c r="A18" s="30" t="s">
        <v>7214</v>
      </c>
      <c r="B18" s="30" t="s">
        <v>7207</v>
      </c>
      <c r="C18" s="6" t="s">
        <v>7215</v>
      </c>
      <c r="D18" s="20" t="s">
        <v>7216</v>
      </c>
      <c r="E18" s="30" t="s">
        <v>7183</v>
      </c>
      <c r="F18" s="6" t="s">
        <v>809</v>
      </c>
      <c r="G18" s="253" t="s">
        <v>7184</v>
      </c>
      <c r="H18" s="6" t="s">
        <v>7217</v>
      </c>
      <c r="I18" s="253" t="s">
        <v>7186</v>
      </c>
      <c r="J18" s="253" t="s">
        <v>840</v>
      </c>
    </row>
    <row r="19" customFormat="false" ht="15" hidden="false" customHeight="true" outlineLevel="0" collapsed="false">
      <c r="A19" s="30" t="s">
        <v>7218</v>
      </c>
      <c r="B19" s="30" t="s">
        <v>7207</v>
      </c>
      <c r="C19" s="6" t="s">
        <v>7219</v>
      </c>
      <c r="D19" s="20" t="s">
        <v>7220</v>
      </c>
      <c r="E19" s="30" t="s">
        <v>7183</v>
      </c>
      <c r="F19" s="6" t="s">
        <v>809</v>
      </c>
      <c r="G19" s="253" t="s">
        <v>7184</v>
      </c>
      <c r="H19" s="6" t="s">
        <v>809</v>
      </c>
      <c r="I19" s="253" t="s">
        <v>7186</v>
      </c>
      <c r="J19" s="253" t="s">
        <v>840</v>
      </c>
    </row>
    <row r="20" customFormat="false" ht="15" hidden="false" customHeight="true" outlineLevel="0" collapsed="false">
      <c r="A20" s="30" t="s">
        <v>7221</v>
      </c>
      <c r="B20" s="30" t="s">
        <v>7207</v>
      </c>
      <c r="C20" s="20" t="s">
        <v>7222</v>
      </c>
      <c r="D20" s="20" t="s">
        <v>7223</v>
      </c>
      <c r="E20" s="30" t="s">
        <v>7183</v>
      </c>
      <c r="F20" s="6" t="s">
        <v>809</v>
      </c>
      <c r="G20" s="253" t="s">
        <v>7184</v>
      </c>
      <c r="H20" s="6" t="s">
        <v>809</v>
      </c>
      <c r="I20" s="253" t="s">
        <v>7186</v>
      </c>
      <c r="J20" s="253" t="s">
        <v>840</v>
      </c>
    </row>
    <row r="21" customFormat="false" ht="15" hidden="false" customHeight="true" outlineLevel="0" collapsed="false">
      <c r="A21" s="30" t="s">
        <v>3302</v>
      </c>
      <c r="B21" s="30" t="s">
        <v>7207</v>
      </c>
      <c r="C21" s="20" t="s">
        <v>7224</v>
      </c>
      <c r="D21" s="6" t="s">
        <v>7225</v>
      </c>
      <c r="E21" s="30" t="s">
        <v>7183</v>
      </c>
      <c r="F21" s="6" t="s">
        <v>809</v>
      </c>
      <c r="G21" s="253" t="s">
        <v>7226</v>
      </c>
      <c r="H21" s="6" t="s">
        <v>7227</v>
      </c>
      <c r="I21" s="253" t="s">
        <v>7186</v>
      </c>
      <c r="J21" s="253" t="s">
        <v>840</v>
      </c>
    </row>
    <row r="22" customFormat="false" ht="29.25" hidden="false" customHeight="true" outlineLevel="0" collapsed="false">
      <c r="A22" s="30" t="s">
        <v>7228</v>
      </c>
      <c r="B22" s="30" t="s">
        <v>7207</v>
      </c>
      <c r="C22" s="20" t="s">
        <v>7229</v>
      </c>
      <c r="D22" s="6" t="s">
        <v>7230</v>
      </c>
      <c r="E22" s="30" t="s">
        <v>7183</v>
      </c>
      <c r="F22" s="20" t="s">
        <v>7231</v>
      </c>
      <c r="G22" s="253" t="s">
        <v>7226</v>
      </c>
      <c r="H22" s="6" t="s">
        <v>7232</v>
      </c>
      <c r="I22" s="253" t="s">
        <v>7186</v>
      </c>
      <c r="J22" s="253" t="s">
        <v>840</v>
      </c>
    </row>
    <row r="23" customFormat="false" ht="29.25" hidden="false" customHeight="true" outlineLevel="0" collapsed="false">
      <c r="A23" s="30" t="s">
        <v>7233</v>
      </c>
      <c r="B23" s="253" t="s">
        <v>7234</v>
      </c>
      <c r="C23" s="20" t="s">
        <v>48</v>
      </c>
      <c r="D23" s="6" t="s">
        <v>7235</v>
      </c>
      <c r="E23" s="30" t="s">
        <v>7236</v>
      </c>
      <c r="F23" s="6" t="s">
        <v>809</v>
      </c>
      <c r="G23" s="253" t="s">
        <v>7184</v>
      </c>
      <c r="H23" s="6" t="s">
        <v>809</v>
      </c>
      <c r="I23" s="253" t="s">
        <v>7186</v>
      </c>
      <c r="J23" s="253" t="s">
        <v>840</v>
      </c>
    </row>
    <row r="24" customFormat="false" ht="15" hidden="false" customHeight="true" outlineLevel="0" collapsed="false">
      <c r="A24" s="30" t="s">
        <v>3311</v>
      </c>
      <c r="B24" s="30" t="s">
        <v>7207</v>
      </c>
      <c r="C24" s="20" t="s">
        <v>7237</v>
      </c>
      <c r="D24" s="6" t="s">
        <v>7238</v>
      </c>
      <c r="E24" s="30" t="s">
        <v>7183</v>
      </c>
      <c r="F24" s="6" t="s">
        <v>809</v>
      </c>
      <c r="G24" s="253" t="s">
        <v>7184</v>
      </c>
      <c r="H24" s="6" t="s">
        <v>809</v>
      </c>
      <c r="I24" s="253" t="s">
        <v>7186</v>
      </c>
      <c r="J24" s="253" t="s">
        <v>840</v>
      </c>
    </row>
    <row r="25" customFormat="false" ht="29.25" hidden="false" customHeight="true" outlineLevel="0" collapsed="false">
      <c r="A25" s="30" t="s">
        <v>6544</v>
      </c>
      <c r="B25" s="30" t="s">
        <v>7207</v>
      </c>
      <c r="C25" s="6" t="s">
        <v>7239</v>
      </c>
      <c r="D25" s="20" t="s">
        <v>7240</v>
      </c>
      <c r="E25" s="30" t="s">
        <v>7183</v>
      </c>
      <c r="F25" s="6" t="s">
        <v>809</v>
      </c>
      <c r="G25" s="253" t="s">
        <v>7184</v>
      </c>
      <c r="H25" s="6" t="s">
        <v>809</v>
      </c>
      <c r="I25" s="253" t="s">
        <v>7186</v>
      </c>
      <c r="J25" s="253" t="s">
        <v>840</v>
      </c>
    </row>
    <row r="26" customFormat="false" ht="43.5" hidden="false" customHeight="true" outlineLevel="0" collapsed="false">
      <c r="A26" s="30" t="s">
        <v>6574</v>
      </c>
      <c r="B26" s="30" t="s">
        <v>7207</v>
      </c>
      <c r="C26" s="6" t="s">
        <v>7241</v>
      </c>
      <c r="D26" s="20" t="s">
        <v>7242</v>
      </c>
      <c r="E26" s="30" t="s">
        <v>1523</v>
      </c>
      <c r="F26" s="6" t="s">
        <v>809</v>
      </c>
      <c r="G26" s="253" t="s">
        <v>7184</v>
      </c>
      <c r="H26" s="6" t="s">
        <v>809</v>
      </c>
      <c r="I26" s="253" t="s">
        <v>7186</v>
      </c>
      <c r="J26" s="253" t="s">
        <v>840</v>
      </c>
    </row>
    <row r="27" customFormat="false" ht="15" hidden="false" customHeight="true" outlineLevel="0" collapsed="false">
      <c r="A27" s="30" t="s">
        <v>6527</v>
      </c>
      <c r="B27" s="30" t="s">
        <v>7207</v>
      </c>
      <c r="C27" s="20" t="s">
        <v>1375</v>
      </c>
      <c r="D27" s="20" t="s">
        <v>7243</v>
      </c>
      <c r="E27" s="30" t="s">
        <v>7183</v>
      </c>
      <c r="F27" s="6" t="s">
        <v>809</v>
      </c>
      <c r="G27" s="253" t="s">
        <v>7184</v>
      </c>
      <c r="H27" s="6" t="s">
        <v>809</v>
      </c>
      <c r="I27" s="253" t="s">
        <v>7186</v>
      </c>
      <c r="J27" s="253" t="s">
        <v>840</v>
      </c>
    </row>
    <row r="28" customFormat="false" ht="15" hidden="false" customHeight="true" outlineLevel="0" collapsed="false">
      <c r="A28" s="30" t="s">
        <v>7244</v>
      </c>
      <c r="B28" s="30" t="s">
        <v>7207</v>
      </c>
      <c r="C28" s="20" t="s">
        <v>7245</v>
      </c>
      <c r="D28" s="6" t="s">
        <v>7246</v>
      </c>
      <c r="E28" s="30" t="s">
        <v>7183</v>
      </c>
      <c r="F28" s="6" t="s">
        <v>809</v>
      </c>
      <c r="G28" s="253" t="s">
        <v>7184</v>
      </c>
      <c r="H28" s="6" t="s">
        <v>809</v>
      </c>
      <c r="I28" s="253" t="s">
        <v>7186</v>
      </c>
      <c r="J28" s="253" t="s">
        <v>840</v>
      </c>
    </row>
    <row r="29" customFormat="false" ht="15" hidden="false" customHeight="true" outlineLevel="0" collapsed="false">
      <c r="A29" s="30" t="s">
        <v>6634</v>
      </c>
      <c r="B29" s="30" t="s">
        <v>7207</v>
      </c>
      <c r="C29" s="6" t="s">
        <v>7247</v>
      </c>
      <c r="D29" s="6" t="s">
        <v>7248</v>
      </c>
      <c r="E29" s="30" t="s">
        <v>7183</v>
      </c>
      <c r="F29" s="6" t="s">
        <v>809</v>
      </c>
      <c r="G29" s="253" t="s">
        <v>7184</v>
      </c>
      <c r="H29" s="6" t="s">
        <v>809</v>
      </c>
      <c r="I29" s="253" t="s">
        <v>7186</v>
      </c>
      <c r="J29" s="253" t="s">
        <v>840</v>
      </c>
    </row>
    <row r="30" customFormat="false" ht="15" hidden="false" customHeight="true" outlineLevel="0" collapsed="false">
      <c r="A30" s="30" t="s">
        <v>6534</v>
      </c>
      <c r="B30" s="30" t="s">
        <v>7207</v>
      </c>
      <c r="C30" s="20" t="s">
        <v>7249</v>
      </c>
      <c r="D30" s="6" t="s">
        <v>7250</v>
      </c>
      <c r="E30" s="30" t="s">
        <v>7236</v>
      </c>
      <c r="F30" s="6" t="s">
        <v>809</v>
      </c>
      <c r="G30" s="253" t="s">
        <v>7184</v>
      </c>
      <c r="H30" s="6" t="s">
        <v>7251</v>
      </c>
      <c r="I30" s="253" t="s">
        <v>7186</v>
      </c>
      <c r="J30" s="253" t="s">
        <v>840</v>
      </c>
    </row>
    <row r="31" customFormat="false" ht="15" hidden="false" customHeight="true" outlineLevel="0" collapsed="false">
      <c r="A31" s="30" t="s">
        <v>6159</v>
      </c>
      <c r="B31" s="30" t="s">
        <v>7207</v>
      </c>
      <c r="C31" s="20" t="s">
        <v>7252</v>
      </c>
      <c r="D31" s="20" t="s">
        <v>7253</v>
      </c>
      <c r="E31" s="30" t="s">
        <v>7183</v>
      </c>
      <c r="F31" s="6" t="s">
        <v>809</v>
      </c>
      <c r="G31" s="253" t="s">
        <v>7184</v>
      </c>
      <c r="H31" s="6" t="s">
        <v>809</v>
      </c>
      <c r="I31" s="253" t="s">
        <v>7186</v>
      </c>
      <c r="J31" s="253" t="s">
        <v>840</v>
      </c>
    </row>
    <row r="32" customFormat="false" ht="43.5" hidden="false" customHeight="true" outlineLevel="0" collapsed="false">
      <c r="A32" s="30" t="s">
        <v>7254</v>
      </c>
      <c r="B32" s="253" t="s">
        <v>7234</v>
      </c>
      <c r="C32" s="20" t="s">
        <v>7255</v>
      </c>
      <c r="D32" s="6" t="s">
        <v>7256</v>
      </c>
      <c r="E32" s="30" t="s">
        <v>7257</v>
      </c>
      <c r="F32" s="6" t="s">
        <v>809</v>
      </c>
      <c r="G32" s="253" t="s">
        <v>7184</v>
      </c>
      <c r="H32" s="6" t="s">
        <v>809</v>
      </c>
      <c r="I32" s="253" t="s">
        <v>7186</v>
      </c>
      <c r="J32" s="253" t="s">
        <v>840</v>
      </c>
    </row>
    <row r="33" customFormat="false" ht="43.5" hidden="false" customHeight="true" outlineLevel="0" collapsed="false">
      <c r="A33" s="30" t="s">
        <v>7258</v>
      </c>
      <c r="B33" s="253" t="s">
        <v>7234</v>
      </c>
      <c r="C33" s="6" t="s">
        <v>7259</v>
      </c>
      <c r="D33" s="20" t="s">
        <v>7260</v>
      </c>
      <c r="E33" s="30" t="s">
        <v>7183</v>
      </c>
      <c r="F33" s="6" t="s">
        <v>809</v>
      </c>
      <c r="G33" s="253" t="s">
        <v>7184</v>
      </c>
      <c r="H33" s="6" t="s">
        <v>809</v>
      </c>
      <c r="I33" s="253" t="s">
        <v>7186</v>
      </c>
      <c r="J33" s="253" t="s">
        <v>840</v>
      </c>
    </row>
    <row r="34" customFormat="false" ht="43.5" hidden="false" customHeight="true" outlineLevel="0" collapsed="false">
      <c r="A34" s="30" t="s">
        <v>7261</v>
      </c>
      <c r="B34" s="253" t="s">
        <v>7234</v>
      </c>
      <c r="C34" s="6" t="s">
        <v>7262</v>
      </c>
      <c r="D34" s="20" t="s">
        <v>7263</v>
      </c>
      <c r="E34" s="30" t="s">
        <v>1523</v>
      </c>
      <c r="F34" s="6" t="s">
        <v>809</v>
      </c>
      <c r="G34" s="253" t="s">
        <v>7184</v>
      </c>
      <c r="H34" s="6" t="s">
        <v>809</v>
      </c>
      <c r="I34" s="253" t="s">
        <v>7186</v>
      </c>
      <c r="J34" s="253" t="s">
        <v>840</v>
      </c>
    </row>
    <row r="35" customFormat="false" ht="43.5" hidden="false" customHeight="true" outlineLevel="0" collapsed="false">
      <c r="A35" s="30" t="s">
        <v>7264</v>
      </c>
      <c r="B35" s="253" t="s">
        <v>7234</v>
      </c>
      <c r="C35" s="20" t="s">
        <v>7265</v>
      </c>
      <c r="D35" s="6" t="s">
        <v>7266</v>
      </c>
      <c r="E35" s="30" t="s">
        <v>1523</v>
      </c>
      <c r="F35" s="6" t="s">
        <v>809</v>
      </c>
      <c r="G35" s="253" t="s">
        <v>7184</v>
      </c>
      <c r="H35" s="6" t="s">
        <v>809</v>
      </c>
      <c r="I35" s="253" t="s">
        <v>7186</v>
      </c>
      <c r="J35" s="253" t="s">
        <v>840</v>
      </c>
    </row>
    <row r="36" customFormat="false" ht="15" hidden="false" customHeight="true" outlineLevel="0" collapsed="false">
      <c r="A36" s="30" t="s">
        <v>3306</v>
      </c>
      <c r="B36" s="253" t="s">
        <v>7234</v>
      </c>
      <c r="C36" s="20" t="s">
        <v>7267</v>
      </c>
      <c r="D36" s="20" t="s">
        <v>7268</v>
      </c>
      <c r="E36" s="30" t="s">
        <v>7183</v>
      </c>
      <c r="F36" s="6" t="s">
        <v>809</v>
      </c>
      <c r="G36" s="253" t="s">
        <v>7184</v>
      </c>
      <c r="H36" s="6" t="s">
        <v>809</v>
      </c>
      <c r="I36" s="253" t="s">
        <v>7186</v>
      </c>
      <c r="J36" s="253" t="s">
        <v>840</v>
      </c>
    </row>
    <row r="37" customFormat="false" ht="15" hidden="false" customHeight="true" outlineLevel="0" collapsed="false">
      <c r="A37" s="30" t="s">
        <v>5052</v>
      </c>
      <c r="B37" s="30" t="s">
        <v>904</v>
      </c>
      <c r="C37" s="20" t="s">
        <v>7269</v>
      </c>
      <c r="D37" s="6" t="s">
        <v>7270</v>
      </c>
      <c r="E37" s="30" t="s">
        <v>1523</v>
      </c>
      <c r="F37" s="20" t="s">
        <v>7271</v>
      </c>
      <c r="G37" s="253" t="s">
        <v>7184</v>
      </c>
      <c r="H37" s="6" t="s">
        <v>809</v>
      </c>
      <c r="I37" s="253" t="s">
        <v>7186</v>
      </c>
      <c r="J37" s="253" t="s">
        <v>840</v>
      </c>
    </row>
    <row r="38" customFormat="false" ht="29.25" hidden="false" customHeight="true" outlineLevel="0" collapsed="false">
      <c r="A38" s="30" t="s">
        <v>5055</v>
      </c>
      <c r="B38" s="30" t="s">
        <v>904</v>
      </c>
      <c r="C38" s="20" t="s">
        <v>7272</v>
      </c>
      <c r="D38" s="6" t="s">
        <v>7273</v>
      </c>
      <c r="E38" s="30" t="s">
        <v>7183</v>
      </c>
      <c r="F38" s="20" t="s">
        <v>7274</v>
      </c>
      <c r="G38" s="253" t="s">
        <v>7184</v>
      </c>
      <c r="H38" s="6" t="s">
        <v>809</v>
      </c>
      <c r="I38" s="253" t="s">
        <v>7186</v>
      </c>
      <c r="J38" s="253" t="s">
        <v>840</v>
      </c>
    </row>
    <row r="39" customFormat="false" ht="29.25" hidden="false" customHeight="true" outlineLevel="0" collapsed="false">
      <c r="A39" s="30" t="s">
        <v>5058</v>
      </c>
      <c r="B39" s="30" t="s">
        <v>904</v>
      </c>
      <c r="C39" s="20" t="s">
        <v>7275</v>
      </c>
      <c r="D39" s="6" t="s">
        <v>7276</v>
      </c>
      <c r="E39" s="30" t="s">
        <v>7183</v>
      </c>
      <c r="F39" s="6" t="s">
        <v>809</v>
      </c>
      <c r="G39" s="253" t="s">
        <v>7184</v>
      </c>
      <c r="H39" s="6" t="s">
        <v>809</v>
      </c>
      <c r="I39" s="253" t="s">
        <v>7186</v>
      </c>
      <c r="J39" s="253" t="s">
        <v>840</v>
      </c>
    </row>
    <row r="40" customFormat="false" ht="43.5" hidden="false" customHeight="true" outlineLevel="0" collapsed="false">
      <c r="A40" s="30" t="s">
        <v>5061</v>
      </c>
      <c r="B40" s="30" t="s">
        <v>904</v>
      </c>
      <c r="C40" s="20" t="s">
        <v>7277</v>
      </c>
      <c r="D40" s="6" t="s">
        <v>7278</v>
      </c>
      <c r="E40" s="30" t="s">
        <v>7183</v>
      </c>
      <c r="F40" s="20" t="s">
        <v>7279</v>
      </c>
      <c r="G40" s="253" t="s">
        <v>7184</v>
      </c>
      <c r="H40" s="6" t="s">
        <v>809</v>
      </c>
      <c r="I40" s="253" t="s">
        <v>7186</v>
      </c>
      <c r="J40" s="253" t="s">
        <v>840</v>
      </c>
    </row>
    <row r="41" customFormat="false" ht="15" hidden="false" customHeight="true" outlineLevel="0" collapsed="false">
      <c r="A41" s="30" t="s">
        <v>5064</v>
      </c>
      <c r="B41" s="30" t="s">
        <v>904</v>
      </c>
      <c r="C41" s="20" t="s">
        <v>7280</v>
      </c>
      <c r="D41" s="6" t="s">
        <v>7281</v>
      </c>
      <c r="E41" s="30" t="s">
        <v>7183</v>
      </c>
      <c r="F41" s="6" t="s">
        <v>809</v>
      </c>
      <c r="G41" s="253" t="s">
        <v>7184</v>
      </c>
      <c r="H41" s="6" t="s">
        <v>809</v>
      </c>
      <c r="I41" s="253" t="s">
        <v>7186</v>
      </c>
      <c r="J41" s="253" t="s">
        <v>840</v>
      </c>
    </row>
    <row r="42" customFormat="false" ht="43.5" hidden="false" customHeight="true" outlineLevel="0" collapsed="false">
      <c r="A42" s="30" t="s">
        <v>3303</v>
      </c>
      <c r="B42" s="30" t="s">
        <v>904</v>
      </c>
      <c r="C42" s="20" t="s">
        <v>7282</v>
      </c>
      <c r="D42" s="20" t="s">
        <v>7283</v>
      </c>
      <c r="E42" s="30" t="s">
        <v>1523</v>
      </c>
      <c r="F42" s="6" t="s">
        <v>809</v>
      </c>
      <c r="G42" s="253" t="s">
        <v>7184</v>
      </c>
      <c r="H42" s="6" t="s">
        <v>7284</v>
      </c>
      <c r="I42" s="253" t="s">
        <v>7186</v>
      </c>
      <c r="J42" s="253" t="s">
        <v>840</v>
      </c>
    </row>
    <row r="43" customFormat="false" ht="29.25" hidden="false" customHeight="true" outlineLevel="0" collapsed="false">
      <c r="A43" s="30" t="s">
        <v>3312</v>
      </c>
      <c r="B43" s="30" t="s">
        <v>904</v>
      </c>
      <c r="C43" s="6" t="s">
        <v>7285</v>
      </c>
      <c r="D43" s="20" t="s">
        <v>7286</v>
      </c>
      <c r="E43" s="30" t="s">
        <v>7183</v>
      </c>
      <c r="F43" s="6" t="s">
        <v>809</v>
      </c>
      <c r="G43" s="253" t="s">
        <v>7184</v>
      </c>
      <c r="H43" s="6" t="s">
        <v>809</v>
      </c>
      <c r="I43" s="253" t="s">
        <v>7186</v>
      </c>
      <c r="J43" s="253" t="s">
        <v>840</v>
      </c>
    </row>
    <row r="44" customFormat="false" ht="15" hidden="false" customHeight="true" outlineLevel="0" collapsed="false">
      <c r="A44" s="30" t="s">
        <v>7287</v>
      </c>
      <c r="B44" s="30" t="s">
        <v>904</v>
      </c>
      <c r="C44" s="20" t="s">
        <v>7288</v>
      </c>
      <c r="D44" s="20" t="s">
        <v>7289</v>
      </c>
      <c r="E44" s="30" t="s">
        <v>7183</v>
      </c>
      <c r="F44" s="6" t="s">
        <v>809</v>
      </c>
      <c r="G44" s="253" t="s">
        <v>7184</v>
      </c>
      <c r="H44" s="6" t="s">
        <v>809</v>
      </c>
      <c r="I44" s="253" t="s">
        <v>7186</v>
      </c>
      <c r="J44" s="253" t="s">
        <v>840</v>
      </c>
    </row>
    <row r="45" customFormat="false" ht="29.25" hidden="false" customHeight="true" outlineLevel="0" collapsed="false">
      <c r="A45" s="30" t="s">
        <v>7290</v>
      </c>
      <c r="B45" s="30" t="s">
        <v>904</v>
      </c>
      <c r="C45" s="20" t="s">
        <v>7291</v>
      </c>
      <c r="D45" s="20" t="s">
        <v>7292</v>
      </c>
      <c r="E45" s="30" t="s">
        <v>7183</v>
      </c>
      <c r="F45" s="6" t="s">
        <v>809</v>
      </c>
      <c r="G45" s="253" t="s">
        <v>7184</v>
      </c>
      <c r="H45" s="6" t="s">
        <v>809</v>
      </c>
      <c r="I45" s="253" t="s">
        <v>7186</v>
      </c>
      <c r="J45" s="253" t="s">
        <v>840</v>
      </c>
    </row>
    <row r="46" customFormat="false" ht="26.25" hidden="false" customHeight="true" outlineLevel="0" collapsed="false">
      <c r="A46" s="30" t="s">
        <v>6260</v>
      </c>
      <c r="B46" s="30" t="s">
        <v>904</v>
      </c>
      <c r="C46" s="20" t="s">
        <v>7293</v>
      </c>
      <c r="D46" s="20" t="s">
        <v>7294</v>
      </c>
      <c r="E46" s="30" t="s">
        <v>7183</v>
      </c>
      <c r="F46" s="6" t="s">
        <v>809</v>
      </c>
      <c r="G46" s="253" t="s">
        <v>7184</v>
      </c>
      <c r="H46" s="6" t="s">
        <v>809</v>
      </c>
      <c r="I46" s="253" t="s">
        <v>7186</v>
      </c>
      <c r="J46" s="253" t="s">
        <v>840</v>
      </c>
    </row>
    <row r="47" customFormat="false" ht="29.25" hidden="false" customHeight="true" outlineLevel="0" collapsed="false">
      <c r="A47" s="30" t="s">
        <v>5746</v>
      </c>
      <c r="B47" s="30" t="s">
        <v>904</v>
      </c>
      <c r="C47" s="20" t="s">
        <v>7295</v>
      </c>
      <c r="D47" s="20" t="s">
        <v>7296</v>
      </c>
      <c r="E47" s="30" t="s">
        <v>7297</v>
      </c>
      <c r="F47" s="20" t="s">
        <v>7298</v>
      </c>
      <c r="G47" s="253" t="s">
        <v>7226</v>
      </c>
      <c r="H47" s="6" t="s">
        <v>7299</v>
      </c>
      <c r="I47" s="253" t="s">
        <v>7186</v>
      </c>
      <c r="J47" s="253" t="s">
        <v>840</v>
      </c>
    </row>
    <row r="48" customFormat="false" ht="15" hidden="false" customHeight="true" outlineLevel="0" collapsed="false">
      <c r="A48" s="30" t="s">
        <v>6222</v>
      </c>
      <c r="B48" s="30" t="s">
        <v>904</v>
      </c>
      <c r="C48" s="20" t="s">
        <v>7300</v>
      </c>
      <c r="D48" s="20" t="s">
        <v>7301</v>
      </c>
      <c r="E48" s="30" t="s">
        <v>7183</v>
      </c>
      <c r="F48" s="6" t="s">
        <v>809</v>
      </c>
      <c r="G48" s="253" t="s">
        <v>7184</v>
      </c>
      <c r="H48" s="6" t="s">
        <v>809</v>
      </c>
      <c r="I48" s="253" t="s">
        <v>7186</v>
      </c>
      <c r="J48" s="253" t="s">
        <v>840</v>
      </c>
    </row>
    <row r="49" customFormat="false" ht="15" hidden="false" customHeight="true" outlineLevel="0" collapsed="false">
      <c r="A49" s="30" t="s">
        <v>6307</v>
      </c>
      <c r="B49" s="30" t="s">
        <v>904</v>
      </c>
      <c r="C49" s="20" t="s">
        <v>7302</v>
      </c>
      <c r="D49" s="20" t="s">
        <v>7303</v>
      </c>
      <c r="E49" s="30" t="s">
        <v>7183</v>
      </c>
      <c r="F49" s="20" t="s">
        <v>7304</v>
      </c>
      <c r="G49" s="253" t="s">
        <v>7184</v>
      </c>
      <c r="H49" s="6" t="s">
        <v>809</v>
      </c>
      <c r="I49" s="253" t="s">
        <v>7186</v>
      </c>
      <c r="J49" s="253" t="s">
        <v>840</v>
      </c>
    </row>
    <row r="50" customFormat="false" ht="15" hidden="false" customHeight="true" outlineLevel="0" collapsed="false">
      <c r="A50" s="30" t="s">
        <v>7305</v>
      </c>
      <c r="B50" s="30" t="s">
        <v>904</v>
      </c>
      <c r="C50" s="20" t="s">
        <v>7306</v>
      </c>
      <c r="D50" s="20" t="s">
        <v>7307</v>
      </c>
      <c r="E50" s="30" t="s">
        <v>7183</v>
      </c>
      <c r="F50" s="6" t="s">
        <v>809</v>
      </c>
      <c r="G50" s="253" t="s">
        <v>7184</v>
      </c>
      <c r="H50" s="6" t="s">
        <v>809</v>
      </c>
      <c r="I50" s="253" t="s">
        <v>7186</v>
      </c>
      <c r="J50" s="253" t="s">
        <v>840</v>
      </c>
    </row>
    <row r="51" customFormat="false" ht="43.5" hidden="false" customHeight="true" outlineLevel="0" collapsed="false">
      <c r="A51" s="30" t="s">
        <v>5853</v>
      </c>
      <c r="B51" s="30" t="s">
        <v>7308</v>
      </c>
      <c r="C51" s="6" t="s">
        <v>7309</v>
      </c>
      <c r="D51" s="20" t="s">
        <v>7310</v>
      </c>
      <c r="E51" s="30" t="s">
        <v>1523</v>
      </c>
      <c r="F51" s="20" t="s">
        <v>7311</v>
      </c>
      <c r="G51" s="253" t="s">
        <v>7184</v>
      </c>
      <c r="H51" s="6" t="s">
        <v>7312</v>
      </c>
      <c r="I51" s="253" t="s">
        <v>7186</v>
      </c>
      <c r="J51" s="253" t="s">
        <v>840</v>
      </c>
    </row>
    <row r="52" customFormat="false" ht="29.25" hidden="false" customHeight="true" outlineLevel="0" collapsed="false">
      <c r="A52" s="30" t="s">
        <v>7313</v>
      </c>
      <c r="B52" s="30" t="s">
        <v>7308</v>
      </c>
      <c r="C52" s="20" t="s">
        <v>7314</v>
      </c>
      <c r="D52" s="6" t="s">
        <v>7315</v>
      </c>
      <c r="E52" s="30" t="s">
        <v>7183</v>
      </c>
      <c r="F52" s="20" t="s">
        <v>7316</v>
      </c>
      <c r="G52" s="253" t="s">
        <v>7184</v>
      </c>
      <c r="H52" s="6" t="s">
        <v>809</v>
      </c>
      <c r="I52" s="253" t="s">
        <v>7186</v>
      </c>
      <c r="J52" s="253" t="s">
        <v>840</v>
      </c>
    </row>
    <row r="53" customFormat="false" ht="29.25" hidden="false" customHeight="true" outlineLevel="0" collapsed="false">
      <c r="A53" s="30" t="s">
        <v>5857</v>
      </c>
      <c r="B53" s="30" t="s">
        <v>7308</v>
      </c>
      <c r="C53" s="20" t="s">
        <v>7317</v>
      </c>
      <c r="D53" s="20" t="s">
        <v>7318</v>
      </c>
      <c r="E53" s="30" t="s">
        <v>7183</v>
      </c>
      <c r="F53" s="20" t="s">
        <v>7319</v>
      </c>
      <c r="G53" s="253" t="s">
        <v>7184</v>
      </c>
      <c r="H53" s="6" t="s">
        <v>7320</v>
      </c>
      <c r="I53" s="253" t="s">
        <v>7186</v>
      </c>
      <c r="J53" s="253" t="s">
        <v>840</v>
      </c>
    </row>
    <row r="54" customFormat="false" ht="29.25" hidden="false" customHeight="true" outlineLevel="0" collapsed="false">
      <c r="A54" s="30" t="s">
        <v>7321</v>
      </c>
      <c r="B54" s="30" t="s">
        <v>7308</v>
      </c>
      <c r="C54" s="6" t="s">
        <v>7322</v>
      </c>
      <c r="D54" s="20" t="s">
        <v>7323</v>
      </c>
      <c r="E54" s="30" t="s">
        <v>7183</v>
      </c>
      <c r="F54" s="6" t="s">
        <v>809</v>
      </c>
      <c r="G54" s="253" t="s">
        <v>7184</v>
      </c>
      <c r="H54" s="6" t="s">
        <v>809</v>
      </c>
      <c r="I54" s="253" t="s">
        <v>7186</v>
      </c>
      <c r="J54" s="253" t="s">
        <v>840</v>
      </c>
    </row>
    <row r="55" customFormat="false" ht="15" hidden="false" customHeight="true" outlineLevel="0" collapsed="false">
      <c r="A55" s="30" t="s">
        <v>7324</v>
      </c>
      <c r="B55" s="30" t="s">
        <v>7308</v>
      </c>
      <c r="C55" s="20" t="s">
        <v>7325</v>
      </c>
      <c r="D55" s="20" t="s">
        <v>7326</v>
      </c>
      <c r="E55" s="30" t="s">
        <v>7183</v>
      </c>
      <c r="F55" s="6" t="s">
        <v>809</v>
      </c>
      <c r="G55" s="253" t="s">
        <v>7184</v>
      </c>
      <c r="H55" s="6" t="s">
        <v>809</v>
      </c>
      <c r="I55" s="253" t="s">
        <v>7186</v>
      </c>
      <c r="J55" s="253" t="s">
        <v>840</v>
      </c>
    </row>
    <row r="56" customFormat="false" ht="15" hidden="false" customHeight="true" outlineLevel="0" collapsed="false">
      <c r="A56" s="30" t="s">
        <v>3304</v>
      </c>
      <c r="B56" s="30" t="s">
        <v>7308</v>
      </c>
      <c r="C56" s="20" t="s">
        <v>7327</v>
      </c>
      <c r="D56" s="20" t="s">
        <v>7328</v>
      </c>
      <c r="E56" s="30" t="s">
        <v>7183</v>
      </c>
      <c r="F56" s="6" t="s">
        <v>809</v>
      </c>
      <c r="G56" s="253" t="s">
        <v>7184</v>
      </c>
      <c r="H56" s="6" t="s">
        <v>809</v>
      </c>
      <c r="I56" s="253" t="s">
        <v>7186</v>
      </c>
      <c r="J56" s="253" t="s">
        <v>840</v>
      </c>
    </row>
    <row r="57" customFormat="false" ht="29.25" hidden="false" customHeight="true" outlineLevel="0" collapsed="false">
      <c r="A57" s="30" t="s">
        <v>3313</v>
      </c>
      <c r="B57" s="30" t="s">
        <v>7308</v>
      </c>
      <c r="C57" s="6" t="s">
        <v>7329</v>
      </c>
      <c r="D57" s="20" t="s">
        <v>7330</v>
      </c>
      <c r="E57" s="30" t="s">
        <v>7183</v>
      </c>
      <c r="F57" s="6" t="s">
        <v>809</v>
      </c>
      <c r="G57" s="253" t="s">
        <v>7184</v>
      </c>
      <c r="H57" s="6" t="s">
        <v>809</v>
      </c>
      <c r="I57" s="253" t="s">
        <v>7186</v>
      </c>
      <c r="J57" s="253" t="s">
        <v>840</v>
      </c>
    </row>
    <row r="58" customFormat="false" ht="29.25" hidden="false" customHeight="true" outlineLevel="0" collapsed="false">
      <c r="A58" s="30" t="s">
        <v>7331</v>
      </c>
      <c r="B58" s="30" t="s">
        <v>7308</v>
      </c>
      <c r="C58" s="20" t="s">
        <v>7332</v>
      </c>
      <c r="D58" s="6" t="s">
        <v>7333</v>
      </c>
      <c r="E58" s="30" t="s">
        <v>1523</v>
      </c>
      <c r="F58" s="6" t="s">
        <v>809</v>
      </c>
      <c r="G58" s="253" t="s">
        <v>7184</v>
      </c>
      <c r="H58" s="6" t="s">
        <v>7334</v>
      </c>
      <c r="I58" s="253" t="s">
        <v>7186</v>
      </c>
      <c r="J58" s="253" t="s">
        <v>840</v>
      </c>
    </row>
    <row r="59" customFormat="false" ht="43.5" hidden="false" customHeight="true" outlineLevel="0" collapsed="false">
      <c r="A59" s="30" t="s">
        <v>856</v>
      </c>
      <c r="B59" s="30" t="s">
        <v>24</v>
      </c>
      <c r="C59" s="20" t="s">
        <v>7335</v>
      </c>
      <c r="D59" s="20" t="s">
        <v>7336</v>
      </c>
      <c r="E59" s="30" t="s">
        <v>1523</v>
      </c>
      <c r="F59" s="6" t="s">
        <v>809</v>
      </c>
      <c r="G59" s="253" t="s">
        <v>7184</v>
      </c>
      <c r="H59" s="6" t="s">
        <v>809</v>
      </c>
      <c r="I59" s="253" t="s">
        <v>7186</v>
      </c>
      <c r="J59" s="253" t="s">
        <v>840</v>
      </c>
    </row>
    <row r="60" customFormat="false" ht="43.5" hidden="false" customHeight="true" outlineLevel="0" collapsed="false">
      <c r="A60" s="30" t="s">
        <v>7337</v>
      </c>
      <c r="B60" s="253" t="s">
        <v>7338</v>
      </c>
      <c r="C60" s="6" t="s">
        <v>7339</v>
      </c>
      <c r="D60" s="6" t="s">
        <v>7340</v>
      </c>
      <c r="E60" s="30" t="s">
        <v>7297</v>
      </c>
      <c r="F60" s="6" t="s">
        <v>809</v>
      </c>
      <c r="G60" s="253" t="s">
        <v>7184</v>
      </c>
      <c r="H60" s="6" t="s">
        <v>809</v>
      </c>
      <c r="I60" s="253" t="s">
        <v>7186</v>
      </c>
      <c r="J60" s="253" t="s">
        <v>840</v>
      </c>
    </row>
    <row r="61" customFormat="false" ht="57.75" hidden="false" customHeight="true" outlineLevel="0" collapsed="false">
      <c r="A61" s="30" t="s">
        <v>7341</v>
      </c>
      <c r="B61" s="253" t="s">
        <v>7338</v>
      </c>
      <c r="C61" s="20" t="s">
        <v>7342</v>
      </c>
      <c r="D61" s="20" t="s">
        <v>7343</v>
      </c>
      <c r="E61" s="30" t="s">
        <v>7183</v>
      </c>
      <c r="F61" s="6" t="s">
        <v>809</v>
      </c>
      <c r="G61" s="253" t="s">
        <v>7184</v>
      </c>
      <c r="H61" s="6" t="s">
        <v>809</v>
      </c>
      <c r="I61" s="253" t="s">
        <v>7186</v>
      </c>
      <c r="J61" s="253" t="s">
        <v>840</v>
      </c>
    </row>
    <row r="62" customFormat="false" ht="29.25" hidden="false" customHeight="true" outlineLevel="0" collapsed="false">
      <c r="A62" s="30" t="s">
        <v>7344</v>
      </c>
      <c r="B62" s="253" t="s">
        <v>7338</v>
      </c>
      <c r="C62" s="20" t="s">
        <v>7345</v>
      </c>
      <c r="D62" s="6" t="s">
        <v>7346</v>
      </c>
      <c r="E62" s="30" t="s">
        <v>7183</v>
      </c>
      <c r="F62" s="6" t="s">
        <v>809</v>
      </c>
      <c r="G62" s="253" t="s">
        <v>7184</v>
      </c>
      <c r="H62" s="6" t="s">
        <v>809</v>
      </c>
      <c r="I62" s="253" t="s">
        <v>7186</v>
      </c>
      <c r="J62" s="253" t="s">
        <v>840</v>
      </c>
    </row>
    <row r="63" customFormat="false" ht="15" hidden="false" customHeight="true" outlineLevel="0" collapsed="false">
      <c r="A63" s="30" t="s">
        <v>7347</v>
      </c>
      <c r="B63" s="253" t="s">
        <v>7338</v>
      </c>
      <c r="C63" s="20" t="s">
        <v>7348</v>
      </c>
      <c r="D63" s="20" t="s">
        <v>7349</v>
      </c>
      <c r="E63" s="30" t="s">
        <v>7183</v>
      </c>
      <c r="F63" s="6" t="s">
        <v>809</v>
      </c>
      <c r="G63" s="253" t="s">
        <v>7184</v>
      </c>
      <c r="H63" s="6" t="s">
        <v>809</v>
      </c>
      <c r="I63" s="253" t="s">
        <v>7186</v>
      </c>
      <c r="J63" s="253" t="s">
        <v>840</v>
      </c>
    </row>
    <row r="64" customFormat="false" ht="29.25" hidden="false" customHeight="true" outlineLevel="0" collapsed="false">
      <c r="A64" s="30" t="s">
        <v>3249</v>
      </c>
      <c r="B64" s="253" t="s">
        <v>7338</v>
      </c>
      <c r="C64" s="20" t="s">
        <v>7350</v>
      </c>
      <c r="D64" s="20" t="s">
        <v>7351</v>
      </c>
      <c r="E64" s="30" t="s">
        <v>7183</v>
      </c>
      <c r="F64" s="20" t="s">
        <v>7352</v>
      </c>
      <c r="G64" s="253" t="s">
        <v>7184</v>
      </c>
      <c r="H64" s="6" t="s">
        <v>809</v>
      </c>
      <c r="I64" s="253" t="s">
        <v>7186</v>
      </c>
      <c r="J64" s="253" t="s">
        <v>840</v>
      </c>
    </row>
    <row r="65" customFormat="false" ht="29.25" hidden="false" customHeight="true" outlineLevel="0" collapsed="false">
      <c r="A65" s="30" t="s">
        <v>3254</v>
      </c>
      <c r="B65" s="253" t="s">
        <v>7338</v>
      </c>
      <c r="C65" s="6" t="s">
        <v>7353</v>
      </c>
      <c r="D65" s="6" t="s">
        <v>7354</v>
      </c>
      <c r="E65" s="30" t="s">
        <v>7183</v>
      </c>
      <c r="F65" s="6" t="s">
        <v>809</v>
      </c>
      <c r="G65" s="253" t="s">
        <v>7184</v>
      </c>
      <c r="H65" s="6" t="s">
        <v>809</v>
      </c>
      <c r="I65" s="253" t="s">
        <v>7186</v>
      </c>
      <c r="J65" s="253" t="s">
        <v>840</v>
      </c>
    </row>
    <row r="66" customFormat="false" ht="57.75" hidden="false" customHeight="true" outlineLevel="0" collapsed="false">
      <c r="A66" s="30" t="s">
        <v>3259</v>
      </c>
      <c r="B66" s="253" t="s">
        <v>7338</v>
      </c>
      <c r="C66" s="6" t="s">
        <v>7355</v>
      </c>
      <c r="D66" s="20" t="s">
        <v>7356</v>
      </c>
      <c r="E66" s="30" t="s">
        <v>7183</v>
      </c>
      <c r="F66" s="6" t="s">
        <v>809</v>
      </c>
      <c r="G66" s="253" t="s">
        <v>7184</v>
      </c>
      <c r="H66" s="6" t="s">
        <v>809</v>
      </c>
      <c r="I66" s="253" t="s">
        <v>7186</v>
      </c>
      <c r="J66" s="253" t="s">
        <v>840</v>
      </c>
    </row>
    <row r="67" customFormat="false" ht="43.5" hidden="false" customHeight="true" outlineLevel="0" collapsed="false">
      <c r="A67" s="30" t="s">
        <v>3174</v>
      </c>
      <c r="B67" s="253" t="s">
        <v>7338</v>
      </c>
      <c r="C67" s="20" t="s">
        <v>7357</v>
      </c>
      <c r="D67" s="20" t="s">
        <v>7358</v>
      </c>
      <c r="E67" s="30" t="s">
        <v>7183</v>
      </c>
      <c r="F67" s="6" t="s">
        <v>809</v>
      </c>
      <c r="G67" s="253" t="s">
        <v>7184</v>
      </c>
      <c r="H67" s="6" t="s">
        <v>809</v>
      </c>
      <c r="I67" s="253" t="s">
        <v>7186</v>
      </c>
      <c r="J67" s="253" t="s">
        <v>840</v>
      </c>
    </row>
    <row r="68" customFormat="false" ht="57.75" hidden="false" customHeight="true" outlineLevel="0" collapsed="false">
      <c r="A68" s="30" t="s">
        <v>3176</v>
      </c>
      <c r="B68" s="253" t="s">
        <v>7338</v>
      </c>
      <c r="C68" s="20" t="s">
        <v>7359</v>
      </c>
      <c r="D68" s="20" t="s">
        <v>7360</v>
      </c>
      <c r="E68" s="30" t="s">
        <v>7183</v>
      </c>
      <c r="F68" s="20" t="s">
        <v>7361</v>
      </c>
      <c r="G68" s="253" t="s">
        <v>7184</v>
      </c>
      <c r="H68" s="6" t="s">
        <v>809</v>
      </c>
      <c r="I68" s="253" t="s">
        <v>7186</v>
      </c>
      <c r="J68" s="253" t="s">
        <v>840</v>
      </c>
    </row>
    <row r="69" customFormat="false" ht="29.25" hidden="false" customHeight="true" outlineLevel="0" collapsed="false">
      <c r="A69" s="30" t="s">
        <v>3178</v>
      </c>
      <c r="B69" s="253" t="s">
        <v>7338</v>
      </c>
      <c r="C69" s="20" t="s">
        <v>7362</v>
      </c>
      <c r="D69" s="20" t="s">
        <v>7363</v>
      </c>
      <c r="E69" s="30" t="s">
        <v>7183</v>
      </c>
      <c r="F69" s="6" t="s">
        <v>809</v>
      </c>
      <c r="G69" s="253" t="s">
        <v>7184</v>
      </c>
      <c r="H69" s="6" t="s">
        <v>809</v>
      </c>
      <c r="I69" s="253" t="s">
        <v>7186</v>
      </c>
      <c r="J69" s="253" t="s">
        <v>840</v>
      </c>
    </row>
    <row r="70" customFormat="false" ht="15" hidden="false" customHeight="true" outlineLevel="0" collapsed="false">
      <c r="A70" s="30" t="s">
        <v>3273</v>
      </c>
      <c r="B70" s="253" t="s">
        <v>7338</v>
      </c>
      <c r="C70" s="20" t="s">
        <v>7364</v>
      </c>
      <c r="D70" s="20" t="s">
        <v>7365</v>
      </c>
      <c r="E70" s="30" t="s">
        <v>7183</v>
      </c>
      <c r="F70" s="6" t="s">
        <v>809</v>
      </c>
      <c r="G70" s="253" t="s">
        <v>7184</v>
      </c>
      <c r="H70" s="6" t="s">
        <v>809</v>
      </c>
      <c r="I70" s="253" t="s">
        <v>7186</v>
      </c>
      <c r="J70" s="253" t="s">
        <v>840</v>
      </c>
    </row>
    <row r="71" customFormat="false" ht="29.25" hidden="false" customHeight="true" outlineLevel="0" collapsed="false">
      <c r="A71" s="30" t="s">
        <v>3277</v>
      </c>
      <c r="B71" s="253" t="s">
        <v>7338</v>
      </c>
      <c r="C71" s="20" t="s">
        <v>7366</v>
      </c>
      <c r="D71" s="20" t="s">
        <v>7367</v>
      </c>
      <c r="E71" s="30" t="s">
        <v>7297</v>
      </c>
      <c r="F71" s="6" t="s">
        <v>809</v>
      </c>
      <c r="G71" s="253" t="s">
        <v>7184</v>
      </c>
      <c r="H71" s="6" t="s">
        <v>809</v>
      </c>
      <c r="I71" s="253" t="s">
        <v>7186</v>
      </c>
      <c r="J71" s="253" t="s">
        <v>840</v>
      </c>
    </row>
    <row r="72" customFormat="false" ht="129" hidden="false" customHeight="true" outlineLevel="0" collapsed="false">
      <c r="A72" s="30" t="s">
        <v>3285</v>
      </c>
      <c r="B72" s="253" t="s">
        <v>7338</v>
      </c>
      <c r="C72" s="6" t="s">
        <v>7368</v>
      </c>
      <c r="D72" s="6" t="s">
        <v>7369</v>
      </c>
      <c r="E72" s="30" t="s">
        <v>7297</v>
      </c>
      <c r="F72" s="20" t="s">
        <v>7370</v>
      </c>
      <c r="G72" s="253" t="s">
        <v>7184</v>
      </c>
      <c r="H72" s="6" t="s">
        <v>809</v>
      </c>
      <c r="I72" s="253" t="s">
        <v>7186</v>
      </c>
      <c r="J72" s="253" t="s">
        <v>840</v>
      </c>
    </row>
    <row r="73" customFormat="false" ht="57.75" hidden="false" customHeight="true" outlineLevel="0" collapsed="false">
      <c r="A73" s="30" t="s">
        <v>3281</v>
      </c>
      <c r="B73" s="253" t="s">
        <v>7338</v>
      </c>
      <c r="C73" s="20" t="s">
        <v>7371</v>
      </c>
      <c r="D73" s="20" t="s">
        <v>7372</v>
      </c>
      <c r="E73" s="30" t="s">
        <v>7297</v>
      </c>
      <c r="F73" s="20" t="s">
        <v>7373</v>
      </c>
      <c r="G73" s="253" t="s">
        <v>7184</v>
      </c>
      <c r="H73" s="6" t="s">
        <v>809</v>
      </c>
      <c r="I73" s="253" t="s">
        <v>7186</v>
      </c>
      <c r="J73" s="253" t="s">
        <v>840</v>
      </c>
    </row>
    <row r="74" customFormat="false" ht="29.25" hidden="false" customHeight="true" outlineLevel="0" collapsed="false">
      <c r="A74" s="30" t="s">
        <v>5072</v>
      </c>
      <c r="B74" s="30" t="s">
        <v>7308</v>
      </c>
      <c r="C74" s="20" t="s">
        <v>7374</v>
      </c>
      <c r="D74" s="6" t="s">
        <v>7375</v>
      </c>
      <c r="E74" s="30" t="s">
        <v>7297</v>
      </c>
      <c r="F74" s="6" t="s">
        <v>7376</v>
      </c>
      <c r="G74" s="253" t="s">
        <v>7184</v>
      </c>
      <c r="H74" s="6" t="s">
        <v>7377</v>
      </c>
      <c r="I74" s="253" t="s">
        <v>7378</v>
      </c>
      <c r="J74" s="253" t="s">
        <v>840</v>
      </c>
    </row>
    <row r="75" customFormat="false" ht="15" hidden="false" customHeight="true" outlineLevel="0" collapsed="false">
      <c r="A75" s="30" t="s">
        <v>7379</v>
      </c>
      <c r="B75" s="30" t="s">
        <v>7380</v>
      </c>
      <c r="C75" s="20" t="s">
        <v>7381</v>
      </c>
      <c r="D75" s="20" t="s">
        <v>7382</v>
      </c>
      <c r="E75" s="30" t="s">
        <v>7297</v>
      </c>
      <c r="F75" s="20" t="s">
        <v>7383</v>
      </c>
      <c r="G75" s="207" t="s">
        <v>7384</v>
      </c>
      <c r="H75" s="6" t="s">
        <v>7385</v>
      </c>
      <c r="I75" s="253" t="s">
        <v>7386</v>
      </c>
      <c r="J75" s="253" t="s">
        <v>840</v>
      </c>
    </row>
    <row r="76" customFormat="false" ht="15" hidden="false" customHeight="true" outlineLevel="0" collapsed="false">
      <c r="A76" s="30" t="s">
        <v>6703</v>
      </c>
      <c r="B76" s="30" t="s">
        <v>7380</v>
      </c>
      <c r="C76" s="20" t="s">
        <v>7387</v>
      </c>
      <c r="D76" s="20" t="s">
        <v>7388</v>
      </c>
      <c r="E76" s="30" t="s">
        <v>7297</v>
      </c>
      <c r="F76" s="20" t="s">
        <v>7383</v>
      </c>
      <c r="G76" s="207" t="s">
        <v>7384</v>
      </c>
      <c r="H76" s="6" t="s">
        <v>7385</v>
      </c>
      <c r="I76" s="253" t="s">
        <v>7386</v>
      </c>
      <c r="J76" s="253" t="s">
        <v>840</v>
      </c>
    </row>
    <row r="77" customFormat="false" ht="15" hidden="false" customHeight="true" outlineLevel="0" collapsed="false">
      <c r="A77" s="30" t="s">
        <v>6712</v>
      </c>
      <c r="B77" s="30" t="s">
        <v>7380</v>
      </c>
      <c r="C77" s="6" t="s">
        <v>7389</v>
      </c>
      <c r="D77" s="20" t="s">
        <v>7390</v>
      </c>
      <c r="E77" s="30" t="s">
        <v>7297</v>
      </c>
      <c r="F77" s="20" t="s">
        <v>7383</v>
      </c>
      <c r="G77" s="207" t="s">
        <v>7384</v>
      </c>
      <c r="H77" s="6" t="s">
        <v>7385</v>
      </c>
      <c r="I77" s="253" t="s">
        <v>7386</v>
      </c>
      <c r="J77" s="253" t="s">
        <v>840</v>
      </c>
    </row>
    <row r="78" customFormat="false" ht="15" hidden="false" customHeight="true" outlineLevel="0" collapsed="false">
      <c r="A78" s="30" t="s">
        <v>7391</v>
      </c>
      <c r="B78" s="30" t="s">
        <v>7380</v>
      </c>
      <c r="C78" s="20" t="s">
        <v>7392</v>
      </c>
      <c r="D78" s="20" t="s">
        <v>7393</v>
      </c>
      <c r="E78" s="30" t="s">
        <v>7297</v>
      </c>
      <c r="F78" s="20" t="s">
        <v>7383</v>
      </c>
      <c r="G78" s="207" t="s">
        <v>7384</v>
      </c>
      <c r="H78" s="6" t="s">
        <v>7385</v>
      </c>
      <c r="I78" s="253" t="s">
        <v>7386</v>
      </c>
      <c r="J78" s="253" t="s">
        <v>840</v>
      </c>
    </row>
    <row r="79" customFormat="false" ht="29.25" hidden="false" customHeight="true" outlineLevel="0" collapsed="false">
      <c r="A79" s="30" t="s">
        <v>7394</v>
      </c>
      <c r="B79" s="30" t="s">
        <v>7380</v>
      </c>
      <c r="C79" s="6" t="s">
        <v>7395</v>
      </c>
      <c r="D79" s="20" t="s">
        <v>7396</v>
      </c>
      <c r="E79" s="30" t="s">
        <v>7297</v>
      </c>
      <c r="F79" s="20" t="s">
        <v>7383</v>
      </c>
      <c r="G79" s="207" t="s">
        <v>7384</v>
      </c>
      <c r="H79" s="6" t="s">
        <v>7385</v>
      </c>
      <c r="I79" s="253" t="s">
        <v>7386</v>
      </c>
      <c r="J79" s="253" t="s">
        <v>840</v>
      </c>
    </row>
    <row r="80" customFormat="false" ht="15" hidden="false" customHeight="true" outlineLevel="0" collapsed="false">
      <c r="A80" s="30" t="s">
        <v>6720</v>
      </c>
      <c r="B80" s="30" t="s">
        <v>7380</v>
      </c>
      <c r="C80" s="20" t="s">
        <v>7397</v>
      </c>
      <c r="D80" s="20" t="s">
        <v>7398</v>
      </c>
      <c r="E80" s="30" t="s">
        <v>7297</v>
      </c>
      <c r="F80" s="20" t="s">
        <v>7383</v>
      </c>
      <c r="G80" s="207" t="s">
        <v>7384</v>
      </c>
      <c r="H80" s="6" t="s">
        <v>7385</v>
      </c>
      <c r="I80" s="253" t="s">
        <v>7386</v>
      </c>
      <c r="J80" s="253" t="s">
        <v>840</v>
      </c>
    </row>
    <row r="81" customFormat="false" ht="15" hidden="false" customHeight="true" outlineLevel="0" collapsed="false">
      <c r="A81" s="30" t="s">
        <v>6695</v>
      </c>
      <c r="B81" s="30" t="s">
        <v>7380</v>
      </c>
      <c r="C81" s="20" t="s">
        <v>7399</v>
      </c>
      <c r="D81" s="20" t="s">
        <v>7400</v>
      </c>
      <c r="E81" s="30" t="s">
        <v>7297</v>
      </c>
      <c r="F81" s="20" t="s">
        <v>7383</v>
      </c>
      <c r="G81" s="207" t="s">
        <v>7384</v>
      </c>
      <c r="H81" s="6" t="s">
        <v>7385</v>
      </c>
      <c r="I81" s="253" t="s">
        <v>7386</v>
      </c>
      <c r="J81" s="253" t="s">
        <v>840</v>
      </c>
    </row>
    <row r="82" customFormat="false" ht="15" hidden="false" customHeight="true" outlineLevel="0" collapsed="false">
      <c r="A82" s="30" t="s">
        <v>6691</v>
      </c>
      <c r="B82" s="30" t="s">
        <v>7380</v>
      </c>
      <c r="C82" s="20" t="s">
        <v>7401</v>
      </c>
      <c r="D82" s="20" t="s">
        <v>7402</v>
      </c>
      <c r="E82" s="30" t="s">
        <v>7297</v>
      </c>
      <c r="F82" s="20" t="s">
        <v>7383</v>
      </c>
      <c r="G82" s="207" t="s">
        <v>7384</v>
      </c>
      <c r="H82" s="6" t="s">
        <v>7385</v>
      </c>
      <c r="I82" s="253" t="s">
        <v>7386</v>
      </c>
      <c r="J82" s="253" t="s">
        <v>840</v>
      </c>
    </row>
    <row r="83" customFormat="false" ht="15" hidden="false" customHeight="true" outlineLevel="0" collapsed="false">
      <c r="A83" s="30" t="s">
        <v>7403</v>
      </c>
      <c r="B83" s="253" t="s">
        <v>7404</v>
      </c>
      <c r="C83" s="20" t="s">
        <v>7405</v>
      </c>
      <c r="D83" s="20" t="s">
        <v>7406</v>
      </c>
      <c r="E83" s="30" t="s">
        <v>7297</v>
      </c>
      <c r="F83" s="20" t="s">
        <v>7407</v>
      </c>
      <c r="G83" s="253" t="s">
        <v>7184</v>
      </c>
      <c r="H83" s="6" t="s">
        <v>809</v>
      </c>
      <c r="I83" s="253" t="s">
        <v>7408</v>
      </c>
      <c r="J83" s="253" t="s">
        <v>840</v>
      </c>
    </row>
    <row r="84" customFormat="false" ht="43.5" hidden="false" customHeight="true" outlineLevel="0" collapsed="false">
      <c r="A84" s="30" t="s">
        <v>7409</v>
      </c>
      <c r="B84" s="253" t="s">
        <v>7404</v>
      </c>
      <c r="C84" s="6" t="s">
        <v>7410</v>
      </c>
      <c r="D84" s="20" t="s">
        <v>7411</v>
      </c>
      <c r="E84" s="30" t="s">
        <v>7297</v>
      </c>
      <c r="F84" s="20" t="s">
        <v>7412</v>
      </c>
      <c r="G84" s="253" t="s">
        <v>7184</v>
      </c>
      <c r="H84" s="6" t="s">
        <v>7413</v>
      </c>
      <c r="I84" s="253" t="s">
        <v>7408</v>
      </c>
      <c r="J84" s="253" t="s">
        <v>840</v>
      </c>
    </row>
    <row r="85" customFormat="false" ht="26.25" hidden="false" customHeight="true" outlineLevel="0" collapsed="false">
      <c r="A85" s="30" t="s">
        <v>7414</v>
      </c>
      <c r="B85" s="253" t="s">
        <v>7404</v>
      </c>
      <c r="C85" s="6" t="s">
        <v>7415</v>
      </c>
      <c r="D85" s="6" t="s">
        <v>7416</v>
      </c>
      <c r="E85" s="30" t="s">
        <v>7297</v>
      </c>
      <c r="F85" s="20" t="s">
        <v>7412</v>
      </c>
      <c r="G85" s="253" t="s">
        <v>7184</v>
      </c>
      <c r="H85" s="6" t="s">
        <v>7417</v>
      </c>
      <c r="I85" s="253" t="s">
        <v>7408</v>
      </c>
      <c r="J85" s="253" t="s">
        <v>840</v>
      </c>
    </row>
    <row r="86" customFormat="false" ht="29.25" hidden="false" customHeight="true" outlineLevel="0" collapsed="false">
      <c r="A86" s="30" t="s">
        <v>7418</v>
      </c>
      <c r="B86" s="253" t="s">
        <v>7404</v>
      </c>
      <c r="C86" s="20" t="s">
        <v>7419</v>
      </c>
      <c r="D86" s="20" t="s">
        <v>7420</v>
      </c>
      <c r="E86" s="30" t="s">
        <v>7297</v>
      </c>
      <c r="F86" s="20" t="s">
        <v>7412</v>
      </c>
      <c r="G86" s="253" t="s">
        <v>7184</v>
      </c>
      <c r="H86" s="6" t="s">
        <v>809</v>
      </c>
      <c r="I86" s="253" t="s">
        <v>7408</v>
      </c>
      <c r="J86" s="253" t="s">
        <v>840</v>
      </c>
    </row>
    <row r="87" customFormat="false" ht="29.25" hidden="false" customHeight="true" outlineLevel="0" collapsed="false">
      <c r="A87" s="30" t="s">
        <v>7421</v>
      </c>
      <c r="B87" s="253" t="s">
        <v>7404</v>
      </c>
      <c r="C87" s="20" t="s">
        <v>7422</v>
      </c>
      <c r="D87" s="20" t="s">
        <v>7423</v>
      </c>
      <c r="E87" s="30" t="s">
        <v>7297</v>
      </c>
      <c r="F87" s="20" t="s">
        <v>7407</v>
      </c>
      <c r="G87" s="253" t="s">
        <v>7184</v>
      </c>
      <c r="H87" s="6" t="s">
        <v>7424</v>
      </c>
      <c r="I87" s="253" t="s">
        <v>7408</v>
      </c>
      <c r="J87" s="253" t="s">
        <v>840</v>
      </c>
    </row>
    <row r="88" customFormat="false" ht="29.25" hidden="false" customHeight="true" outlineLevel="0" collapsed="false">
      <c r="A88" s="30" t="s">
        <v>6484</v>
      </c>
      <c r="B88" s="253" t="s">
        <v>7404</v>
      </c>
      <c r="C88" s="6" t="s">
        <v>7425</v>
      </c>
      <c r="D88" s="6" t="s">
        <v>7426</v>
      </c>
      <c r="E88" s="30" t="s">
        <v>7297</v>
      </c>
      <c r="F88" s="20" t="s">
        <v>7412</v>
      </c>
      <c r="G88" s="253" t="s">
        <v>7184</v>
      </c>
      <c r="H88" s="6" t="s">
        <v>7427</v>
      </c>
      <c r="I88" s="253" t="s">
        <v>7408</v>
      </c>
      <c r="J88" s="253" t="s">
        <v>840</v>
      </c>
    </row>
    <row r="89" customFormat="false" ht="29.25" hidden="false" customHeight="true" outlineLevel="0" collapsed="false">
      <c r="A89" s="30" t="s">
        <v>7428</v>
      </c>
      <c r="B89" s="253" t="s">
        <v>7404</v>
      </c>
      <c r="C89" s="20" t="s">
        <v>7429</v>
      </c>
      <c r="D89" s="6" t="s">
        <v>7430</v>
      </c>
      <c r="E89" s="30" t="s">
        <v>7297</v>
      </c>
      <c r="F89" s="20" t="s">
        <v>7412</v>
      </c>
      <c r="G89" s="253" t="s">
        <v>7184</v>
      </c>
      <c r="H89" s="6" t="s">
        <v>809</v>
      </c>
      <c r="I89" s="253" t="s">
        <v>7408</v>
      </c>
      <c r="J89" s="253" t="s">
        <v>840</v>
      </c>
    </row>
    <row r="90" customFormat="false" ht="43.5" hidden="false" customHeight="true" outlineLevel="0" collapsed="false">
      <c r="A90" s="30" t="s">
        <v>7431</v>
      </c>
      <c r="B90" s="253" t="s">
        <v>7404</v>
      </c>
      <c r="C90" s="20" t="s">
        <v>7432</v>
      </c>
      <c r="D90" s="20" t="s">
        <v>7433</v>
      </c>
      <c r="E90" s="30" t="s">
        <v>7297</v>
      </c>
      <c r="F90" s="20" t="s">
        <v>7434</v>
      </c>
      <c r="G90" s="253" t="s">
        <v>7184</v>
      </c>
      <c r="H90" s="6" t="s">
        <v>809</v>
      </c>
      <c r="I90" s="253" t="s">
        <v>7408</v>
      </c>
      <c r="J90" s="253" t="s">
        <v>840</v>
      </c>
    </row>
    <row r="91" customFormat="false" ht="29.25" hidden="false" customHeight="true" outlineLevel="0" collapsed="false">
      <c r="A91" s="30" t="s">
        <v>7435</v>
      </c>
      <c r="B91" s="253" t="s">
        <v>7404</v>
      </c>
      <c r="C91" s="20" t="s">
        <v>7436</v>
      </c>
      <c r="D91" s="6" t="s">
        <v>7437</v>
      </c>
      <c r="E91" s="30" t="s">
        <v>7297</v>
      </c>
      <c r="F91" s="6" t="s">
        <v>809</v>
      </c>
      <c r="G91" s="253" t="s">
        <v>7184</v>
      </c>
      <c r="H91" s="6" t="s">
        <v>809</v>
      </c>
      <c r="I91" s="253" t="s">
        <v>7408</v>
      </c>
      <c r="J91" s="253" t="s">
        <v>840</v>
      </c>
    </row>
    <row r="92" customFormat="false" ht="15" hidden="false" customHeight="true" outlineLevel="0" collapsed="false">
      <c r="A92" s="30" t="s">
        <v>7438</v>
      </c>
      <c r="B92" s="253" t="s">
        <v>7404</v>
      </c>
      <c r="C92" s="20" t="s">
        <v>7439</v>
      </c>
      <c r="D92" s="20" t="s">
        <v>7440</v>
      </c>
      <c r="E92" s="30" t="s">
        <v>7297</v>
      </c>
      <c r="F92" s="6" t="s">
        <v>809</v>
      </c>
      <c r="G92" s="253" t="s">
        <v>7184</v>
      </c>
      <c r="H92" s="6" t="s">
        <v>809</v>
      </c>
      <c r="I92" s="253" t="s">
        <v>7408</v>
      </c>
      <c r="J92" s="253" t="s">
        <v>840</v>
      </c>
    </row>
    <row r="93" customFormat="false" ht="29.25" hidden="false" customHeight="true" outlineLevel="0" collapsed="false">
      <c r="A93" s="30" t="s">
        <v>7441</v>
      </c>
      <c r="B93" s="253" t="s">
        <v>7404</v>
      </c>
      <c r="C93" s="6" t="s">
        <v>7442</v>
      </c>
      <c r="D93" s="20" t="s">
        <v>7443</v>
      </c>
      <c r="E93" s="30" t="s">
        <v>7297</v>
      </c>
      <c r="F93" s="20" t="s">
        <v>7444</v>
      </c>
      <c r="G93" s="253" t="s">
        <v>7184</v>
      </c>
      <c r="H93" s="6" t="s">
        <v>7299</v>
      </c>
      <c r="I93" s="253" t="s">
        <v>7408</v>
      </c>
      <c r="J93" s="253" t="s">
        <v>840</v>
      </c>
    </row>
    <row r="94" customFormat="false" ht="29.25" hidden="false" customHeight="true" outlineLevel="0" collapsed="false">
      <c r="A94" s="30" t="s">
        <v>5347</v>
      </c>
      <c r="B94" s="253" t="s">
        <v>7445</v>
      </c>
      <c r="C94" s="6" t="s">
        <v>7446</v>
      </c>
      <c r="D94" s="6" t="s">
        <v>7447</v>
      </c>
      <c r="E94" s="30" t="s">
        <v>7448</v>
      </c>
      <c r="F94" s="245" t="s">
        <v>7449</v>
      </c>
      <c r="G94" s="253" t="s">
        <v>7184</v>
      </c>
      <c r="H94" s="6" t="s">
        <v>7450</v>
      </c>
      <c r="I94" s="30" t="s">
        <v>7451</v>
      </c>
      <c r="J94" s="253" t="s">
        <v>840</v>
      </c>
    </row>
    <row r="95" customFormat="false" ht="51.75" hidden="false" customHeight="true" outlineLevel="0" collapsed="false">
      <c r="A95" s="30" t="s">
        <v>6728</v>
      </c>
      <c r="B95" s="30" t="s">
        <v>7380</v>
      </c>
      <c r="C95" s="20" t="s">
        <v>7452</v>
      </c>
      <c r="D95" s="6" t="s">
        <v>7453</v>
      </c>
      <c r="E95" s="30" t="s">
        <v>7454</v>
      </c>
      <c r="F95" s="20" t="s">
        <v>7455</v>
      </c>
      <c r="G95" s="30" t="s">
        <v>7456</v>
      </c>
      <c r="H95" s="6" t="s">
        <v>7457</v>
      </c>
      <c r="I95" s="253" t="s">
        <v>7458</v>
      </c>
      <c r="J95" s="253" t="s">
        <v>840</v>
      </c>
    </row>
    <row r="96" customFormat="false" ht="26.25" hidden="false" customHeight="true" outlineLevel="0" collapsed="false">
      <c r="A96" s="30" t="s">
        <v>6737</v>
      </c>
      <c r="B96" s="30" t="s">
        <v>7380</v>
      </c>
      <c r="C96" s="20" t="s">
        <v>6731</v>
      </c>
      <c r="D96" s="20" t="s">
        <v>7459</v>
      </c>
      <c r="E96" s="30" t="s">
        <v>7454</v>
      </c>
      <c r="F96" s="20" t="s">
        <v>7460</v>
      </c>
      <c r="G96" s="30" t="s">
        <v>7456</v>
      </c>
      <c r="H96" s="6" t="s">
        <v>7461</v>
      </c>
      <c r="I96" s="253" t="s">
        <v>7458</v>
      </c>
      <c r="J96" s="253" t="s">
        <v>840</v>
      </c>
    </row>
    <row r="97" customFormat="false" ht="26.25" hidden="false" customHeight="true" outlineLevel="0" collapsed="false">
      <c r="A97" s="30" t="s">
        <v>7462</v>
      </c>
      <c r="B97" s="30" t="s">
        <v>7463</v>
      </c>
      <c r="C97" s="20" t="s">
        <v>7464</v>
      </c>
      <c r="D97" s="6" t="s">
        <v>7465</v>
      </c>
      <c r="E97" s="30" t="s">
        <v>7466</v>
      </c>
      <c r="F97" s="20" t="s">
        <v>7467</v>
      </c>
      <c r="G97" s="253" t="s">
        <v>7468</v>
      </c>
      <c r="H97" s="6" t="s">
        <v>7469</v>
      </c>
      <c r="I97" s="253" t="s">
        <v>7470</v>
      </c>
      <c r="J97" s="253" t="s">
        <v>840</v>
      </c>
    </row>
    <row r="98" customFormat="false" ht="26.25" hidden="false" customHeight="true" outlineLevel="0" collapsed="false">
      <c r="A98" s="30" t="s">
        <v>7471</v>
      </c>
      <c r="B98" s="30" t="s">
        <v>7463</v>
      </c>
      <c r="C98" s="6" t="s">
        <v>7472</v>
      </c>
      <c r="D98" s="6" t="s">
        <v>7473</v>
      </c>
      <c r="E98" s="30" t="s">
        <v>7466</v>
      </c>
      <c r="F98" s="20" t="s">
        <v>7467</v>
      </c>
      <c r="G98" s="253" t="s">
        <v>7468</v>
      </c>
      <c r="H98" s="6" t="s">
        <v>7474</v>
      </c>
      <c r="I98" s="253" t="s">
        <v>7470</v>
      </c>
      <c r="J98" s="253" t="s">
        <v>840</v>
      </c>
    </row>
    <row r="99" customFormat="false" ht="51.75" hidden="false" customHeight="true" outlineLevel="0" collapsed="false">
      <c r="A99" s="30" t="s">
        <v>5034</v>
      </c>
      <c r="B99" s="30" t="s">
        <v>7463</v>
      </c>
      <c r="C99" s="20" t="s">
        <v>7475</v>
      </c>
      <c r="D99" s="20" t="s">
        <v>7476</v>
      </c>
      <c r="E99" s="30" t="s">
        <v>7466</v>
      </c>
      <c r="F99" s="20" t="s">
        <v>7477</v>
      </c>
      <c r="G99" s="253" t="s">
        <v>7468</v>
      </c>
      <c r="H99" s="6" t="s">
        <v>7478</v>
      </c>
      <c r="I99" s="253" t="s">
        <v>7479</v>
      </c>
      <c r="J99" s="253" t="s">
        <v>840</v>
      </c>
    </row>
    <row r="100" customFormat="false" ht="39" hidden="false" customHeight="true" outlineLevel="0" collapsed="false">
      <c r="A100" s="30" t="s">
        <v>3291</v>
      </c>
      <c r="B100" s="30" t="s">
        <v>7463</v>
      </c>
      <c r="C100" s="20" t="s">
        <v>7480</v>
      </c>
      <c r="D100" s="20" t="s">
        <v>7481</v>
      </c>
      <c r="E100" s="30" t="s">
        <v>7466</v>
      </c>
      <c r="F100" s="20" t="s">
        <v>7482</v>
      </c>
      <c r="G100" s="253" t="s">
        <v>7468</v>
      </c>
      <c r="H100" s="6" t="s">
        <v>7483</v>
      </c>
      <c r="I100" s="253" t="s">
        <v>7479</v>
      </c>
      <c r="J100" s="253" t="s">
        <v>840</v>
      </c>
    </row>
    <row r="101" customFormat="false" ht="51.75" hidden="false" customHeight="true" outlineLevel="0" collapsed="false">
      <c r="A101" s="30" t="s">
        <v>5958</v>
      </c>
      <c r="B101" s="30" t="s">
        <v>7463</v>
      </c>
      <c r="C101" s="20" t="s">
        <v>7484</v>
      </c>
      <c r="D101" s="6" t="s">
        <v>7485</v>
      </c>
      <c r="E101" s="30" t="s">
        <v>7486</v>
      </c>
      <c r="F101" s="6" t="s">
        <v>7487</v>
      </c>
      <c r="G101" s="253" t="s">
        <v>7468</v>
      </c>
      <c r="H101" s="6" t="s">
        <v>7488</v>
      </c>
      <c r="I101" s="253" t="s">
        <v>7489</v>
      </c>
      <c r="J101" s="253" t="s">
        <v>812</v>
      </c>
    </row>
    <row r="102" customFormat="false" ht="39" hidden="false" customHeight="true" outlineLevel="0" collapsed="false">
      <c r="A102" s="30" t="s">
        <v>5410</v>
      </c>
      <c r="B102" s="30" t="s">
        <v>7463</v>
      </c>
      <c r="C102" s="6" t="s">
        <v>7490</v>
      </c>
      <c r="D102" s="6" t="s">
        <v>7491</v>
      </c>
      <c r="E102" s="30" t="s">
        <v>7486</v>
      </c>
      <c r="F102" s="6" t="s">
        <v>7492</v>
      </c>
      <c r="G102" s="253" t="s">
        <v>7468</v>
      </c>
      <c r="H102" s="6" t="s">
        <v>7493</v>
      </c>
      <c r="I102" s="253" t="s">
        <v>7494</v>
      </c>
      <c r="J102" s="253" t="s">
        <v>812</v>
      </c>
    </row>
    <row r="103" customFormat="false" ht="39" hidden="false" customHeight="true" outlineLevel="0" collapsed="false">
      <c r="A103" s="30" t="s">
        <v>5795</v>
      </c>
      <c r="B103" s="30" t="s">
        <v>7463</v>
      </c>
      <c r="C103" s="6" t="s">
        <v>7495</v>
      </c>
      <c r="D103" s="6" t="s">
        <v>7496</v>
      </c>
      <c r="E103" s="30" t="s">
        <v>7486</v>
      </c>
      <c r="F103" s="6" t="s">
        <v>7497</v>
      </c>
      <c r="G103" s="253" t="s">
        <v>7468</v>
      </c>
      <c r="H103" s="6" t="s">
        <v>7498</v>
      </c>
      <c r="I103" s="30" t="s">
        <v>7499</v>
      </c>
      <c r="J103" s="253" t="s">
        <v>812</v>
      </c>
    </row>
    <row r="104" customFormat="false" ht="26.25" hidden="false" customHeight="true" outlineLevel="0" collapsed="false">
      <c r="A104" s="30" t="s">
        <v>7500</v>
      </c>
      <c r="B104" s="30" t="s">
        <v>7463</v>
      </c>
      <c r="C104" s="6" t="s">
        <v>7501</v>
      </c>
      <c r="D104" s="20" t="s">
        <v>7502</v>
      </c>
      <c r="E104" s="30" t="s">
        <v>7466</v>
      </c>
      <c r="F104" s="20" t="s">
        <v>7503</v>
      </c>
      <c r="G104" s="253" t="s">
        <v>7468</v>
      </c>
      <c r="H104" s="6" t="s">
        <v>7504</v>
      </c>
      <c r="I104" s="253" t="s">
        <v>7505</v>
      </c>
      <c r="J104" s="253" t="s">
        <v>840</v>
      </c>
    </row>
    <row r="105" customFormat="false" ht="51.75" hidden="false" customHeight="true" outlineLevel="0" collapsed="false">
      <c r="A105" s="30" t="s">
        <v>5044</v>
      </c>
      <c r="B105" s="30" t="s">
        <v>7506</v>
      </c>
      <c r="C105" s="6" t="s">
        <v>7507</v>
      </c>
      <c r="D105" s="6" t="s">
        <v>7508</v>
      </c>
      <c r="E105" s="30" t="s">
        <v>7486</v>
      </c>
      <c r="F105" s="20" t="s">
        <v>7509</v>
      </c>
      <c r="G105" s="30" t="s">
        <v>7510</v>
      </c>
      <c r="H105" s="6" t="s">
        <v>7511</v>
      </c>
      <c r="I105" s="253" t="s">
        <v>7512</v>
      </c>
      <c r="J105" s="253" t="s">
        <v>840</v>
      </c>
    </row>
    <row r="106" customFormat="false" ht="51.75" hidden="false" customHeight="true" outlineLevel="0" collapsed="false">
      <c r="A106" s="30" t="s">
        <v>7513</v>
      </c>
      <c r="B106" s="30" t="s">
        <v>7506</v>
      </c>
      <c r="C106" s="6" t="s">
        <v>7514</v>
      </c>
      <c r="D106" s="6" t="s">
        <v>7515</v>
      </c>
      <c r="E106" s="30" t="s">
        <v>7486</v>
      </c>
      <c r="F106" s="20" t="s">
        <v>7516</v>
      </c>
      <c r="G106" s="30" t="s">
        <v>7510</v>
      </c>
      <c r="H106" s="6" t="s">
        <v>7517</v>
      </c>
      <c r="I106" s="253" t="s">
        <v>7518</v>
      </c>
      <c r="J106" s="253" t="s">
        <v>840</v>
      </c>
    </row>
    <row r="107" customFormat="false" ht="64.5" hidden="false" customHeight="true" outlineLevel="0" collapsed="false">
      <c r="A107" s="30" t="s">
        <v>7519</v>
      </c>
      <c r="B107" s="30" t="s">
        <v>7520</v>
      </c>
      <c r="C107" s="6" t="s">
        <v>7521</v>
      </c>
      <c r="D107" s="6" t="s">
        <v>7522</v>
      </c>
      <c r="E107" s="30" t="s">
        <v>7486</v>
      </c>
      <c r="F107" s="20" t="s">
        <v>7523</v>
      </c>
      <c r="G107" s="30" t="s">
        <v>7524</v>
      </c>
      <c r="H107" s="6" t="s">
        <v>7525</v>
      </c>
      <c r="I107" s="253" t="s">
        <v>7526</v>
      </c>
      <c r="J107" s="253" t="s">
        <v>840</v>
      </c>
    </row>
    <row r="108" customFormat="false" ht="51.75" hidden="false" customHeight="true" outlineLevel="0" collapsed="false">
      <c r="A108" s="30" t="s">
        <v>7527</v>
      </c>
      <c r="B108" s="30" t="s">
        <v>7520</v>
      </c>
      <c r="C108" s="6" t="s">
        <v>7528</v>
      </c>
      <c r="D108" s="6" t="s">
        <v>7529</v>
      </c>
      <c r="E108" s="30" t="s">
        <v>7486</v>
      </c>
      <c r="F108" s="20" t="s">
        <v>7530</v>
      </c>
      <c r="G108" s="30" t="s">
        <v>7531</v>
      </c>
      <c r="H108" s="6" t="s">
        <v>7532</v>
      </c>
      <c r="I108" s="253" t="s">
        <v>7533</v>
      </c>
      <c r="J108" s="253" t="s">
        <v>840</v>
      </c>
    </row>
    <row r="109" customFormat="false" ht="51.75" hidden="false" customHeight="true" outlineLevel="0" collapsed="false">
      <c r="A109" s="30" t="s">
        <v>7534</v>
      </c>
      <c r="B109" s="30" t="s">
        <v>7520</v>
      </c>
      <c r="C109" s="6" t="s">
        <v>7535</v>
      </c>
      <c r="D109" s="6" t="s">
        <v>7536</v>
      </c>
      <c r="E109" s="30" t="s">
        <v>7486</v>
      </c>
      <c r="F109" s="20" t="s">
        <v>7537</v>
      </c>
      <c r="G109" s="30" t="s">
        <v>7524</v>
      </c>
      <c r="H109" s="6" t="s">
        <v>7538</v>
      </c>
      <c r="I109" s="253" t="s">
        <v>7539</v>
      </c>
      <c r="J109" s="253" t="s">
        <v>840</v>
      </c>
    </row>
    <row r="110" customFormat="false" ht="51.75" hidden="false" customHeight="true" outlineLevel="0" collapsed="false">
      <c r="A110" s="30" t="s">
        <v>7540</v>
      </c>
      <c r="B110" s="30" t="s">
        <v>7541</v>
      </c>
      <c r="C110" s="6" t="s">
        <v>7542</v>
      </c>
      <c r="D110" s="6" t="s">
        <v>7543</v>
      </c>
      <c r="E110" s="30" t="s">
        <v>7486</v>
      </c>
      <c r="F110" s="20" t="s">
        <v>7544</v>
      </c>
      <c r="G110" s="30" t="s">
        <v>7545</v>
      </c>
      <c r="H110" s="6" t="s">
        <v>7546</v>
      </c>
      <c r="I110" s="253" t="s">
        <v>7547</v>
      </c>
      <c r="J110" s="253" t="s">
        <v>840</v>
      </c>
    </row>
    <row r="111" customFormat="false" ht="77.25" hidden="false" customHeight="true" outlineLevel="0" collapsed="false">
      <c r="A111" s="30" t="s">
        <v>5048</v>
      </c>
      <c r="B111" s="30" t="s">
        <v>7548</v>
      </c>
      <c r="C111" s="20" t="s">
        <v>7549</v>
      </c>
      <c r="D111" s="20" t="s">
        <v>7550</v>
      </c>
      <c r="E111" s="30" t="s">
        <v>7486</v>
      </c>
      <c r="F111" s="20" t="s">
        <v>7551</v>
      </c>
      <c r="G111" s="30" t="s">
        <v>7552</v>
      </c>
      <c r="H111" s="6" t="s">
        <v>7553</v>
      </c>
      <c r="I111" s="253" t="s">
        <v>7554</v>
      </c>
      <c r="J111" s="253" t="s">
        <v>840</v>
      </c>
    </row>
    <row r="112" customFormat="false" ht="51.75" hidden="false" customHeight="true" outlineLevel="0" collapsed="false">
      <c r="A112" s="30" t="s">
        <v>7555</v>
      </c>
      <c r="B112" s="30" t="s">
        <v>7548</v>
      </c>
      <c r="C112" s="6" t="s">
        <v>7556</v>
      </c>
      <c r="D112" s="6" t="s">
        <v>7557</v>
      </c>
      <c r="E112" s="30" t="s">
        <v>7486</v>
      </c>
      <c r="F112" s="20" t="s">
        <v>7558</v>
      </c>
      <c r="G112" s="30" t="s">
        <v>7552</v>
      </c>
      <c r="H112" s="6" t="s">
        <v>7559</v>
      </c>
      <c r="I112" s="253" t="s">
        <v>7560</v>
      </c>
      <c r="J112" s="253" t="s">
        <v>840</v>
      </c>
    </row>
    <row r="113" customFormat="false" ht="51.75" hidden="false" customHeight="true" outlineLevel="0" collapsed="false">
      <c r="A113" s="30" t="s">
        <v>7561</v>
      </c>
      <c r="B113" s="30" t="s">
        <v>7548</v>
      </c>
      <c r="C113" s="6" t="s">
        <v>7562</v>
      </c>
      <c r="D113" s="6" t="s">
        <v>7563</v>
      </c>
      <c r="E113" s="30" t="s">
        <v>7486</v>
      </c>
      <c r="F113" s="20" t="s">
        <v>7564</v>
      </c>
      <c r="G113" s="30" t="s">
        <v>7552</v>
      </c>
      <c r="H113" s="6" t="s">
        <v>7565</v>
      </c>
      <c r="I113" s="253" t="s">
        <v>7566</v>
      </c>
      <c r="J113" s="253" t="s">
        <v>840</v>
      </c>
    </row>
    <row r="114" customFormat="false" ht="141" hidden="false" customHeight="true" outlineLevel="0" collapsed="false">
      <c r="A114" s="30" t="s">
        <v>6775</v>
      </c>
      <c r="B114" s="30" t="s">
        <v>7567</v>
      </c>
      <c r="C114" s="6" t="s">
        <v>7568</v>
      </c>
      <c r="D114" s="6" t="s">
        <v>7569</v>
      </c>
      <c r="E114" s="30" t="s">
        <v>7570</v>
      </c>
      <c r="F114" s="20" t="s">
        <v>7571</v>
      </c>
      <c r="G114" s="30" t="s">
        <v>7572</v>
      </c>
      <c r="H114" s="6" t="s">
        <v>7573</v>
      </c>
      <c r="I114" s="253" t="s">
        <v>7574</v>
      </c>
      <c r="J114" s="253" t="s">
        <v>840</v>
      </c>
    </row>
    <row r="115" customFormat="false" ht="57.75" hidden="false" customHeight="true" outlineLevel="0" collapsed="false">
      <c r="A115" s="30" t="s">
        <v>7575</v>
      </c>
      <c r="B115" s="30" t="s">
        <v>7576</v>
      </c>
      <c r="C115" s="6" t="s">
        <v>7577</v>
      </c>
      <c r="D115" s="6" t="s">
        <v>7578</v>
      </c>
      <c r="E115" s="30" t="s">
        <v>7570</v>
      </c>
      <c r="F115" s="245" t="s">
        <v>7579</v>
      </c>
      <c r="G115" s="30" t="s">
        <v>7580</v>
      </c>
      <c r="H115" s="6" t="s">
        <v>7581</v>
      </c>
      <c r="I115" s="207" t="s">
        <v>7582</v>
      </c>
      <c r="J115" s="207" t="s">
        <v>840</v>
      </c>
    </row>
    <row r="116" customFormat="false" ht="213.75" hidden="false" customHeight="true" outlineLevel="0" collapsed="false">
      <c r="A116" s="30" t="s">
        <v>5781</v>
      </c>
      <c r="B116" s="30" t="s">
        <v>7576</v>
      </c>
      <c r="C116" s="6" t="s">
        <v>7583</v>
      </c>
      <c r="D116" s="6" t="s">
        <v>7584</v>
      </c>
      <c r="E116" s="30" t="s">
        <v>7570</v>
      </c>
      <c r="F116" s="245" t="s">
        <v>7579</v>
      </c>
      <c r="G116" s="30" t="s">
        <v>7580</v>
      </c>
      <c r="H116" s="6" t="s">
        <v>7585</v>
      </c>
      <c r="I116" s="207" t="s">
        <v>7586</v>
      </c>
      <c r="J116" s="207" t="s">
        <v>840</v>
      </c>
    </row>
    <row r="117" customFormat="false" ht="213.75" hidden="false" customHeight="true" outlineLevel="0" collapsed="false">
      <c r="A117" s="30" t="s">
        <v>7587</v>
      </c>
      <c r="B117" s="30" t="s">
        <v>7588</v>
      </c>
      <c r="C117" s="6" t="s">
        <v>7589</v>
      </c>
      <c r="D117" s="6" t="s">
        <v>7590</v>
      </c>
      <c r="E117" s="30" t="s">
        <v>4626</v>
      </c>
      <c r="F117" s="245" t="s">
        <v>7579</v>
      </c>
      <c r="G117" s="30" t="s">
        <v>7591</v>
      </c>
      <c r="H117" s="6" t="s">
        <v>7592</v>
      </c>
      <c r="I117" s="207" t="s">
        <v>7593</v>
      </c>
      <c r="J117" s="207" t="s">
        <v>840</v>
      </c>
    </row>
    <row r="118" customFormat="false" ht="54.75" hidden="false" customHeight="true" outlineLevel="0" collapsed="false">
      <c r="A118" s="30" t="s">
        <v>7594</v>
      </c>
      <c r="B118" s="30" t="s">
        <v>7595</v>
      </c>
      <c r="C118" s="6" t="s">
        <v>7596</v>
      </c>
      <c r="D118" s="6" t="s">
        <v>7597</v>
      </c>
      <c r="E118" s="30" t="s">
        <v>4626</v>
      </c>
      <c r="F118" s="6" t="s">
        <v>7598</v>
      </c>
      <c r="G118" s="30" t="s">
        <v>7599</v>
      </c>
      <c r="H118" s="6" t="s">
        <v>7600</v>
      </c>
      <c r="I118" s="207" t="s">
        <v>7601</v>
      </c>
      <c r="J118" s="207" t="s">
        <v>840</v>
      </c>
    </row>
    <row r="119" customFormat="false" ht="54.75" hidden="false" customHeight="true" outlineLevel="0" collapsed="false">
      <c r="A119" s="30" t="s">
        <v>7602</v>
      </c>
      <c r="B119" s="30" t="s">
        <v>7595</v>
      </c>
      <c r="C119" s="6" t="s">
        <v>7603</v>
      </c>
      <c r="D119" s="245" t="s">
        <v>7604</v>
      </c>
      <c r="E119" s="30" t="s">
        <v>4626</v>
      </c>
      <c r="F119" s="6" t="s">
        <v>7598</v>
      </c>
      <c r="G119" s="30" t="s">
        <v>7599</v>
      </c>
      <c r="H119" s="6" t="s">
        <v>7605</v>
      </c>
      <c r="I119" s="207" t="s">
        <v>7601</v>
      </c>
      <c r="J119" s="207" t="s">
        <v>840</v>
      </c>
    </row>
    <row r="120" customFormat="false" ht="72" hidden="false" customHeight="true" outlineLevel="0" collapsed="false">
      <c r="A120" s="30" t="s">
        <v>7606</v>
      </c>
      <c r="B120" s="30" t="s">
        <v>7595</v>
      </c>
      <c r="C120" s="6" t="s">
        <v>7607</v>
      </c>
      <c r="D120" s="6" t="s">
        <v>7608</v>
      </c>
      <c r="E120" s="30" t="s">
        <v>4626</v>
      </c>
      <c r="F120" s="6" t="s">
        <v>7598</v>
      </c>
      <c r="G120" s="30" t="s">
        <v>7599</v>
      </c>
      <c r="H120" s="6" t="s">
        <v>7609</v>
      </c>
      <c r="I120" s="207" t="s">
        <v>7601</v>
      </c>
      <c r="J120" s="207" t="s">
        <v>840</v>
      </c>
    </row>
    <row r="121" customFormat="false" ht="54.75" hidden="false" customHeight="true" outlineLevel="0" collapsed="false">
      <c r="A121" s="30" t="s">
        <v>7610</v>
      </c>
      <c r="B121" s="30" t="s">
        <v>7595</v>
      </c>
      <c r="C121" s="6" t="s">
        <v>7611</v>
      </c>
      <c r="D121" s="245" t="s">
        <v>7612</v>
      </c>
      <c r="E121" s="30" t="s">
        <v>4626</v>
      </c>
      <c r="F121" s="6" t="s">
        <v>7598</v>
      </c>
      <c r="G121" s="30" t="s">
        <v>7599</v>
      </c>
      <c r="H121" s="6" t="s">
        <v>7613</v>
      </c>
      <c r="I121" s="207" t="s">
        <v>7601</v>
      </c>
      <c r="J121" s="207" t="s">
        <v>840</v>
      </c>
    </row>
    <row r="122" customFormat="false" ht="54.75" hidden="false" customHeight="true" outlineLevel="0" collapsed="false">
      <c r="A122" s="30" t="s">
        <v>7614</v>
      </c>
      <c r="B122" s="30" t="s">
        <v>7595</v>
      </c>
      <c r="C122" s="6" t="s">
        <v>7615</v>
      </c>
      <c r="D122" s="6" t="s">
        <v>7616</v>
      </c>
      <c r="E122" s="30" t="s">
        <v>4626</v>
      </c>
      <c r="F122" s="6" t="s">
        <v>7598</v>
      </c>
      <c r="G122" s="30" t="s">
        <v>7599</v>
      </c>
      <c r="H122" s="6" t="s">
        <v>7617</v>
      </c>
      <c r="I122" s="207" t="s">
        <v>7601</v>
      </c>
      <c r="J122" s="207" t="s">
        <v>840</v>
      </c>
    </row>
    <row r="123" customFormat="false" ht="54.75" hidden="false" customHeight="true" outlineLevel="0" collapsed="false">
      <c r="A123" s="30" t="s">
        <v>7618</v>
      </c>
      <c r="B123" s="30" t="s">
        <v>7595</v>
      </c>
      <c r="C123" s="6" t="s">
        <v>7619</v>
      </c>
      <c r="D123" s="6" t="s">
        <v>7620</v>
      </c>
      <c r="E123" s="30" t="s">
        <v>4626</v>
      </c>
      <c r="F123" s="6" t="s">
        <v>7598</v>
      </c>
      <c r="G123" s="30" t="s">
        <v>7599</v>
      </c>
      <c r="H123" s="6" t="s">
        <v>7621</v>
      </c>
      <c r="I123" s="207" t="s">
        <v>7601</v>
      </c>
      <c r="J123" s="207" t="s">
        <v>840</v>
      </c>
    </row>
    <row r="124" customFormat="false" ht="54.75" hidden="false" customHeight="true" outlineLevel="0" collapsed="false">
      <c r="A124" s="30" t="s">
        <v>7622</v>
      </c>
      <c r="B124" s="30" t="s">
        <v>7595</v>
      </c>
      <c r="C124" s="6" t="s">
        <v>7623</v>
      </c>
      <c r="D124" s="245" t="s">
        <v>7624</v>
      </c>
      <c r="E124" s="30" t="s">
        <v>4626</v>
      </c>
      <c r="F124" s="6" t="s">
        <v>7598</v>
      </c>
      <c r="G124" s="30" t="s">
        <v>7599</v>
      </c>
      <c r="H124" s="6" t="s">
        <v>7625</v>
      </c>
      <c r="I124" s="207" t="s">
        <v>7601</v>
      </c>
      <c r="J124" s="207" t="s">
        <v>840</v>
      </c>
    </row>
    <row r="125" customFormat="false" ht="57.75" hidden="false" customHeight="true" outlineLevel="0" collapsed="false">
      <c r="A125" s="30" t="s">
        <v>7626</v>
      </c>
      <c r="B125" s="30" t="s">
        <v>7595</v>
      </c>
      <c r="C125" s="6" t="s">
        <v>7627</v>
      </c>
      <c r="D125" s="245" t="s">
        <v>7628</v>
      </c>
      <c r="E125" s="30" t="s">
        <v>4626</v>
      </c>
      <c r="F125" s="6" t="s">
        <v>7598</v>
      </c>
      <c r="G125" s="30" t="s">
        <v>7599</v>
      </c>
      <c r="H125" s="6" t="s">
        <v>7629</v>
      </c>
      <c r="I125" s="207" t="s">
        <v>7601</v>
      </c>
      <c r="J125" s="207" t="s">
        <v>840</v>
      </c>
    </row>
    <row r="126" customFormat="false" ht="54.75" hidden="false" customHeight="true" outlineLevel="0" collapsed="false">
      <c r="A126" s="30" t="s">
        <v>7630</v>
      </c>
      <c r="B126" s="30" t="s">
        <v>7595</v>
      </c>
      <c r="C126" s="6" t="s">
        <v>7631</v>
      </c>
      <c r="D126" s="6" t="s">
        <v>7632</v>
      </c>
      <c r="E126" s="30" t="s">
        <v>4626</v>
      </c>
      <c r="F126" s="6" t="s">
        <v>7598</v>
      </c>
      <c r="G126" s="30" t="s">
        <v>7599</v>
      </c>
      <c r="H126" s="6" t="s">
        <v>7633</v>
      </c>
      <c r="I126" s="207" t="s">
        <v>7601</v>
      </c>
      <c r="J126" s="207" t="s">
        <v>840</v>
      </c>
    </row>
    <row r="127" customFormat="false" ht="54.75" hidden="false" customHeight="true" outlineLevel="0" collapsed="false">
      <c r="A127" s="30" t="s">
        <v>7634</v>
      </c>
      <c r="B127" s="30" t="s">
        <v>7595</v>
      </c>
      <c r="C127" s="6" t="s">
        <v>7635</v>
      </c>
      <c r="D127" s="245" t="s">
        <v>7636</v>
      </c>
      <c r="E127" s="30" t="s">
        <v>4626</v>
      </c>
      <c r="F127" s="6" t="s">
        <v>7598</v>
      </c>
      <c r="G127" s="30" t="s">
        <v>7599</v>
      </c>
      <c r="H127" s="245" t="s">
        <v>7637</v>
      </c>
      <c r="I127" s="207" t="s">
        <v>7601</v>
      </c>
      <c r="J127" s="207" t="s">
        <v>840</v>
      </c>
    </row>
    <row r="128" customFormat="false" ht="114.75" hidden="false" customHeight="true" outlineLevel="0" collapsed="false">
      <c r="A128" s="30" t="s">
        <v>7638</v>
      </c>
      <c r="B128" s="30" t="s">
        <v>7595</v>
      </c>
      <c r="C128" s="6" t="s">
        <v>7639</v>
      </c>
      <c r="D128" s="245" t="s">
        <v>7640</v>
      </c>
      <c r="E128" s="30" t="s">
        <v>4626</v>
      </c>
      <c r="F128" s="6" t="s">
        <v>7641</v>
      </c>
      <c r="G128" s="30" t="s">
        <v>7599</v>
      </c>
      <c r="H128" s="6" t="s">
        <v>7642</v>
      </c>
      <c r="I128" s="207" t="s">
        <v>7601</v>
      </c>
      <c r="J128" s="207" t="s">
        <v>840</v>
      </c>
    </row>
    <row r="129" customFormat="false" ht="43.5" hidden="false" customHeight="true" outlineLevel="0" collapsed="false">
      <c r="A129" s="30" t="s">
        <v>7643</v>
      </c>
      <c r="B129" s="30" t="s">
        <v>7595</v>
      </c>
      <c r="C129" s="6" t="s">
        <v>7644</v>
      </c>
      <c r="D129" s="6" t="s">
        <v>7645</v>
      </c>
      <c r="E129" s="30" t="s">
        <v>4626</v>
      </c>
      <c r="F129" s="6" t="s">
        <v>7641</v>
      </c>
      <c r="G129" s="30" t="s">
        <v>7599</v>
      </c>
      <c r="H129" s="6" t="s">
        <v>7646</v>
      </c>
      <c r="I129" s="207" t="s">
        <v>7601</v>
      </c>
      <c r="J129" s="207" t="s">
        <v>840</v>
      </c>
    </row>
    <row r="130" customFormat="false" ht="69" hidden="false" customHeight="true" outlineLevel="0" collapsed="false">
      <c r="A130" s="30" t="s">
        <v>6781</v>
      </c>
      <c r="B130" s="30" t="s">
        <v>7595</v>
      </c>
      <c r="C130" s="6" t="s">
        <v>7647</v>
      </c>
      <c r="D130" s="6" t="s">
        <v>7648</v>
      </c>
      <c r="E130" s="30" t="s">
        <v>4626</v>
      </c>
      <c r="F130" s="6" t="s">
        <v>7641</v>
      </c>
      <c r="G130" s="30" t="s">
        <v>7649</v>
      </c>
      <c r="H130" s="6" t="s">
        <v>7650</v>
      </c>
      <c r="I130" s="207" t="s">
        <v>7601</v>
      </c>
      <c r="J130" s="207" t="s">
        <v>840</v>
      </c>
    </row>
    <row r="131" customFormat="false" ht="54.75" hidden="false" customHeight="true" outlineLevel="0" collapsed="false">
      <c r="A131" s="30" t="s">
        <v>3295</v>
      </c>
      <c r="B131" s="30" t="s">
        <v>7595</v>
      </c>
      <c r="C131" s="6" t="s">
        <v>7651</v>
      </c>
      <c r="D131" s="6" t="s">
        <v>7652</v>
      </c>
      <c r="E131" s="30" t="s">
        <v>4626</v>
      </c>
      <c r="F131" s="6" t="s">
        <v>7598</v>
      </c>
      <c r="G131" s="30" t="s">
        <v>7599</v>
      </c>
      <c r="H131" s="6" t="s">
        <v>7653</v>
      </c>
      <c r="I131" s="207" t="s">
        <v>7654</v>
      </c>
      <c r="J131" s="207" t="s">
        <v>840</v>
      </c>
    </row>
    <row r="132" customFormat="false" ht="86.25" hidden="false" customHeight="true" outlineLevel="0" collapsed="false">
      <c r="A132" s="30" t="s">
        <v>7655</v>
      </c>
      <c r="B132" s="30" t="s">
        <v>7656</v>
      </c>
      <c r="C132" s="6" t="s">
        <v>7657</v>
      </c>
      <c r="D132" s="6" t="s">
        <v>7658</v>
      </c>
      <c r="E132" s="30" t="s">
        <v>4626</v>
      </c>
      <c r="F132" s="6" t="s">
        <v>7659</v>
      </c>
      <c r="G132" s="30" t="s">
        <v>7660</v>
      </c>
      <c r="H132" s="6" t="s">
        <v>7661</v>
      </c>
      <c r="I132" s="207" t="s">
        <v>7662</v>
      </c>
      <c r="J132" s="207" t="s">
        <v>840</v>
      </c>
    </row>
    <row r="133" customFormat="false" ht="57.75" hidden="false" customHeight="true" outlineLevel="0" collapsed="false">
      <c r="A133" s="30" t="s">
        <v>7663</v>
      </c>
      <c r="B133" s="30" t="s">
        <v>7656</v>
      </c>
      <c r="C133" s="6" t="s">
        <v>7664</v>
      </c>
      <c r="D133" s="6" t="s">
        <v>7665</v>
      </c>
      <c r="E133" s="30" t="s">
        <v>4626</v>
      </c>
      <c r="F133" s="6" t="s">
        <v>7659</v>
      </c>
      <c r="G133" s="30" t="s">
        <v>7660</v>
      </c>
      <c r="H133" s="6" t="s">
        <v>7666</v>
      </c>
      <c r="I133" s="207" t="s">
        <v>7667</v>
      </c>
      <c r="J133" s="207" t="s">
        <v>840</v>
      </c>
    </row>
    <row r="134" customFormat="false" ht="57.75" hidden="false" customHeight="true" outlineLevel="0" collapsed="false">
      <c r="A134" s="30" t="s">
        <v>7668</v>
      </c>
      <c r="B134" s="30" t="s">
        <v>7656</v>
      </c>
      <c r="C134" s="6" t="s">
        <v>7669</v>
      </c>
      <c r="D134" s="6" t="s">
        <v>7670</v>
      </c>
      <c r="E134" s="30" t="s">
        <v>4626</v>
      </c>
      <c r="F134" s="6" t="s">
        <v>7659</v>
      </c>
      <c r="G134" s="30" t="s">
        <v>7660</v>
      </c>
      <c r="H134" s="6" t="s">
        <v>7671</v>
      </c>
      <c r="I134" s="207" t="s">
        <v>7672</v>
      </c>
      <c r="J134" s="207" t="s">
        <v>840</v>
      </c>
    </row>
    <row r="135" customFormat="false" ht="72" hidden="false" customHeight="true" outlineLevel="0" collapsed="false">
      <c r="A135" s="30" t="s">
        <v>5402</v>
      </c>
      <c r="B135" s="30" t="s">
        <v>7673</v>
      </c>
      <c r="C135" s="6" t="s">
        <v>7674</v>
      </c>
      <c r="D135" s="6" t="s">
        <v>7675</v>
      </c>
      <c r="E135" s="30" t="s">
        <v>4626</v>
      </c>
      <c r="F135" s="6" t="s">
        <v>7676</v>
      </c>
      <c r="G135" s="30" t="s">
        <v>7677</v>
      </c>
      <c r="H135" s="6" t="s">
        <v>7678</v>
      </c>
      <c r="I135" s="207" t="s">
        <v>7679</v>
      </c>
      <c r="J135" s="207" t="s">
        <v>840</v>
      </c>
    </row>
    <row r="136" customFormat="false" ht="72" hidden="false" customHeight="true" outlineLevel="0" collapsed="false">
      <c r="A136" s="30" t="s">
        <v>5300</v>
      </c>
      <c r="B136" s="30" t="s">
        <v>7673</v>
      </c>
      <c r="C136" s="6" t="s">
        <v>7680</v>
      </c>
      <c r="D136" s="6" t="s">
        <v>7681</v>
      </c>
      <c r="E136" s="30" t="s">
        <v>4626</v>
      </c>
      <c r="F136" s="6" t="s">
        <v>7676</v>
      </c>
      <c r="G136" s="30" t="s">
        <v>7677</v>
      </c>
      <c r="H136" s="6" t="s">
        <v>7682</v>
      </c>
      <c r="I136" s="207" t="s">
        <v>7683</v>
      </c>
      <c r="J136" s="207" t="s">
        <v>840</v>
      </c>
    </row>
    <row r="137" customFormat="false" ht="43.5" hidden="false" customHeight="true" outlineLevel="0" collapsed="false">
      <c r="A137" s="30" t="s">
        <v>6802</v>
      </c>
      <c r="B137" s="30" t="s">
        <v>7673</v>
      </c>
      <c r="C137" s="6" t="s">
        <v>7684</v>
      </c>
      <c r="D137" s="6" t="s">
        <v>7685</v>
      </c>
      <c r="E137" s="30" t="s">
        <v>4626</v>
      </c>
      <c r="F137" s="6" t="s">
        <v>7676</v>
      </c>
      <c r="G137" s="30" t="s">
        <v>7677</v>
      </c>
      <c r="H137" s="6" t="s">
        <v>7686</v>
      </c>
      <c r="I137" s="207" t="s">
        <v>7683</v>
      </c>
      <c r="J137" s="207" t="s">
        <v>840</v>
      </c>
    </row>
    <row r="138" customFormat="false" ht="57.75" hidden="false" customHeight="true" outlineLevel="0" collapsed="false">
      <c r="A138" s="30" t="s">
        <v>7687</v>
      </c>
      <c r="B138" s="30" t="s">
        <v>7673</v>
      </c>
      <c r="C138" s="6" t="s">
        <v>7688</v>
      </c>
      <c r="D138" s="6" t="s">
        <v>7689</v>
      </c>
      <c r="E138" s="30" t="s">
        <v>4626</v>
      </c>
      <c r="F138" s="6" t="s">
        <v>7676</v>
      </c>
      <c r="G138" s="30" t="s">
        <v>7677</v>
      </c>
      <c r="H138" s="6" t="s">
        <v>7690</v>
      </c>
      <c r="I138" s="207" t="s">
        <v>7691</v>
      </c>
      <c r="J138" s="207" t="s">
        <v>840</v>
      </c>
    </row>
    <row r="139" customFormat="false" ht="57.75" hidden="false" customHeight="true" outlineLevel="0" collapsed="false">
      <c r="A139" s="30" t="s">
        <v>7692</v>
      </c>
      <c r="B139" s="30" t="s">
        <v>7673</v>
      </c>
      <c r="C139" s="6" t="s">
        <v>7693</v>
      </c>
      <c r="D139" s="245" t="s">
        <v>7694</v>
      </c>
      <c r="E139" s="30" t="s">
        <v>4626</v>
      </c>
      <c r="F139" s="6" t="s">
        <v>7676</v>
      </c>
      <c r="G139" s="30" t="s">
        <v>7677</v>
      </c>
      <c r="H139" s="6" t="s">
        <v>7695</v>
      </c>
      <c r="I139" s="207" t="s">
        <v>7696</v>
      </c>
      <c r="J139" s="207" t="s">
        <v>840</v>
      </c>
    </row>
    <row r="140" customFormat="false" ht="143.25" hidden="false" customHeight="true" outlineLevel="0" collapsed="false">
      <c r="A140" s="30" t="s">
        <v>6826</v>
      </c>
      <c r="B140" s="30" t="s">
        <v>7697</v>
      </c>
      <c r="C140" s="6" t="s">
        <v>7698</v>
      </c>
      <c r="D140" s="6" t="s">
        <v>7699</v>
      </c>
      <c r="E140" s="30" t="s">
        <v>7700</v>
      </c>
      <c r="F140" s="6" t="s">
        <v>7701</v>
      </c>
      <c r="G140" s="30" t="s">
        <v>7702</v>
      </c>
      <c r="H140" s="6" t="s">
        <v>7703</v>
      </c>
      <c r="I140" s="207" t="s">
        <v>7704</v>
      </c>
      <c r="J140" s="207" t="s">
        <v>840</v>
      </c>
    </row>
    <row r="141" customFormat="false" ht="143.25" hidden="false" customHeight="true" outlineLevel="0" collapsed="false">
      <c r="A141" s="30" t="s">
        <v>7705</v>
      </c>
      <c r="B141" s="30" t="s">
        <v>7697</v>
      </c>
      <c r="C141" s="6" t="s">
        <v>7706</v>
      </c>
      <c r="D141" s="245" t="s">
        <v>7707</v>
      </c>
      <c r="E141" s="30" t="s">
        <v>7700</v>
      </c>
      <c r="F141" s="6" t="s">
        <v>7701</v>
      </c>
      <c r="G141" s="30" t="s">
        <v>7702</v>
      </c>
      <c r="H141" s="6" t="s">
        <v>7708</v>
      </c>
      <c r="I141" s="207" t="s">
        <v>7709</v>
      </c>
      <c r="J141" s="207" t="s">
        <v>840</v>
      </c>
    </row>
    <row r="142" customFormat="false" ht="143.25" hidden="false" customHeight="true" outlineLevel="0" collapsed="false">
      <c r="A142" s="30" t="s">
        <v>7710</v>
      </c>
      <c r="B142" s="30" t="s">
        <v>7697</v>
      </c>
      <c r="C142" s="6" t="s">
        <v>7711</v>
      </c>
      <c r="D142" s="6" t="s">
        <v>7712</v>
      </c>
      <c r="E142" s="30" t="s">
        <v>7700</v>
      </c>
      <c r="F142" s="6" t="s">
        <v>7701</v>
      </c>
      <c r="G142" s="30" t="s">
        <v>7702</v>
      </c>
      <c r="H142" s="6" t="s">
        <v>7713</v>
      </c>
      <c r="I142" s="207" t="s">
        <v>7714</v>
      </c>
      <c r="J142" s="207" t="s">
        <v>840</v>
      </c>
    </row>
    <row r="143" customFormat="false" ht="143.25" hidden="false" customHeight="true" outlineLevel="0" collapsed="false">
      <c r="A143" s="30" t="s">
        <v>7715</v>
      </c>
      <c r="B143" s="30" t="s">
        <v>7697</v>
      </c>
      <c r="C143" s="6" t="s">
        <v>7716</v>
      </c>
      <c r="D143" s="245" t="s">
        <v>7717</v>
      </c>
      <c r="E143" s="30" t="s">
        <v>7700</v>
      </c>
      <c r="F143" s="6" t="s">
        <v>7701</v>
      </c>
      <c r="G143" s="30" t="s">
        <v>7702</v>
      </c>
      <c r="H143" s="245" t="s">
        <v>7718</v>
      </c>
      <c r="I143" s="207" t="s">
        <v>7719</v>
      </c>
      <c r="J143" s="207" t="s">
        <v>840</v>
      </c>
    </row>
    <row r="144" customFormat="false" ht="143.25" hidden="false" customHeight="true" outlineLevel="0" collapsed="false">
      <c r="A144" s="30" t="s">
        <v>7720</v>
      </c>
      <c r="B144" s="30" t="s">
        <v>7697</v>
      </c>
      <c r="C144" s="6" t="s">
        <v>7721</v>
      </c>
      <c r="D144" s="245" t="s">
        <v>7722</v>
      </c>
      <c r="E144" s="30" t="s">
        <v>7700</v>
      </c>
      <c r="F144" s="6" t="s">
        <v>7701</v>
      </c>
      <c r="G144" s="30" t="s">
        <v>7702</v>
      </c>
      <c r="H144" s="6" t="s">
        <v>7723</v>
      </c>
      <c r="I144" s="207" t="s">
        <v>7709</v>
      </c>
      <c r="J144" s="207" t="s">
        <v>840</v>
      </c>
    </row>
    <row r="145" customFormat="false" ht="143.25" hidden="false" customHeight="true" outlineLevel="0" collapsed="false">
      <c r="A145" s="30" t="s">
        <v>7724</v>
      </c>
      <c r="B145" s="30" t="s">
        <v>7697</v>
      </c>
      <c r="C145" s="6" t="s">
        <v>7725</v>
      </c>
      <c r="D145" s="6" t="s">
        <v>7726</v>
      </c>
      <c r="E145" s="30" t="s">
        <v>7700</v>
      </c>
      <c r="F145" s="6" t="s">
        <v>7701</v>
      </c>
      <c r="G145" s="30" t="s">
        <v>7702</v>
      </c>
      <c r="H145" s="6" t="s">
        <v>7727</v>
      </c>
      <c r="I145" s="207" t="s">
        <v>7728</v>
      </c>
      <c r="J145" s="207" t="s">
        <v>840</v>
      </c>
    </row>
    <row r="146" customFormat="false" ht="143.25" hidden="false" customHeight="true" outlineLevel="0" collapsed="false">
      <c r="A146" s="30" t="s">
        <v>7729</v>
      </c>
      <c r="B146" s="30" t="s">
        <v>7730</v>
      </c>
      <c r="C146" s="6" t="s">
        <v>7731</v>
      </c>
      <c r="D146" s="245" t="s">
        <v>7732</v>
      </c>
      <c r="E146" s="30" t="s">
        <v>7733</v>
      </c>
      <c r="F146" s="6" t="s">
        <v>7734</v>
      </c>
      <c r="G146" s="30" t="s">
        <v>7735</v>
      </c>
      <c r="H146" s="6" t="s">
        <v>7736</v>
      </c>
      <c r="I146" s="207" t="s">
        <v>7737</v>
      </c>
      <c r="J146" s="207" t="s">
        <v>840</v>
      </c>
    </row>
    <row r="147" customFormat="false" ht="143.25" hidden="false" customHeight="true" outlineLevel="0" collapsed="false">
      <c r="A147" s="30" t="s">
        <v>7738</v>
      </c>
      <c r="B147" s="30" t="s">
        <v>7730</v>
      </c>
      <c r="C147" s="6" t="s">
        <v>7739</v>
      </c>
      <c r="D147" s="6" t="s">
        <v>7740</v>
      </c>
      <c r="E147" s="30" t="s">
        <v>7733</v>
      </c>
      <c r="F147" s="6" t="s">
        <v>7734</v>
      </c>
      <c r="G147" s="30" t="s">
        <v>7735</v>
      </c>
      <c r="H147" s="6" t="s">
        <v>7741</v>
      </c>
      <c r="I147" s="207" t="s">
        <v>7742</v>
      </c>
      <c r="J147" s="207" t="s">
        <v>840</v>
      </c>
    </row>
    <row r="148" customFormat="false" ht="143.25" hidden="false" customHeight="true" outlineLevel="0" collapsed="false">
      <c r="A148" s="30" t="s">
        <v>7743</v>
      </c>
      <c r="B148" s="30" t="s">
        <v>7730</v>
      </c>
      <c r="C148" s="6" t="s">
        <v>7744</v>
      </c>
      <c r="D148" s="6" t="s">
        <v>7745</v>
      </c>
      <c r="E148" s="30" t="s">
        <v>7733</v>
      </c>
      <c r="F148" s="6" t="s">
        <v>7734</v>
      </c>
      <c r="G148" s="30" t="s">
        <v>7735</v>
      </c>
      <c r="H148" s="6" t="s">
        <v>7746</v>
      </c>
      <c r="I148" s="207" t="s">
        <v>7742</v>
      </c>
      <c r="J148" s="207" t="s">
        <v>840</v>
      </c>
    </row>
    <row r="149" customFormat="false" ht="143.25" hidden="false" customHeight="true" outlineLevel="0" collapsed="false">
      <c r="A149" s="30" t="s">
        <v>6744</v>
      </c>
      <c r="B149" s="30" t="s">
        <v>7730</v>
      </c>
      <c r="C149" s="6" t="s">
        <v>7747</v>
      </c>
      <c r="D149" s="6" t="s">
        <v>7748</v>
      </c>
      <c r="E149" s="30" t="s">
        <v>7733</v>
      </c>
      <c r="F149" s="6" t="s">
        <v>7734</v>
      </c>
      <c r="G149" s="30" t="s">
        <v>7735</v>
      </c>
      <c r="H149" s="6" t="s">
        <v>7749</v>
      </c>
      <c r="I149" s="207" t="s">
        <v>7750</v>
      </c>
      <c r="J149" s="207" t="s">
        <v>840</v>
      </c>
    </row>
    <row r="150" customFormat="false" ht="143.25" hidden="false" customHeight="true" outlineLevel="0" collapsed="false">
      <c r="A150" s="30" t="s">
        <v>6846</v>
      </c>
      <c r="B150" s="30" t="s">
        <v>7730</v>
      </c>
      <c r="C150" s="6" t="s">
        <v>7751</v>
      </c>
      <c r="D150" s="245" t="s">
        <v>7752</v>
      </c>
      <c r="E150" s="30" t="s">
        <v>7733</v>
      </c>
      <c r="F150" s="6" t="s">
        <v>7734</v>
      </c>
      <c r="G150" s="30" t="s">
        <v>7735</v>
      </c>
      <c r="H150" s="6" t="s">
        <v>7753</v>
      </c>
      <c r="I150" s="207" t="s">
        <v>7754</v>
      </c>
      <c r="J150" s="207" t="s">
        <v>840</v>
      </c>
    </row>
    <row r="151" customFormat="false" ht="143.25" hidden="false" customHeight="true" outlineLevel="0" collapsed="false">
      <c r="A151" s="30" t="s">
        <v>7755</v>
      </c>
      <c r="B151" s="30" t="s">
        <v>7730</v>
      </c>
      <c r="C151" s="6" t="s">
        <v>7756</v>
      </c>
      <c r="D151" s="245" t="s">
        <v>7757</v>
      </c>
      <c r="E151" s="30" t="s">
        <v>7733</v>
      </c>
      <c r="F151" s="6" t="s">
        <v>7734</v>
      </c>
      <c r="G151" s="30" t="s">
        <v>7735</v>
      </c>
      <c r="H151" s="6" t="s">
        <v>7758</v>
      </c>
      <c r="I151" s="207" t="s">
        <v>7750</v>
      </c>
      <c r="J151" s="207" t="s">
        <v>840</v>
      </c>
    </row>
    <row r="152" customFormat="false" ht="143.25" hidden="false" customHeight="true" outlineLevel="0" collapsed="false">
      <c r="A152" s="30" t="s">
        <v>7759</v>
      </c>
      <c r="B152" s="30" t="s">
        <v>7730</v>
      </c>
      <c r="C152" s="6" t="s">
        <v>7760</v>
      </c>
      <c r="D152" s="6" t="s">
        <v>7761</v>
      </c>
      <c r="E152" s="30" t="s">
        <v>7733</v>
      </c>
      <c r="F152" s="6" t="s">
        <v>7734</v>
      </c>
      <c r="G152" s="30" t="s">
        <v>7735</v>
      </c>
      <c r="H152" s="6" t="s">
        <v>7762</v>
      </c>
      <c r="I152" s="207" t="s">
        <v>7750</v>
      </c>
      <c r="J152" s="207" t="s">
        <v>840</v>
      </c>
    </row>
    <row r="153" customFormat="false" ht="143.25" hidden="false" customHeight="true" outlineLevel="0" collapsed="false">
      <c r="A153" s="30" t="s">
        <v>7763</v>
      </c>
      <c r="B153" s="30" t="s">
        <v>7730</v>
      </c>
      <c r="C153" s="6" t="s">
        <v>7764</v>
      </c>
      <c r="D153" s="6" t="s">
        <v>7765</v>
      </c>
      <c r="E153" s="30" t="s">
        <v>7733</v>
      </c>
      <c r="F153" s="6" t="s">
        <v>7734</v>
      </c>
      <c r="G153" s="30" t="s">
        <v>7735</v>
      </c>
      <c r="H153" s="6" t="s">
        <v>7766</v>
      </c>
      <c r="I153" s="207" t="s">
        <v>7767</v>
      </c>
      <c r="J153" s="207" t="s">
        <v>840</v>
      </c>
    </row>
    <row r="154" customFormat="false" ht="199.5" hidden="false" customHeight="true" outlineLevel="0" collapsed="false">
      <c r="A154" s="30" t="s">
        <v>7768</v>
      </c>
      <c r="B154" s="30" t="s">
        <v>7769</v>
      </c>
      <c r="C154" s="6" t="s">
        <v>7770</v>
      </c>
      <c r="D154" s="6" t="s">
        <v>7771</v>
      </c>
      <c r="E154" s="30" t="s">
        <v>7772</v>
      </c>
      <c r="F154" s="6" t="s">
        <v>7773</v>
      </c>
      <c r="G154" s="30" t="s">
        <v>7774</v>
      </c>
      <c r="H154" s="6" t="s">
        <v>7775</v>
      </c>
      <c r="I154" s="207" t="s">
        <v>7776</v>
      </c>
      <c r="J154" s="207" t="s">
        <v>840</v>
      </c>
    </row>
    <row r="155" customFormat="false" ht="199.5" hidden="false" customHeight="true" outlineLevel="0" collapsed="false">
      <c r="A155" s="30" t="s">
        <v>7777</v>
      </c>
      <c r="B155" s="30" t="s">
        <v>7769</v>
      </c>
      <c r="C155" s="6" t="s">
        <v>7778</v>
      </c>
      <c r="D155" s="245" t="s">
        <v>7779</v>
      </c>
      <c r="E155" s="30" t="s">
        <v>7772</v>
      </c>
      <c r="F155" s="6" t="s">
        <v>7773</v>
      </c>
      <c r="G155" s="30" t="s">
        <v>7774</v>
      </c>
      <c r="H155" s="6" t="s">
        <v>7780</v>
      </c>
      <c r="I155" s="207" t="s">
        <v>7781</v>
      </c>
      <c r="J155" s="207" t="s">
        <v>840</v>
      </c>
    </row>
    <row r="156" customFormat="false" ht="199.5" hidden="false" customHeight="true" outlineLevel="0" collapsed="false">
      <c r="A156" s="30" t="s">
        <v>6882</v>
      </c>
      <c r="B156" s="30" t="s">
        <v>7769</v>
      </c>
      <c r="C156" s="6" t="s">
        <v>7782</v>
      </c>
      <c r="D156" s="6" t="s">
        <v>7783</v>
      </c>
      <c r="E156" s="30" t="s">
        <v>7772</v>
      </c>
      <c r="F156" s="6" t="s">
        <v>7773</v>
      </c>
      <c r="G156" s="30" t="s">
        <v>7774</v>
      </c>
      <c r="H156" s="6" t="s">
        <v>7784</v>
      </c>
      <c r="I156" s="207" t="s">
        <v>7785</v>
      </c>
      <c r="J156" s="207" t="s">
        <v>840</v>
      </c>
    </row>
    <row r="157" customFormat="false" ht="199.5" hidden="false" customHeight="true" outlineLevel="0" collapsed="false">
      <c r="A157" s="30" t="s">
        <v>6857</v>
      </c>
      <c r="B157" s="30" t="s">
        <v>7769</v>
      </c>
      <c r="C157" s="6" t="s">
        <v>7786</v>
      </c>
      <c r="D157" s="6" t="s">
        <v>7787</v>
      </c>
      <c r="E157" s="30" t="s">
        <v>7772</v>
      </c>
      <c r="F157" s="6" t="s">
        <v>7773</v>
      </c>
      <c r="G157" s="30" t="s">
        <v>7774</v>
      </c>
      <c r="H157" s="6" t="s">
        <v>7788</v>
      </c>
      <c r="I157" s="207" t="s">
        <v>7789</v>
      </c>
      <c r="J157" s="207" t="s">
        <v>840</v>
      </c>
    </row>
    <row r="158" customFormat="false" ht="199.5" hidden="false" customHeight="true" outlineLevel="0" collapsed="false">
      <c r="A158" s="30" t="s">
        <v>6866</v>
      </c>
      <c r="B158" s="30" t="s">
        <v>7769</v>
      </c>
      <c r="C158" s="6" t="s">
        <v>7790</v>
      </c>
      <c r="D158" s="245" t="s">
        <v>7791</v>
      </c>
      <c r="E158" s="30" t="s">
        <v>7772</v>
      </c>
      <c r="F158" s="6" t="s">
        <v>7773</v>
      </c>
      <c r="G158" s="30" t="s">
        <v>7774</v>
      </c>
      <c r="H158" s="6" t="s">
        <v>7792</v>
      </c>
      <c r="I158" s="207" t="s">
        <v>7793</v>
      </c>
      <c r="J158" s="207" t="s">
        <v>840</v>
      </c>
    </row>
    <row r="159" customFormat="false" ht="199.5" hidden="false" customHeight="true" outlineLevel="0" collapsed="false">
      <c r="A159" s="30" t="s">
        <v>6190</v>
      </c>
      <c r="B159" s="30" t="s">
        <v>7769</v>
      </c>
      <c r="C159" s="6" t="s">
        <v>7794</v>
      </c>
      <c r="D159" s="245" t="s">
        <v>7795</v>
      </c>
      <c r="E159" s="30" t="s">
        <v>7772</v>
      </c>
      <c r="F159" s="6" t="s">
        <v>7773</v>
      </c>
      <c r="G159" s="30" t="s">
        <v>7774</v>
      </c>
      <c r="H159" s="6" t="s">
        <v>7796</v>
      </c>
      <c r="I159" s="207" t="s">
        <v>7797</v>
      </c>
      <c r="J159" s="207" t="s">
        <v>840</v>
      </c>
    </row>
    <row r="160" customFormat="false" ht="199.5" hidden="false" customHeight="true" outlineLevel="0" collapsed="false">
      <c r="A160" s="30" t="s">
        <v>7798</v>
      </c>
      <c r="B160" s="30" t="s">
        <v>7769</v>
      </c>
      <c r="C160" s="6" t="s">
        <v>7799</v>
      </c>
      <c r="D160" s="245" t="s">
        <v>7800</v>
      </c>
      <c r="E160" s="30" t="s">
        <v>7772</v>
      </c>
      <c r="F160" s="6" t="s">
        <v>7773</v>
      </c>
      <c r="G160" s="30" t="s">
        <v>7774</v>
      </c>
      <c r="H160" s="6" t="s">
        <v>7801</v>
      </c>
      <c r="I160" s="207" t="s">
        <v>7793</v>
      </c>
      <c r="J160" s="207" t="s">
        <v>840</v>
      </c>
    </row>
    <row r="161" customFormat="false" ht="129" hidden="false" customHeight="true" outlineLevel="0" collapsed="false">
      <c r="A161" s="30" t="s">
        <v>6949</v>
      </c>
      <c r="B161" s="30" t="s">
        <v>7802</v>
      </c>
      <c r="C161" s="6" t="s">
        <v>7803</v>
      </c>
      <c r="D161" s="245" t="s">
        <v>7804</v>
      </c>
      <c r="E161" s="30" t="s">
        <v>7772</v>
      </c>
      <c r="F161" s="6" t="s">
        <v>7805</v>
      </c>
      <c r="G161" s="30" t="s">
        <v>7806</v>
      </c>
      <c r="H161" s="6" t="s">
        <v>7807</v>
      </c>
      <c r="I161" s="207" t="s">
        <v>7808</v>
      </c>
      <c r="J161" s="207" t="s">
        <v>840</v>
      </c>
    </row>
    <row r="162" customFormat="false" ht="129" hidden="false" customHeight="true" outlineLevel="0" collapsed="false">
      <c r="A162" s="30" t="s">
        <v>6977</v>
      </c>
      <c r="B162" s="30" t="s">
        <v>7802</v>
      </c>
      <c r="C162" s="6" t="s">
        <v>7809</v>
      </c>
      <c r="D162" s="6" t="s">
        <v>7810</v>
      </c>
      <c r="E162" s="30" t="s">
        <v>7772</v>
      </c>
      <c r="F162" s="6" t="s">
        <v>7805</v>
      </c>
      <c r="G162" s="30" t="s">
        <v>7806</v>
      </c>
      <c r="H162" s="6" t="s">
        <v>7811</v>
      </c>
      <c r="I162" s="207" t="s">
        <v>7812</v>
      </c>
      <c r="J162" s="207" t="s">
        <v>840</v>
      </c>
    </row>
    <row r="163" customFormat="false" ht="143.25" hidden="false" customHeight="true" outlineLevel="0" collapsed="false">
      <c r="A163" s="30" t="s">
        <v>7813</v>
      </c>
      <c r="B163" s="30" t="s">
        <v>7802</v>
      </c>
      <c r="C163" s="6" t="s">
        <v>7814</v>
      </c>
      <c r="D163" s="6" t="s">
        <v>7815</v>
      </c>
      <c r="E163" s="30" t="s">
        <v>7772</v>
      </c>
      <c r="F163" s="6" t="s">
        <v>7805</v>
      </c>
      <c r="G163" s="30" t="s">
        <v>7806</v>
      </c>
      <c r="H163" s="6" t="s">
        <v>7816</v>
      </c>
      <c r="I163" s="207" t="s">
        <v>7817</v>
      </c>
      <c r="J163" s="207" t="s">
        <v>840</v>
      </c>
    </row>
    <row r="164" customFormat="false" ht="143.25" hidden="false" customHeight="true" outlineLevel="0" collapsed="false">
      <c r="A164" s="30" t="s">
        <v>7818</v>
      </c>
      <c r="B164" s="30" t="s">
        <v>7819</v>
      </c>
      <c r="C164" s="6" t="s">
        <v>7820</v>
      </c>
      <c r="D164" s="245" t="s">
        <v>7821</v>
      </c>
      <c r="E164" s="30" t="s">
        <v>7822</v>
      </c>
      <c r="F164" s="6" t="s">
        <v>7823</v>
      </c>
      <c r="G164" s="30" t="s">
        <v>7824</v>
      </c>
      <c r="H164" s="6" t="s">
        <v>7825</v>
      </c>
      <c r="I164" s="207" t="s">
        <v>7826</v>
      </c>
      <c r="J164" s="207" t="s">
        <v>840</v>
      </c>
    </row>
    <row r="165" customFormat="false" ht="129" hidden="false" customHeight="true" outlineLevel="0" collapsed="false">
      <c r="A165" s="30" t="s">
        <v>7827</v>
      </c>
      <c r="B165" s="30" t="s">
        <v>7819</v>
      </c>
      <c r="C165" s="6" t="s">
        <v>7828</v>
      </c>
      <c r="D165" s="6" t="s">
        <v>7829</v>
      </c>
      <c r="E165" s="30" t="s">
        <v>7822</v>
      </c>
      <c r="F165" s="6" t="s">
        <v>7823</v>
      </c>
      <c r="G165" s="30" t="s">
        <v>7824</v>
      </c>
      <c r="H165" s="6" t="s">
        <v>7830</v>
      </c>
      <c r="I165" s="207" t="s">
        <v>7831</v>
      </c>
      <c r="J165" s="207" t="s">
        <v>840</v>
      </c>
    </row>
    <row r="166" customFormat="false" ht="129" hidden="false" customHeight="true" outlineLevel="0" collapsed="false">
      <c r="A166" s="30" t="s">
        <v>6993</v>
      </c>
      <c r="B166" s="30" t="s">
        <v>7819</v>
      </c>
      <c r="C166" s="6" t="s">
        <v>7832</v>
      </c>
      <c r="D166" s="6" t="s">
        <v>7833</v>
      </c>
      <c r="E166" s="30" t="s">
        <v>7822</v>
      </c>
      <c r="F166" s="6" t="s">
        <v>7823</v>
      </c>
      <c r="G166" s="30" t="s">
        <v>7824</v>
      </c>
      <c r="H166" s="6" t="s">
        <v>7834</v>
      </c>
      <c r="I166" s="207" t="s">
        <v>7835</v>
      </c>
      <c r="J166" s="207" t="s">
        <v>840</v>
      </c>
    </row>
    <row r="167" customFormat="false" ht="100.5" hidden="false" customHeight="true" outlineLevel="0" collapsed="false">
      <c r="A167" s="30" t="s">
        <v>7836</v>
      </c>
      <c r="B167" s="30" t="s">
        <v>7837</v>
      </c>
      <c r="C167" s="245" t="s">
        <v>7838</v>
      </c>
      <c r="D167" s="6" t="s">
        <v>7839</v>
      </c>
      <c r="E167" s="30" t="s">
        <v>7822</v>
      </c>
      <c r="F167" s="6" t="s">
        <v>7840</v>
      </c>
      <c r="G167" s="30" t="s">
        <v>7841</v>
      </c>
      <c r="H167" s="6" t="s">
        <v>7842</v>
      </c>
      <c r="I167" s="207" t="s">
        <v>7843</v>
      </c>
      <c r="J167" s="207" t="s">
        <v>840</v>
      </c>
    </row>
    <row r="168" customFormat="false" ht="129" hidden="false" customHeight="true" outlineLevel="0" collapsed="false">
      <c r="A168" s="30" t="s">
        <v>7844</v>
      </c>
      <c r="B168" s="30" t="s">
        <v>7837</v>
      </c>
      <c r="C168" s="245" t="s">
        <v>7845</v>
      </c>
      <c r="D168" s="6" t="s">
        <v>7846</v>
      </c>
      <c r="E168" s="30" t="s">
        <v>7822</v>
      </c>
      <c r="F168" s="6" t="s">
        <v>7840</v>
      </c>
      <c r="G168" s="30" t="s">
        <v>7847</v>
      </c>
      <c r="H168" s="6" t="s">
        <v>7848</v>
      </c>
      <c r="I168" s="207" t="s">
        <v>7849</v>
      </c>
      <c r="J168" s="207" t="s">
        <v>840</v>
      </c>
    </row>
    <row r="169" customFormat="false" ht="57.75" hidden="false" customHeight="true" outlineLevel="0" collapsed="false">
      <c r="A169" s="30" t="s">
        <v>7850</v>
      </c>
      <c r="B169" s="30" t="s">
        <v>7837</v>
      </c>
      <c r="C169" s="245" t="s">
        <v>7851</v>
      </c>
      <c r="D169" s="6" t="s">
        <v>7852</v>
      </c>
      <c r="E169" s="30" t="s">
        <v>7822</v>
      </c>
      <c r="F169" s="6" t="s">
        <v>7840</v>
      </c>
      <c r="G169" s="30" t="s">
        <v>7841</v>
      </c>
      <c r="H169" s="6" t="s">
        <v>7853</v>
      </c>
      <c r="I169" s="207" t="s">
        <v>7854</v>
      </c>
      <c r="J169" s="207" t="s">
        <v>840</v>
      </c>
    </row>
    <row r="170" customFormat="false" ht="72" hidden="false" customHeight="true" outlineLevel="0" collapsed="false">
      <c r="A170" s="30" t="s">
        <v>6750</v>
      </c>
      <c r="B170" s="30" t="s">
        <v>7855</v>
      </c>
      <c r="C170" s="245" t="s">
        <v>7856</v>
      </c>
      <c r="D170" s="6" t="s">
        <v>7857</v>
      </c>
      <c r="E170" s="30" t="s">
        <v>7822</v>
      </c>
      <c r="F170" s="6" t="s">
        <v>7858</v>
      </c>
      <c r="G170" s="30" t="s">
        <v>7859</v>
      </c>
      <c r="H170" s="6" t="s">
        <v>7860</v>
      </c>
      <c r="I170" s="207" t="s">
        <v>7861</v>
      </c>
      <c r="J170" s="207" t="s">
        <v>840</v>
      </c>
    </row>
    <row r="171" customFormat="false" ht="72" hidden="false" customHeight="true" outlineLevel="0" collapsed="false">
      <c r="A171" s="30" t="s">
        <v>7862</v>
      </c>
      <c r="B171" s="30" t="s">
        <v>7855</v>
      </c>
      <c r="C171" s="245" t="s">
        <v>7863</v>
      </c>
      <c r="D171" s="6" t="s">
        <v>7864</v>
      </c>
      <c r="E171" s="30" t="s">
        <v>7822</v>
      </c>
      <c r="F171" s="6" t="s">
        <v>7858</v>
      </c>
      <c r="G171" s="30" t="s">
        <v>7859</v>
      </c>
      <c r="H171" s="6" t="s">
        <v>7865</v>
      </c>
      <c r="I171" s="207" t="s">
        <v>7866</v>
      </c>
      <c r="J171" s="207" t="s">
        <v>840</v>
      </c>
    </row>
    <row r="172" customFormat="false" ht="57.75" hidden="false" customHeight="true" outlineLevel="0" collapsed="false">
      <c r="A172" s="30" t="s">
        <v>7867</v>
      </c>
      <c r="B172" s="30" t="s">
        <v>7855</v>
      </c>
      <c r="C172" s="245" t="s">
        <v>7868</v>
      </c>
      <c r="D172" s="6" t="s">
        <v>7869</v>
      </c>
      <c r="E172" s="30" t="s">
        <v>7822</v>
      </c>
      <c r="F172" s="6" t="s">
        <v>7858</v>
      </c>
      <c r="G172" s="30" t="s">
        <v>7859</v>
      </c>
      <c r="H172" s="6" t="s">
        <v>7870</v>
      </c>
      <c r="I172" s="207" t="s">
        <v>7871</v>
      </c>
      <c r="J172" s="207" t="s">
        <v>840</v>
      </c>
    </row>
    <row r="173" customFormat="false" ht="114.75" hidden="false" customHeight="true" outlineLevel="0" collapsed="false">
      <c r="A173" s="30" t="s">
        <v>7872</v>
      </c>
      <c r="B173" s="30" t="s">
        <v>7855</v>
      </c>
      <c r="C173" s="245" t="s">
        <v>7873</v>
      </c>
      <c r="D173" s="6" t="s">
        <v>7874</v>
      </c>
      <c r="E173" s="30" t="s">
        <v>7822</v>
      </c>
      <c r="F173" s="6" t="s">
        <v>7858</v>
      </c>
      <c r="G173" s="30" t="s">
        <v>7859</v>
      </c>
      <c r="H173" s="6" t="s">
        <v>7875</v>
      </c>
      <c r="I173" s="207" t="s">
        <v>7876</v>
      </c>
      <c r="J173" s="207" t="s">
        <v>840</v>
      </c>
    </row>
    <row r="174" customFormat="false" ht="57.75" hidden="false" customHeight="true" outlineLevel="0" collapsed="false">
      <c r="A174" s="30" t="s">
        <v>6342</v>
      </c>
      <c r="B174" s="30" t="s">
        <v>7855</v>
      </c>
      <c r="C174" s="245" t="s">
        <v>7877</v>
      </c>
      <c r="D174" s="245" t="s">
        <v>7878</v>
      </c>
      <c r="E174" s="30" t="s">
        <v>7822</v>
      </c>
      <c r="F174" s="6" t="s">
        <v>7858</v>
      </c>
      <c r="G174" s="30" t="s">
        <v>7859</v>
      </c>
      <c r="H174" s="6" t="s">
        <v>7879</v>
      </c>
      <c r="I174" s="207" t="s">
        <v>7880</v>
      </c>
      <c r="J174" s="207" t="s">
        <v>840</v>
      </c>
    </row>
    <row r="175" customFormat="false" ht="57.75" hidden="false" customHeight="true" outlineLevel="0" collapsed="false">
      <c r="A175" s="30" t="s">
        <v>5248</v>
      </c>
      <c r="B175" s="30" t="s">
        <v>7855</v>
      </c>
      <c r="C175" s="245" t="s">
        <v>7881</v>
      </c>
      <c r="D175" s="6" t="s">
        <v>7882</v>
      </c>
      <c r="E175" s="30" t="s">
        <v>7822</v>
      </c>
      <c r="F175" s="6" t="s">
        <v>7858</v>
      </c>
      <c r="G175" s="30" t="s">
        <v>7859</v>
      </c>
      <c r="H175" s="6" t="s">
        <v>7883</v>
      </c>
      <c r="I175" s="207" t="s">
        <v>7884</v>
      </c>
      <c r="J175" s="207" t="s">
        <v>840</v>
      </c>
    </row>
    <row r="176" customFormat="false" ht="114.75" hidden="false" customHeight="true" outlineLevel="0" collapsed="false">
      <c r="A176" s="30" t="s">
        <v>7038</v>
      </c>
      <c r="B176" s="30" t="s">
        <v>7885</v>
      </c>
      <c r="C176" s="245" t="s">
        <v>7886</v>
      </c>
      <c r="D176" s="6" t="s">
        <v>7887</v>
      </c>
      <c r="E176" s="30" t="s">
        <v>7888</v>
      </c>
      <c r="F176" s="6" t="s">
        <v>7889</v>
      </c>
      <c r="G176" s="30" t="s">
        <v>7890</v>
      </c>
      <c r="H176" s="6" t="s">
        <v>7891</v>
      </c>
      <c r="I176" s="207" t="s">
        <v>7892</v>
      </c>
      <c r="J176" s="207" t="s">
        <v>840</v>
      </c>
    </row>
    <row r="177" customFormat="false" ht="100.5" hidden="false" customHeight="true" outlineLevel="0" collapsed="false">
      <c r="A177" s="30" t="s">
        <v>5772</v>
      </c>
      <c r="B177" s="30" t="s">
        <v>7885</v>
      </c>
      <c r="C177" s="245" t="s">
        <v>7893</v>
      </c>
      <c r="D177" s="6" t="s">
        <v>7894</v>
      </c>
      <c r="E177" s="30" t="s">
        <v>7888</v>
      </c>
      <c r="F177" s="6" t="s">
        <v>7889</v>
      </c>
      <c r="G177" s="30" t="s">
        <v>7890</v>
      </c>
      <c r="H177" s="6" t="s">
        <v>7895</v>
      </c>
      <c r="I177" s="207" t="s">
        <v>7896</v>
      </c>
      <c r="J177" s="207" t="s">
        <v>840</v>
      </c>
    </row>
    <row r="178" customFormat="false" ht="86.25" hidden="false" customHeight="true" outlineLevel="0" collapsed="false">
      <c r="A178" s="30" t="s">
        <v>7897</v>
      </c>
      <c r="B178" s="30" t="s">
        <v>7885</v>
      </c>
      <c r="C178" s="245" t="s">
        <v>7898</v>
      </c>
      <c r="D178" s="245" t="s">
        <v>7899</v>
      </c>
      <c r="E178" s="30" t="s">
        <v>7888</v>
      </c>
      <c r="F178" s="6" t="s">
        <v>7889</v>
      </c>
      <c r="G178" s="30" t="s">
        <v>7890</v>
      </c>
      <c r="H178" s="6" t="s">
        <v>7900</v>
      </c>
      <c r="I178" s="207" t="s">
        <v>7901</v>
      </c>
      <c r="J178" s="207" t="s">
        <v>840</v>
      </c>
    </row>
    <row r="179" customFormat="false" ht="129" hidden="false" customHeight="true" outlineLevel="0" collapsed="false">
      <c r="A179" s="30" t="s">
        <v>7902</v>
      </c>
      <c r="B179" s="30" t="s">
        <v>7903</v>
      </c>
      <c r="C179" s="245" t="s">
        <v>7904</v>
      </c>
      <c r="D179" s="245" t="s">
        <v>7905</v>
      </c>
      <c r="E179" s="30" t="s">
        <v>7888</v>
      </c>
      <c r="F179" s="6" t="s">
        <v>7906</v>
      </c>
      <c r="G179" s="30" t="s">
        <v>7907</v>
      </c>
      <c r="H179" s="6" t="s">
        <v>7908</v>
      </c>
      <c r="I179" s="207" t="s">
        <v>7909</v>
      </c>
      <c r="J179" s="207" t="s">
        <v>840</v>
      </c>
    </row>
    <row r="180" customFormat="false" ht="86.25" hidden="false" customHeight="true" outlineLevel="0" collapsed="false">
      <c r="A180" s="30" t="s">
        <v>7910</v>
      </c>
      <c r="B180" s="30" t="s">
        <v>7903</v>
      </c>
      <c r="C180" s="245" t="s">
        <v>7911</v>
      </c>
      <c r="D180" s="245" t="s">
        <v>7912</v>
      </c>
      <c r="E180" s="30" t="s">
        <v>7888</v>
      </c>
      <c r="F180" s="6" t="s">
        <v>7906</v>
      </c>
      <c r="G180" s="30" t="s">
        <v>7907</v>
      </c>
      <c r="H180" s="6" t="s">
        <v>7913</v>
      </c>
      <c r="I180" s="207" t="s">
        <v>7914</v>
      </c>
      <c r="J180" s="207" t="s">
        <v>840</v>
      </c>
    </row>
    <row r="181" customFormat="false" ht="72" hidden="false" customHeight="true" outlineLevel="0" collapsed="false">
      <c r="A181" s="30" t="s">
        <v>7915</v>
      </c>
      <c r="B181" s="30" t="s">
        <v>7903</v>
      </c>
      <c r="C181" s="245" t="s">
        <v>7916</v>
      </c>
      <c r="D181" s="6" t="s">
        <v>7917</v>
      </c>
      <c r="E181" s="30" t="s">
        <v>7888</v>
      </c>
      <c r="F181" s="6" t="s">
        <v>7906</v>
      </c>
      <c r="G181" s="30" t="s">
        <v>7907</v>
      </c>
      <c r="H181" s="6" t="s">
        <v>7918</v>
      </c>
      <c r="I181" s="207" t="s">
        <v>7919</v>
      </c>
      <c r="J181" s="207" t="s">
        <v>840</v>
      </c>
    </row>
    <row r="182" customFormat="false" ht="156.75" hidden="false" customHeight="true" outlineLevel="0" collapsed="false">
      <c r="A182" s="30" t="s">
        <v>7054</v>
      </c>
      <c r="B182" s="30" t="s">
        <v>7920</v>
      </c>
      <c r="C182" s="245" t="s">
        <v>7921</v>
      </c>
      <c r="D182" s="6" t="s">
        <v>7922</v>
      </c>
      <c r="E182" s="30" t="s">
        <v>7822</v>
      </c>
      <c r="F182" s="6" t="s">
        <v>7923</v>
      </c>
      <c r="G182" s="30" t="s">
        <v>7924</v>
      </c>
      <c r="H182" s="6" t="s">
        <v>7925</v>
      </c>
      <c r="I182" s="30" t="s">
        <v>7926</v>
      </c>
      <c r="J182" s="207" t="s">
        <v>840</v>
      </c>
    </row>
    <row r="183" customFormat="false" ht="29.25" hidden="false" customHeight="true" outlineLevel="0" collapsed="false">
      <c r="A183" s="30" t="s">
        <v>7927</v>
      </c>
      <c r="B183" s="30" t="s">
        <v>7920</v>
      </c>
      <c r="C183" s="245" t="s">
        <v>7928</v>
      </c>
      <c r="D183" s="6" t="s">
        <v>7929</v>
      </c>
      <c r="E183" s="30" t="s">
        <v>7888</v>
      </c>
      <c r="F183" s="6" t="s">
        <v>7930</v>
      </c>
      <c r="G183" s="30" t="s">
        <v>7931</v>
      </c>
      <c r="H183" s="6" t="s">
        <v>7932</v>
      </c>
      <c r="I183" s="207" t="s">
        <v>7933</v>
      </c>
      <c r="J183" s="207" t="s">
        <v>840</v>
      </c>
    </row>
    <row r="184" customFormat="false" ht="72" hidden="false" customHeight="true" outlineLevel="0" collapsed="false">
      <c r="A184" s="30" t="s">
        <v>7934</v>
      </c>
      <c r="B184" s="30" t="s">
        <v>7920</v>
      </c>
      <c r="C184" s="245" t="s">
        <v>7935</v>
      </c>
      <c r="D184" s="6" t="s">
        <v>7936</v>
      </c>
      <c r="E184" s="30" t="s">
        <v>7888</v>
      </c>
      <c r="F184" s="6" t="s">
        <v>7937</v>
      </c>
      <c r="G184" s="30" t="s">
        <v>7938</v>
      </c>
      <c r="H184" s="6" t="s">
        <v>7939</v>
      </c>
      <c r="I184" s="207" t="s">
        <v>7940</v>
      </c>
      <c r="J184" s="207" t="s">
        <v>840</v>
      </c>
    </row>
    <row r="185" customFormat="false" ht="72" hidden="false" customHeight="true" outlineLevel="0" collapsed="false">
      <c r="A185" s="30" t="s">
        <v>7941</v>
      </c>
      <c r="B185" s="30" t="s">
        <v>7920</v>
      </c>
      <c r="C185" s="245" t="s">
        <v>7942</v>
      </c>
      <c r="D185" s="6" t="s">
        <v>7943</v>
      </c>
      <c r="E185" s="30" t="s">
        <v>7888</v>
      </c>
      <c r="F185" s="6" t="s">
        <v>7937</v>
      </c>
      <c r="G185" s="207" t="s">
        <v>7944</v>
      </c>
      <c r="H185" s="245" t="s">
        <v>7945</v>
      </c>
      <c r="I185" s="207" t="s">
        <v>7946</v>
      </c>
      <c r="J185" s="207" t="s">
        <v>840</v>
      </c>
    </row>
    <row r="186" customFormat="false" ht="86.25" hidden="false" customHeight="true" outlineLevel="0" collapsed="false">
      <c r="A186" s="30" t="s">
        <v>7947</v>
      </c>
      <c r="B186" s="30" t="s">
        <v>7920</v>
      </c>
      <c r="C186" s="245" t="s">
        <v>7948</v>
      </c>
      <c r="D186" s="6" t="s">
        <v>7949</v>
      </c>
      <c r="E186" s="30" t="s">
        <v>7888</v>
      </c>
      <c r="F186" s="6" t="s">
        <v>7937</v>
      </c>
      <c r="G186" s="30" t="s">
        <v>7924</v>
      </c>
      <c r="H186" s="6" t="s">
        <v>7950</v>
      </c>
      <c r="I186" s="207" t="s">
        <v>7951</v>
      </c>
      <c r="J186" s="207" t="s">
        <v>840</v>
      </c>
    </row>
    <row r="187" customFormat="false" ht="57.75" hidden="false" customHeight="true" outlineLevel="0" collapsed="false">
      <c r="A187" s="30" t="s">
        <v>7952</v>
      </c>
      <c r="B187" s="30" t="s">
        <v>7920</v>
      </c>
      <c r="C187" s="245" t="s">
        <v>7953</v>
      </c>
      <c r="D187" s="6" t="s">
        <v>7954</v>
      </c>
      <c r="E187" s="30" t="s">
        <v>7888</v>
      </c>
      <c r="F187" s="6" t="s">
        <v>7937</v>
      </c>
      <c r="G187" s="30" t="s">
        <v>7955</v>
      </c>
      <c r="H187" s="6" t="s">
        <v>7956</v>
      </c>
      <c r="I187" s="207" t="s">
        <v>7957</v>
      </c>
      <c r="J187" s="207" t="s">
        <v>840</v>
      </c>
    </row>
    <row r="188" customFormat="false" ht="57.75" hidden="false" customHeight="true" outlineLevel="0" collapsed="false">
      <c r="A188" s="30" t="s">
        <v>7139</v>
      </c>
      <c r="B188" s="30" t="s">
        <v>7920</v>
      </c>
      <c r="C188" s="245" t="s">
        <v>7958</v>
      </c>
      <c r="D188" s="6" t="s">
        <v>7959</v>
      </c>
      <c r="E188" s="30" t="s">
        <v>7888</v>
      </c>
      <c r="F188" s="6" t="s">
        <v>7937</v>
      </c>
      <c r="G188" s="30" t="s">
        <v>7924</v>
      </c>
      <c r="H188" s="6" t="s">
        <v>7960</v>
      </c>
      <c r="I188" s="207" t="s">
        <v>7961</v>
      </c>
      <c r="J188" s="207" t="s">
        <v>840</v>
      </c>
    </row>
    <row r="189" customFormat="false" ht="114.75" hidden="false" customHeight="true" outlineLevel="0" collapsed="false">
      <c r="A189" s="30" t="s">
        <v>7962</v>
      </c>
      <c r="B189" s="30" t="s">
        <v>7920</v>
      </c>
      <c r="C189" s="245" t="s">
        <v>7963</v>
      </c>
      <c r="D189" s="6" t="s">
        <v>7964</v>
      </c>
      <c r="E189" s="30" t="s">
        <v>7888</v>
      </c>
      <c r="F189" s="245" t="s">
        <v>7965</v>
      </c>
      <c r="G189" s="30" t="s">
        <v>7924</v>
      </c>
      <c r="H189" s="6" t="s">
        <v>7966</v>
      </c>
      <c r="I189" s="207" t="s">
        <v>7933</v>
      </c>
      <c r="J189" s="207" t="s">
        <v>840</v>
      </c>
    </row>
    <row r="190" customFormat="false" ht="100.5" hidden="false" customHeight="true" outlineLevel="0" collapsed="false">
      <c r="A190" s="30" t="s">
        <v>7967</v>
      </c>
      <c r="B190" s="30" t="s">
        <v>7920</v>
      </c>
      <c r="C190" s="245" t="s">
        <v>7968</v>
      </c>
      <c r="D190" s="6" t="s">
        <v>7969</v>
      </c>
      <c r="E190" s="30" t="s">
        <v>7888</v>
      </c>
      <c r="F190" s="245" t="s">
        <v>7970</v>
      </c>
      <c r="G190" s="207" t="s">
        <v>7971</v>
      </c>
      <c r="H190" s="6" t="s">
        <v>7972</v>
      </c>
      <c r="I190" s="207" t="s">
        <v>7973</v>
      </c>
      <c r="J190" s="207" t="s">
        <v>840</v>
      </c>
    </row>
    <row r="191" customFormat="false" ht="156.75" hidden="false" customHeight="true" outlineLevel="0" collapsed="false">
      <c r="A191" s="30" t="s">
        <v>7079</v>
      </c>
      <c r="B191" s="30" t="s">
        <v>7974</v>
      </c>
      <c r="C191" s="245" t="s">
        <v>7975</v>
      </c>
      <c r="D191" s="245" t="s">
        <v>7976</v>
      </c>
      <c r="E191" s="30" t="s">
        <v>7888</v>
      </c>
      <c r="F191" s="6" t="s">
        <v>7977</v>
      </c>
      <c r="G191" s="30" t="s">
        <v>7978</v>
      </c>
      <c r="H191" s="6" t="s">
        <v>7979</v>
      </c>
      <c r="I191" s="207" t="s">
        <v>7980</v>
      </c>
      <c r="J191" s="207" t="s">
        <v>840</v>
      </c>
    </row>
    <row r="192" customFormat="false" ht="100.5" hidden="false" customHeight="true" outlineLevel="0" collapsed="false">
      <c r="A192" s="30" t="s">
        <v>7981</v>
      </c>
      <c r="B192" s="30" t="s">
        <v>7974</v>
      </c>
      <c r="C192" s="245" t="s">
        <v>7982</v>
      </c>
      <c r="D192" s="6" t="s">
        <v>7983</v>
      </c>
      <c r="E192" s="30" t="s">
        <v>7888</v>
      </c>
      <c r="F192" s="6" t="s">
        <v>7977</v>
      </c>
      <c r="G192" s="30" t="s">
        <v>7984</v>
      </c>
      <c r="H192" s="6" t="s">
        <v>7985</v>
      </c>
      <c r="I192" s="207" t="s">
        <v>7986</v>
      </c>
      <c r="J192" s="207" t="s">
        <v>840</v>
      </c>
    </row>
    <row r="193" customFormat="false" ht="129" hidden="false" customHeight="true" outlineLevel="0" collapsed="false">
      <c r="A193" s="30" t="s">
        <v>7101</v>
      </c>
      <c r="B193" s="30" t="s">
        <v>7974</v>
      </c>
      <c r="C193" s="245" t="s">
        <v>7987</v>
      </c>
      <c r="D193" s="6" t="s">
        <v>7988</v>
      </c>
      <c r="E193" s="30" t="s">
        <v>7888</v>
      </c>
      <c r="F193" s="6" t="s">
        <v>7977</v>
      </c>
      <c r="G193" s="30" t="s">
        <v>7978</v>
      </c>
      <c r="H193" s="6" t="s">
        <v>7989</v>
      </c>
      <c r="I193" s="207" t="s">
        <v>7990</v>
      </c>
      <c r="J193" s="207" t="s">
        <v>840</v>
      </c>
    </row>
    <row r="194" customFormat="false" ht="156.75" hidden="false" customHeight="true" outlineLevel="0" collapsed="false">
      <c r="A194" s="30" t="s">
        <v>7991</v>
      </c>
      <c r="B194" s="30" t="s">
        <v>7974</v>
      </c>
      <c r="C194" s="245" t="s">
        <v>7992</v>
      </c>
      <c r="D194" s="6" t="s">
        <v>7993</v>
      </c>
      <c r="E194" s="30" t="s">
        <v>7888</v>
      </c>
      <c r="F194" s="6" t="s">
        <v>7977</v>
      </c>
      <c r="G194" s="30" t="s">
        <v>7978</v>
      </c>
      <c r="H194" s="6" t="s">
        <v>7994</v>
      </c>
      <c r="I194" s="207" t="s">
        <v>7995</v>
      </c>
      <c r="J194" s="207" t="s">
        <v>840</v>
      </c>
    </row>
    <row r="195" customFormat="false" ht="171" hidden="false" customHeight="true" outlineLevel="0" collapsed="false">
      <c r="A195" s="30" t="s">
        <v>7128</v>
      </c>
      <c r="B195" s="30" t="s">
        <v>7974</v>
      </c>
      <c r="C195" s="245" t="s">
        <v>7996</v>
      </c>
      <c r="D195" s="6" t="s">
        <v>7997</v>
      </c>
      <c r="E195" s="30" t="s">
        <v>7888</v>
      </c>
      <c r="F195" s="6" t="s">
        <v>7977</v>
      </c>
      <c r="G195" s="30" t="s">
        <v>7978</v>
      </c>
      <c r="H195" s="6" t="s">
        <v>7998</v>
      </c>
      <c r="I195" s="207" t="s">
        <v>7999</v>
      </c>
      <c r="J195" s="207" t="s">
        <v>840</v>
      </c>
    </row>
    <row r="196" customFormat="false" ht="156.75" hidden="false" customHeight="true" outlineLevel="0" collapsed="false">
      <c r="A196" s="30" t="s">
        <v>6201</v>
      </c>
      <c r="B196" s="30" t="s">
        <v>8000</v>
      </c>
      <c r="C196" s="245" t="s">
        <v>8001</v>
      </c>
      <c r="D196" s="6" t="s">
        <v>8002</v>
      </c>
      <c r="E196" s="30" t="s">
        <v>7888</v>
      </c>
      <c r="F196" s="6" t="s">
        <v>8003</v>
      </c>
      <c r="G196" s="30" t="s">
        <v>8004</v>
      </c>
      <c r="H196" s="6" t="s">
        <v>8005</v>
      </c>
      <c r="I196" s="207" t="s">
        <v>8006</v>
      </c>
      <c r="J196" s="207" t="s">
        <v>840</v>
      </c>
    </row>
    <row r="197" customFormat="false" ht="100.5" hidden="false" customHeight="true" outlineLevel="0" collapsed="false">
      <c r="A197" s="30" t="s">
        <v>8007</v>
      </c>
      <c r="B197" s="30" t="s">
        <v>8000</v>
      </c>
      <c r="C197" s="245" t="s">
        <v>8008</v>
      </c>
      <c r="D197" s="245" t="s">
        <v>8009</v>
      </c>
      <c r="E197" s="30" t="s">
        <v>7888</v>
      </c>
      <c r="F197" s="6" t="s">
        <v>8003</v>
      </c>
      <c r="G197" s="30" t="s">
        <v>8004</v>
      </c>
      <c r="H197" s="6" t="s">
        <v>8010</v>
      </c>
      <c r="I197" s="207" t="s">
        <v>8011</v>
      </c>
      <c r="J197" s="207" t="s">
        <v>840</v>
      </c>
    </row>
    <row r="198" customFormat="false" ht="72" hidden="false" customHeight="true" outlineLevel="0" collapsed="false">
      <c r="A198" s="30" t="s">
        <v>8012</v>
      </c>
      <c r="B198" s="30" t="s">
        <v>8000</v>
      </c>
      <c r="C198" s="245" t="s">
        <v>8013</v>
      </c>
      <c r="D198" s="6" t="s">
        <v>8014</v>
      </c>
      <c r="E198" s="30" t="s">
        <v>7888</v>
      </c>
      <c r="F198" s="6" t="s">
        <v>8003</v>
      </c>
      <c r="G198" s="30" t="s">
        <v>8004</v>
      </c>
      <c r="H198" s="6" t="s">
        <v>8015</v>
      </c>
      <c r="I198" s="207" t="s">
        <v>8016</v>
      </c>
      <c r="J198" s="207" t="s">
        <v>840</v>
      </c>
    </row>
    <row r="199" customFormat="false" ht="43.5" hidden="false" customHeight="true" outlineLevel="0" collapsed="false">
      <c r="A199" s="30" t="s">
        <v>8017</v>
      </c>
      <c r="B199" s="30" t="s">
        <v>8000</v>
      </c>
      <c r="C199" s="245" t="s">
        <v>8018</v>
      </c>
      <c r="D199" s="6" t="s">
        <v>8019</v>
      </c>
      <c r="E199" s="30" t="s">
        <v>7888</v>
      </c>
      <c r="F199" s="6" t="s">
        <v>8003</v>
      </c>
      <c r="G199" s="30" t="s">
        <v>8004</v>
      </c>
      <c r="H199" s="6" t="s">
        <v>8020</v>
      </c>
      <c r="I199" s="207" t="s">
        <v>8021</v>
      </c>
      <c r="J199" s="207" t="s">
        <v>840</v>
      </c>
    </row>
    <row r="200" customFormat="false" ht="72" hidden="false" customHeight="true" outlineLevel="0" collapsed="false">
      <c r="A200" s="30" t="s">
        <v>8022</v>
      </c>
      <c r="B200" s="30" t="s">
        <v>8000</v>
      </c>
      <c r="C200" s="245" t="s">
        <v>8023</v>
      </c>
      <c r="D200" s="6" t="s">
        <v>8024</v>
      </c>
      <c r="E200" s="30" t="s">
        <v>7888</v>
      </c>
      <c r="F200" s="6" t="s">
        <v>8003</v>
      </c>
      <c r="G200" s="30" t="s">
        <v>8004</v>
      </c>
      <c r="H200" s="6" t="s">
        <v>8025</v>
      </c>
      <c r="I200" s="207" t="s">
        <v>8026</v>
      </c>
      <c r="J200" s="207" t="s">
        <v>840</v>
      </c>
    </row>
    <row r="201" customFormat="false" ht="114.75" hidden="false" customHeight="true" outlineLevel="0" collapsed="false">
      <c r="A201" s="30" t="s">
        <v>8027</v>
      </c>
      <c r="B201" s="30" t="s">
        <v>8000</v>
      </c>
      <c r="C201" s="245" t="s">
        <v>8028</v>
      </c>
      <c r="D201" s="245" t="s">
        <v>8029</v>
      </c>
      <c r="E201" s="30" t="s">
        <v>7888</v>
      </c>
      <c r="F201" s="6" t="s">
        <v>8003</v>
      </c>
      <c r="G201" s="30" t="s">
        <v>8004</v>
      </c>
      <c r="H201" s="6" t="s">
        <v>8030</v>
      </c>
      <c r="I201" s="207" t="s">
        <v>8031</v>
      </c>
      <c r="J201" s="207" t="s">
        <v>840</v>
      </c>
    </row>
    <row r="202" customFormat="false" ht="72" hidden="false" customHeight="true" outlineLevel="0" collapsed="false">
      <c r="A202" s="30" t="s">
        <v>8032</v>
      </c>
      <c r="B202" s="30" t="s">
        <v>8000</v>
      </c>
      <c r="C202" s="245" t="s">
        <v>8033</v>
      </c>
      <c r="D202" s="245" t="s">
        <v>8034</v>
      </c>
      <c r="E202" s="30" t="s">
        <v>7888</v>
      </c>
      <c r="F202" s="6" t="s">
        <v>8003</v>
      </c>
      <c r="G202" s="30" t="s">
        <v>8004</v>
      </c>
      <c r="H202" s="6" t="s">
        <v>8035</v>
      </c>
      <c r="I202" s="207" t="s">
        <v>8036</v>
      </c>
      <c r="J202" s="207" t="s">
        <v>840</v>
      </c>
    </row>
    <row r="203" customFormat="false" ht="100.5" hidden="false" customHeight="true" outlineLevel="0" collapsed="false">
      <c r="A203" s="30" t="s">
        <v>8037</v>
      </c>
      <c r="B203" s="30" t="s">
        <v>8038</v>
      </c>
      <c r="C203" s="245" t="s">
        <v>8039</v>
      </c>
      <c r="D203" s="6" t="s">
        <v>8040</v>
      </c>
      <c r="E203" s="30" t="s">
        <v>7888</v>
      </c>
      <c r="F203" s="6" t="s">
        <v>8041</v>
      </c>
      <c r="G203" s="30" t="s">
        <v>8042</v>
      </c>
      <c r="H203" s="6" t="s">
        <v>8043</v>
      </c>
      <c r="I203" s="207" t="s">
        <v>8044</v>
      </c>
      <c r="J203" s="207" t="s">
        <v>840</v>
      </c>
    </row>
    <row r="204" customFormat="false" ht="86.25" hidden="false" customHeight="true" outlineLevel="0" collapsed="false">
      <c r="A204" s="30" t="s">
        <v>8045</v>
      </c>
      <c r="B204" s="30" t="s">
        <v>8038</v>
      </c>
      <c r="C204" s="245" t="s">
        <v>8046</v>
      </c>
      <c r="D204" s="6" t="s">
        <v>8047</v>
      </c>
      <c r="E204" s="30" t="s">
        <v>7888</v>
      </c>
      <c r="F204" s="6" t="s">
        <v>8041</v>
      </c>
      <c r="G204" s="30" t="s">
        <v>8042</v>
      </c>
      <c r="H204" s="6" t="s">
        <v>8048</v>
      </c>
      <c r="I204" s="207" t="s">
        <v>8049</v>
      </c>
      <c r="J204" s="207" t="s">
        <v>840</v>
      </c>
    </row>
    <row r="205" customFormat="false" ht="143.25" hidden="false" customHeight="true" outlineLevel="0" collapsed="false">
      <c r="A205" s="30" t="s">
        <v>8050</v>
      </c>
      <c r="B205" s="30" t="s">
        <v>8038</v>
      </c>
      <c r="C205" s="245" t="s">
        <v>8051</v>
      </c>
      <c r="D205" s="6" t="s">
        <v>8052</v>
      </c>
      <c r="E205" s="30" t="s">
        <v>7888</v>
      </c>
      <c r="F205" s="6" t="s">
        <v>8041</v>
      </c>
      <c r="G205" s="30" t="s">
        <v>8042</v>
      </c>
      <c r="H205" s="6" t="s">
        <v>8053</v>
      </c>
      <c r="I205" s="207" t="s">
        <v>8054</v>
      </c>
      <c r="J205" s="207" t="s">
        <v>840</v>
      </c>
    </row>
    <row r="206" customFormat="false" ht="100.5" hidden="false" customHeight="true" outlineLevel="0" collapsed="false">
      <c r="A206" s="30" t="s">
        <v>8055</v>
      </c>
      <c r="B206" s="30" t="s">
        <v>8038</v>
      </c>
      <c r="C206" s="245" t="s">
        <v>8056</v>
      </c>
      <c r="D206" s="245" t="s">
        <v>8057</v>
      </c>
      <c r="E206" s="30" t="s">
        <v>7888</v>
      </c>
      <c r="F206" s="6" t="s">
        <v>8041</v>
      </c>
      <c r="G206" s="30" t="s">
        <v>8042</v>
      </c>
      <c r="H206" s="6" t="s">
        <v>8058</v>
      </c>
      <c r="I206" s="207" t="s">
        <v>8059</v>
      </c>
      <c r="J206" s="207" t="s">
        <v>840</v>
      </c>
    </row>
    <row r="207" customFormat="false" ht="29.25" hidden="false" customHeight="true" outlineLevel="0" collapsed="false">
      <c r="A207" s="30" t="s">
        <v>8060</v>
      </c>
      <c r="B207" s="30" t="s">
        <v>8038</v>
      </c>
      <c r="C207" s="245" t="s">
        <v>8061</v>
      </c>
      <c r="D207" s="245" t="s">
        <v>8062</v>
      </c>
      <c r="E207" s="30" t="s">
        <v>7888</v>
      </c>
      <c r="F207" s="6" t="s">
        <v>8041</v>
      </c>
      <c r="G207" s="30" t="s">
        <v>8042</v>
      </c>
      <c r="H207" s="6" t="s">
        <v>8035</v>
      </c>
      <c r="I207" s="207" t="s">
        <v>8063</v>
      </c>
      <c r="J207" s="207" t="s">
        <v>840</v>
      </c>
    </row>
    <row r="208" customFormat="false" ht="171" hidden="false" customHeight="true" outlineLevel="0" collapsed="false">
      <c r="A208" s="30" t="s">
        <v>8064</v>
      </c>
      <c r="B208" s="30" t="s">
        <v>8065</v>
      </c>
      <c r="C208" s="245" t="s">
        <v>8066</v>
      </c>
      <c r="D208" s="245" t="s">
        <v>8067</v>
      </c>
      <c r="E208" s="30" t="s">
        <v>7888</v>
      </c>
      <c r="F208" s="6" t="s">
        <v>8068</v>
      </c>
      <c r="G208" s="30" t="s">
        <v>8069</v>
      </c>
      <c r="H208" s="6" t="s">
        <v>8070</v>
      </c>
      <c r="I208" s="207" t="s">
        <v>8071</v>
      </c>
      <c r="J208" s="207" t="s">
        <v>840</v>
      </c>
    </row>
    <row r="209" customFormat="false" ht="86.25" hidden="false" customHeight="true" outlineLevel="0" collapsed="false">
      <c r="A209" s="30" t="s">
        <v>8072</v>
      </c>
      <c r="B209" s="30" t="s">
        <v>8065</v>
      </c>
      <c r="C209" s="245" t="s">
        <v>8073</v>
      </c>
      <c r="D209" s="6" t="s">
        <v>8074</v>
      </c>
      <c r="E209" s="30" t="s">
        <v>7888</v>
      </c>
      <c r="F209" s="6" t="s">
        <v>8068</v>
      </c>
      <c r="G209" s="30" t="s">
        <v>8069</v>
      </c>
      <c r="H209" s="6" t="s">
        <v>8075</v>
      </c>
      <c r="I209" s="207" t="s">
        <v>8076</v>
      </c>
      <c r="J209" s="207" t="s">
        <v>840</v>
      </c>
    </row>
    <row r="210" customFormat="false" ht="72" hidden="false" customHeight="true" outlineLevel="0" collapsed="false">
      <c r="A210" s="30" t="s">
        <v>8077</v>
      </c>
      <c r="B210" s="30" t="s">
        <v>8065</v>
      </c>
      <c r="C210" s="245" t="s">
        <v>8078</v>
      </c>
      <c r="D210" s="245" t="s">
        <v>8079</v>
      </c>
      <c r="E210" s="30" t="s">
        <v>7888</v>
      </c>
      <c r="F210" s="6" t="s">
        <v>8068</v>
      </c>
      <c r="G210" s="207" t="s">
        <v>8080</v>
      </c>
      <c r="H210" s="6" t="s">
        <v>8081</v>
      </c>
      <c r="I210" s="207" t="s">
        <v>8082</v>
      </c>
      <c r="J210" s="207" t="s">
        <v>840</v>
      </c>
    </row>
    <row r="211" customFormat="false" ht="129" hidden="false" customHeight="true" outlineLevel="0" collapsed="false">
      <c r="A211" s="30" t="s">
        <v>8083</v>
      </c>
      <c r="B211" s="30" t="s">
        <v>8084</v>
      </c>
      <c r="C211" s="6" t="s">
        <v>8085</v>
      </c>
      <c r="D211" s="245" t="s">
        <v>8086</v>
      </c>
      <c r="E211" s="30" t="s">
        <v>7888</v>
      </c>
      <c r="F211" s="6" t="s">
        <v>8087</v>
      </c>
      <c r="G211" s="207" t="s">
        <v>8088</v>
      </c>
      <c r="H211" s="6" t="s">
        <v>8089</v>
      </c>
      <c r="I211" s="207" t="s">
        <v>8090</v>
      </c>
      <c r="J211" s="207" t="s">
        <v>840</v>
      </c>
    </row>
    <row r="212" customFormat="false" ht="100.5" hidden="false" customHeight="true" outlineLevel="0" collapsed="false">
      <c r="A212" s="30" t="s">
        <v>8091</v>
      </c>
      <c r="B212" s="30" t="s">
        <v>8084</v>
      </c>
      <c r="C212" s="6" t="s">
        <v>8092</v>
      </c>
      <c r="D212" s="245" t="s">
        <v>8093</v>
      </c>
      <c r="E212" s="30" t="s">
        <v>7888</v>
      </c>
      <c r="F212" s="6" t="s">
        <v>8087</v>
      </c>
      <c r="G212" s="207" t="s">
        <v>8088</v>
      </c>
      <c r="H212" s="6" t="s">
        <v>8094</v>
      </c>
      <c r="I212" s="207" t="s">
        <v>8095</v>
      </c>
      <c r="J212" s="207" t="s">
        <v>840</v>
      </c>
    </row>
    <row r="213" customFormat="false" ht="100.5" hidden="false" customHeight="true" outlineLevel="0" collapsed="false">
      <c r="A213" s="30" t="s">
        <v>5758</v>
      </c>
      <c r="B213" s="30" t="s">
        <v>8084</v>
      </c>
      <c r="C213" s="6" t="s">
        <v>8096</v>
      </c>
      <c r="D213" s="6" t="s">
        <v>8097</v>
      </c>
      <c r="E213" s="30" t="s">
        <v>7888</v>
      </c>
      <c r="F213" s="6" t="s">
        <v>8087</v>
      </c>
      <c r="G213" s="30" t="s">
        <v>8098</v>
      </c>
      <c r="H213" s="6" t="s">
        <v>8099</v>
      </c>
      <c r="I213" s="207" t="s">
        <v>8100</v>
      </c>
      <c r="J213" s="207" t="s">
        <v>840</v>
      </c>
    </row>
    <row r="214" customFormat="false" ht="129" hidden="false" customHeight="true" outlineLevel="0" collapsed="false">
      <c r="A214" s="30" t="s">
        <v>8101</v>
      </c>
      <c r="B214" s="30" t="s">
        <v>8084</v>
      </c>
      <c r="C214" s="6" t="s">
        <v>8102</v>
      </c>
      <c r="D214" s="6" t="s">
        <v>8103</v>
      </c>
      <c r="E214" s="30" t="s">
        <v>7888</v>
      </c>
      <c r="F214" s="6" t="s">
        <v>8087</v>
      </c>
      <c r="G214" s="30" t="s">
        <v>8098</v>
      </c>
      <c r="H214" s="6" t="s">
        <v>8104</v>
      </c>
      <c r="I214" s="207" t="s">
        <v>8105</v>
      </c>
      <c r="J214" s="207" t="s">
        <v>840</v>
      </c>
    </row>
    <row r="215" customFormat="false" ht="57.75" hidden="false" customHeight="true" outlineLevel="0" collapsed="false">
      <c r="A215" s="30" t="s">
        <v>8106</v>
      </c>
      <c r="B215" s="30" t="s">
        <v>8084</v>
      </c>
      <c r="C215" s="6" t="s">
        <v>8107</v>
      </c>
      <c r="D215" s="6" t="s">
        <v>8108</v>
      </c>
      <c r="E215" s="30" t="s">
        <v>7888</v>
      </c>
      <c r="F215" s="6" t="s">
        <v>8087</v>
      </c>
      <c r="G215" s="30" t="s">
        <v>8098</v>
      </c>
      <c r="H215" s="6" t="s">
        <v>8109</v>
      </c>
      <c r="I215" s="207" t="s">
        <v>8110</v>
      </c>
      <c r="J215" s="207" t="s">
        <v>840</v>
      </c>
    </row>
    <row r="216" customFormat="false" ht="114.75" hidden="false" customHeight="true" outlineLevel="0" collapsed="false">
      <c r="A216" s="30" t="s">
        <v>7144</v>
      </c>
      <c r="B216" s="30" t="s">
        <v>8111</v>
      </c>
      <c r="C216" s="245" t="s">
        <v>8112</v>
      </c>
      <c r="D216" s="245" t="s">
        <v>8113</v>
      </c>
      <c r="E216" s="30" t="s">
        <v>7888</v>
      </c>
      <c r="F216" s="6" t="s">
        <v>8114</v>
      </c>
      <c r="G216" s="30" t="s">
        <v>8115</v>
      </c>
      <c r="H216" s="6" t="s">
        <v>8116</v>
      </c>
      <c r="I216" s="207" t="s">
        <v>8117</v>
      </c>
      <c r="J216" s="207" t="s">
        <v>840</v>
      </c>
    </row>
    <row r="217" customFormat="false" ht="129" hidden="false" customHeight="true" outlineLevel="0" collapsed="false">
      <c r="A217" s="30" t="s">
        <v>8118</v>
      </c>
      <c r="B217" s="30" t="s">
        <v>8111</v>
      </c>
      <c r="C217" s="245" t="s">
        <v>8119</v>
      </c>
      <c r="D217" s="6" t="s">
        <v>8120</v>
      </c>
      <c r="E217" s="30" t="s">
        <v>7888</v>
      </c>
      <c r="F217" s="6" t="s">
        <v>8114</v>
      </c>
      <c r="G217" s="30" t="s">
        <v>8121</v>
      </c>
      <c r="H217" s="6" t="s">
        <v>8122</v>
      </c>
      <c r="I217" s="207" t="s">
        <v>8123</v>
      </c>
      <c r="J217" s="207" t="s">
        <v>840</v>
      </c>
    </row>
    <row r="218" customFormat="false" ht="43.5" hidden="false" customHeight="true" outlineLevel="0" collapsed="false">
      <c r="A218" s="30" t="s">
        <v>8124</v>
      </c>
      <c r="B218" s="30" t="s">
        <v>8111</v>
      </c>
      <c r="C218" s="245" t="s">
        <v>8125</v>
      </c>
      <c r="D218" s="6" t="s">
        <v>8126</v>
      </c>
      <c r="E218" s="30" t="s">
        <v>7888</v>
      </c>
      <c r="F218" s="6" t="s">
        <v>8114</v>
      </c>
      <c r="G218" s="30" t="s">
        <v>8115</v>
      </c>
      <c r="H218" s="6" t="s">
        <v>8127</v>
      </c>
      <c r="I218" s="207" t="s">
        <v>8128</v>
      </c>
      <c r="J218" s="207" t="s">
        <v>840</v>
      </c>
    </row>
    <row r="219" customFormat="false" ht="57.75" hidden="false" customHeight="true" outlineLevel="0" collapsed="false">
      <c r="A219" s="30" t="s">
        <v>8129</v>
      </c>
      <c r="B219" s="30" t="s">
        <v>8111</v>
      </c>
      <c r="C219" s="245" t="s">
        <v>8130</v>
      </c>
      <c r="D219" s="6" t="s">
        <v>8131</v>
      </c>
      <c r="E219" s="30" t="s">
        <v>7888</v>
      </c>
      <c r="F219" s="6" t="s">
        <v>8114</v>
      </c>
      <c r="G219" s="30" t="s">
        <v>8115</v>
      </c>
      <c r="H219" s="245" t="s">
        <v>8132</v>
      </c>
      <c r="I219" s="207" t="s">
        <v>8133</v>
      </c>
      <c r="J219" s="207" t="s">
        <v>840</v>
      </c>
    </row>
    <row r="220" customFormat="false" ht="43.5" hidden="false" customHeight="true" outlineLevel="0" collapsed="false">
      <c r="A220" s="30" t="s">
        <v>8134</v>
      </c>
      <c r="B220" s="30" t="s">
        <v>8111</v>
      </c>
      <c r="C220" s="245" t="s">
        <v>8135</v>
      </c>
      <c r="D220" s="245" t="s">
        <v>8136</v>
      </c>
      <c r="E220" s="30" t="s">
        <v>7888</v>
      </c>
      <c r="F220" s="6" t="s">
        <v>8114</v>
      </c>
      <c r="G220" s="30" t="s">
        <v>8115</v>
      </c>
      <c r="H220" s="6" t="s">
        <v>8137</v>
      </c>
      <c r="I220" s="207" t="s">
        <v>8138</v>
      </c>
      <c r="J220" s="207" t="s">
        <v>840</v>
      </c>
    </row>
    <row r="221" customFormat="false" ht="43.5" hidden="false" customHeight="true" outlineLevel="0" collapsed="false">
      <c r="A221" s="30" t="s">
        <v>8139</v>
      </c>
      <c r="B221" s="30" t="s">
        <v>8111</v>
      </c>
      <c r="C221" s="245" t="s">
        <v>8140</v>
      </c>
      <c r="D221" s="6" t="s">
        <v>8141</v>
      </c>
      <c r="E221" s="30" t="s">
        <v>7888</v>
      </c>
      <c r="F221" s="6" t="s">
        <v>8114</v>
      </c>
      <c r="G221" s="207" t="s">
        <v>8142</v>
      </c>
      <c r="H221" s="6" t="s">
        <v>8143</v>
      </c>
      <c r="I221" s="207" t="s">
        <v>8144</v>
      </c>
      <c r="J221" s="207" t="s">
        <v>840</v>
      </c>
    </row>
    <row r="222" customFormat="false" ht="72" hidden="false" customHeight="true" outlineLevel="0" collapsed="false">
      <c r="A222" s="30" t="s">
        <v>8145</v>
      </c>
      <c r="B222" s="30" t="s">
        <v>8111</v>
      </c>
      <c r="C222" s="245" t="s">
        <v>8146</v>
      </c>
      <c r="D222" s="6" t="s">
        <v>8147</v>
      </c>
      <c r="E222" s="30" t="s">
        <v>7888</v>
      </c>
      <c r="F222" s="6" t="s">
        <v>8114</v>
      </c>
      <c r="G222" s="207" t="s">
        <v>8148</v>
      </c>
      <c r="H222" s="6" t="s">
        <v>8149</v>
      </c>
      <c r="I222" s="207" t="s">
        <v>8150</v>
      </c>
      <c r="J222" s="207" t="s">
        <v>840</v>
      </c>
    </row>
    <row r="223" customFormat="false" ht="228" hidden="false" customHeight="true" outlineLevel="0" collapsed="false">
      <c r="A223" s="30" t="s">
        <v>8151</v>
      </c>
      <c r="B223" s="30" t="s">
        <v>8152</v>
      </c>
      <c r="C223" s="245" t="s">
        <v>8153</v>
      </c>
      <c r="D223" s="245" t="s">
        <v>8154</v>
      </c>
      <c r="E223" s="30" t="s">
        <v>7888</v>
      </c>
      <c r="F223" s="6" t="s">
        <v>8155</v>
      </c>
      <c r="G223" s="207" t="s">
        <v>8156</v>
      </c>
      <c r="H223" s="6" t="s">
        <v>8157</v>
      </c>
      <c r="I223" s="207" t="s">
        <v>8158</v>
      </c>
      <c r="J223" s="207" t="s">
        <v>840</v>
      </c>
    </row>
    <row r="224" customFormat="false" ht="199.5" hidden="false" customHeight="true" outlineLevel="0" collapsed="false">
      <c r="A224" s="30" t="s">
        <v>7158</v>
      </c>
      <c r="B224" s="30" t="s">
        <v>8152</v>
      </c>
      <c r="C224" s="245" t="s">
        <v>8159</v>
      </c>
      <c r="D224" s="245" t="s">
        <v>8160</v>
      </c>
      <c r="E224" s="30" t="s">
        <v>7888</v>
      </c>
      <c r="F224" s="6" t="s">
        <v>8155</v>
      </c>
      <c r="G224" s="30" t="s">
        <v>8161</v>
      </c>
      <c r="H224" s="6" t="s">
        <v>8162</v>
      </c>
      <c r="I224" s="207" t="s">
        <v>8163</v>
      </c>
      <c r="J224" s="207" t="s">
        <v>840</v>
      </c>
    </row>
    <row r="225" customFormat="false" ht="86.25" hidden="false" customHeight="true" outlineLevel="0" collapsed="false">
      <c r="A225" s="30" t="s">
        <v>8164</v>
      </c>
      <c r="B225" s="30" t="s">
        <v>8152</v>
      </c>
      <c r="C225" s="245" t="s">
        <v>8165</v>
      </c>
      <c r="D225" s="6" t="s">
        <v>8166</v>
      </c>
      <c r="E225" s="30" t="s">
        <v>7888</v>
      </c>
      <c r="F225" s="6" t="s">
        <v>8155</v>
      </c>
      <c r="G225" s="30" t="s">
        <v>8167</v>
      </c>
      <c r="H225" s="6" t="s">
        <v>8168</v>
      </c>
      <c r="I225" s="207" t="s">
        <v>8169</v>
      </c>
      <c r="J225" s="207" t="s">
        <v>840</v>
      </c>
    </row>
    <row r="226" customFormat="false" ht="86.25" hidden="false" customHeight="true" outlineLevel="0" collapsed="false">
      <c r="A226" s="30" t="s">
        <v>8170</v>
      </c>
      <c r="B226" s="30" t="s">
        <v>8152</v>
      </c>
      <c r="C226" s="245" t="s">
        <v>8171</v>
      </c>
      <c r="D226" s="6" t="s">
        <v>8172</v>
      </c>
      <c r="E226" s="30" t="s">
        <v>7888</v>
      </c>
      <c r="F226" s="6" t="s">
        <v>8155</v>
      </c>
      <c r="G226" s="30" t="s">
        <v>8167</v>
      </c>
      <c r="H226" s="6" t="s">
        <v>8173</v>
      </c>
      <c r="I226" s="207" t="s">
        <v>8174</v>
      </c>
      <c r="J226" s="207" t="s">
        <v>840</v>
      </c>
    </row>
    <row r="227" customFormat="false" ht="114.75" hidden="false" customHeight="true" outlineLevel="0" collapsed="false">
      <c r="A227" s="30" t="s">
        <v>7165</v>
      </c>
      <c r="B227" s="30" t="s">
        <v>8175</v>
      </c>
      <c r="C227" s="6" t="s">
        <v>8176</v>
      </c>
      <c r="D227" s="245" t="s">
        <v>8177</v>
      </c>
      <c r="E227" s="30" t="s">
        <v>7888</v>
      </c>
      <c r="F227" s="6" t="s">
        <v>8178</v>
      </c>
      <c r="G227" s="30" t="s">
        <v>8179</v>
      </c>
      <c r="H227" s="6" t="s">
        <v>8180</v>
      </c>
      <c r="I227" s="207" t="s">
        <v>8181</v>
      </c>
      <c r="J227" s="207" t="s">
        <v>840</v>
      </c>
    </row>
    <row r="228" customFormat="false" ht="171" hidden="false" customHeight="true" outlineLevel="0" collapsed="false">
      <c r="A228" s="30" t="s">
        <v>8182</v>
      </c>
      <c r="B228" s="30" t="s">
        <v>8175</v>
      </c>
      <c r="C228" s="6" t="s">
        <v>8183</v>
      </c>
      <c r="D228" s="6" t="s">
        <v>8184</v>
      </c>
      <c r="E228" s="30" t="s">
        <v>7888</v>
      </c>
      <c r="F228" s="6" t="s">
        <v>8178</v>
      </c>
      <c r="G228" s="30" t="s">
        <v>8179</v>
      </c>
      <c r="H228" s="6" t="s">
        <v>8185</v>
      </c>
      <c r="I228" s="207" t="s">
        <v>8186</v>
      </c>
      <c r="J228" s="207" t="s">
        <v>840</v>
      </c>
    </row>
    <row r="229" customFormat="false" ht="72" hidden="false" customHeight="true" outlineLevel="0" collapsed="false">
      <c r="A229" s="30" t="s">
        <v>7170</v>
      </c>
      <c r="B229" s="30" t="s">
        <v>8175</v>
      </c>
      <c r="C229" s="6" t="s">
        <v>8187</v>
      </c>
      <c r="D229" s="245" t="s">
        <v>8188</v>
      </c>
      <c r="E229" s="30" t="s">
        <v>7888</v>
      </c>
      <c r="F229" s="6" t="s">
        <v>8178</v>
      </c>
      <c r="G229" s="30" t="s">
        <v>8179</v>
      </c>
      <c r="H229" s="6" t="s">
        <v>8189</v>
      </c>
      <c r="I229" s="207" t="s">
        <v>8190</v>
      </c>
      <c r="J229" s="207" t="s">
        <v>840</v>
      </c>
    </row>
    <row r="230" customFormat="false" ht="114.75" hidden="false" customHeight="true" outlineLevel="0" collapsed="false">
      <c r="A230" s="30" t="s">
        <v>5953</v>
      </c>
      <c r="B230" s="30" t="s">
        <v>8175</v>
      </c>
      <c r="C230" s="6" t="s">
        <v>8191</v>
      </c>
      <c r="D230" s="245" t="s">
        <v>8192</v>
      </c>
      <c r="E230" s="30" t="s">
        <v>7888</v>
      </c>
      <c r="F230" s="6" t="s">
        <v>8178</v>
      </c>
      <c r="G230" s="30" t="s">
        <v>8193</v>
      </c>
      <c r="H230" s="6" t="s">
        <v>8194</v>
      </c>
      <c r="I230" s="207" t="s">
        <v>8195</v>
      </c>
      <c r="J230" s="207" t="s">
        <v>840</v>
      </c>
    </row>
    <row r="231" customFormat="false" ht="171" hidden="false" customHeight="true" outlineLevel="0" collapsed="false">
      <c r="A231" s="30" t="s">
        <v>8196</v>
      </c>
      <c r="B231" s="30" t="s">
        <v>8175</v>
      </c>
      <c r="C231" s="6" t="s">
        <v>8197</v>
      </c>
      <c r="D231" s="6" t="s">
        <v>8198</v>
      </c>
      <c r="E231" s="30" t="s">
        <v>7888</v>
      </c>
      <c r="F231" s="6" t="s">
        <v>8178</v>
      </c>
      <c r="G231" s="30" t="s">
        <v>8179</v>
      </c>
      <c r="H231" s="6" t="s">
        <v>8199</v>
      </c>
      <c r="I231" s="207" t="s">
        <v>8200</v>
      </c>
      <c r="J231" s="207" t="s">
        <v>840</v>
      </c>
    </row>
    <row r="232" customFormat="false" ht="100.5" hidden="false" customHeight="true" outlineLevel="0" collapsed="false">
      <c r="A232" s="30" t="s">
        <v>8201</v>
      </c>
      <c r="B232" s="30" t="s">
        <v>8175</v>
      </c>
      <c r="C232" s="6" t="s">
        <v>8202</v>
      </c>
      <c r="D232" s="245" t="s">
        <v>8203</v>
      </c>
      <c r="E232" s="30" t="s">
        <v>7888</v>
      </c>
      <c r="F232" s="6" t="s">
        <v>8178</v>
      </c>
      <c r="G232" s="30" t="s">
        <v>8179</v>
      </c>
      <c r="H232" s="245" t="s">
        <v>8204</v>
      </c>
      <c r="I232" s="207" t="s">
        <v>8205</v>
      </c>
      <c r="J232" s="207" t="s">
        <v>840</v>
      </c>
    </row>
    <row r="233" customFormat="false" ht="100.5" hidden="false" customHeight="true" outlineLevel="0" collapsed="false">
      <c r="A233" s="30" t="s">
        <v>8206</v>
      </c>
      <c r="B233" s="30" t="s">
        <v>8175</v>
      </c>
      <c r="C233" s="6" t="s">
        <v>8207</v>
      </c>
      <c r="D233" s="245" t="s">
        <v>8208</v>
      </c>
      <c r="E233" s="30" t="s">
        <v>7888</v>
      </c>
      <c r="F233" s="6" t="s">
        <v>8178</v>
      </c>
      <c r="G233" s="30" t="s">
        <v>8179</v>
      </c>
      <c r="H233" s="6" t="s">
        <v>8209</v>
      </c>
      <c r="I233" s="207" t="s">
        <v>8210</v>
      </c>
      <c r="J233" s="207" t="s">
        <v>840</v>
      </c>
    </row>
    <row r="234" customFormat="false" ht="143.25" hidden="false" customHeight="true" outlineLevel="0" collapsed="false">
      <c r="A234" s="30" t="s">
        <v>8211</v>
      </c>
      <c r="B234" s="30" t="s">
        <v>8212</v>
      </c>
      <c r="C234" s="6" t="s">
        <v>8213</v>
      </c>
      <c r="D234" s="245" t="s">
        <v>8214</v>
      </c>
      <c r="E234" s="30" t="s">
        <v>8215</v>
      </c>
      <c r="F234" s="6" t="s">
        <v>8216</v>
      </c>
      <c r="G234" s="30" t="s">
        <v>8217</v>
      </c>
      <c r="H234" s="6" t="s">
        <v>8218</v>
      </c>
      <c r="I234" s="207" t="s">
        <v>8219</v>
      </c>
      <c r="J234" s="207" t="s">
        <v>840</v>
      </c>
    </row>
    <row r="235" customFormat="false" ht="129" hidden="false" customHeight="true" outlineLevel="0" collapsed="false">
      <c r="A235" s="30" t="s">
        <v>8220</v>
      </c>
      <c r="B235" s="30" t="s">
        <v>8212</v>
      </c>
      <c r="C235" s="6" t="s">
        <v>8221</v>
      </c>
      <c r="D235" s="245" t="s">
        <v>8222</v>
      </c>
      <c r="E235" s="30" t="s">
        <v>8215</v>
      </c>
      <c r="F235" s="6" t="s">
        <v>8216</v>
      </c>
      <c r="G235" s="30" t="s">
        <v>8217</v>
      </c>
      <c r="H235" s="6" t="s">
        <v>8223</v>
      </c>
      <c r="I235" s="207" t="s">
        <v>8224</v>
      </c>
      <c r="J235" s="207" t="s">
        <v>840</v>
      </c>
    </row>
    <row r="236" customFormat="false" ht="100.5" hidden="false" customHeight="true" outlineLevel="0" collapsed="false">
      <c r="A236" s="30" t="s">
        <v>8225</v>
      </c>
      <c r="B236" s="30" t="s">
        <v>8212</v>
      </c>
      <c r="C236" s="6" t="s">
        <v>8226</v>
      </c>
      <c r="D236" s="245" t="s">
        <v>8227</v>
      </c>
      <c r="E236" s="30" t="s">
        <v>8215</v>
      </c>
      <c r="F236" s="6" t="s">
        <v>8216</v>
      </c>
      <c r="G236" s="30" t="s">
        <v>8217</v>
      </c>
      <c r="H236" s="6" t="s">
        <v>8228</v>
      </c>
      <c r="I236" s="207" t="s">
        <v>8229</v>
      </c>
      <c r="J236" s="207" t="s">
        <v>840</v>
      </c>
    </row>
    <row r="237" customFormat="false" ht="72" hidden="false" customHeight="true" outlineLevel="0" collapsed="false">
      <c r="A237" s="30" t="s">
        <v>8230</v>
      </c>
      <c r="B237" s="30" t="s">
        <v>8212</v>
      </c>
      <c r="C237" s="6" t="s">
        <v>8231</v>
      </c>
      <c r="D237" s="245" t="s">
        <v>8232</v>
      </c>
      <c r="E237" s="30" t="s">
        <v>8215</v>
      </c>
      <c r="F237" s="6" t="s">
        <v>8216</v>
      </c>
      <c r="G237" s="30" t="s">
        <v>8217</v>
      </c>
      <c r="H237" s="6" t="s">
        <v>8233</v>
      </c>
      <c r="I237" s="207" t="s">
        <v>8234</v>
      </c>
      <c r="J237" s="207" t="s">
        <v>840</v>
      </c>
    </row>
    <row r="238" customFormat="false" ht="129" hidden="false" customHeight="true" outlineLevel="0" collapsed="false">
      <c r="A238" s="30" t="s">
        <v>8235</v>
      </c>
      <c r="B238" s="30" t="s">
        <v>8212</v>
      </c>
      <c r="C238" s="6" t="s">
        <v>8236</v>
      </c>
      <c r="D238" s="245" t="s">
        <v>8237</v>
      </c>
      <c r="E238" s="30" t="s">
        <v>8215</v>
      </c>
      <c r="F238" s="6" t="s">
        <v>8216</v>
      </c>
      <c r="G238" s="30" t="s">
        <v>8217</v>
      </c>
      <c r="H238" s="6" t="s">
        <v>8238</v>
      </c>
      <c r="I238" s="207" t="s">
        <v>8239</v>
      </c>
      <c r="J238" s="207" t="s">
        <v>840</v>
      </c>
    </row>
    <row r="239" customFormat="false" ht="57.75" hidden="false" customHeight="true" outlineLevel="0" collapsed="false">
      <c r="A239" s="30" t="s">
        <v>5884</v>
      </c>
      <c r="B239" s="30" t="s">
        <v>8240</v>
      </c>
      <c r="C239" s="6" t="s">
        <v>8241</v>
      </c>
      <c r="D239" s="245" t="s">
        <v>8242</v>
      </c>
      <c r="E239" s="30" t="s">
        <v>8215</v>
      </c>
      <c r="F239" s="6" t="s">
        <v>8243</v>
      </c>
      <c r="G239" s="30" t="s">
        <v>8244</v>
      </c>
      <c r="H239" s="6" t="s">
        <v>8245</v>
      </c>
      <c r="I239" s="207" t="s">
        <v>8246</v>
      </c>
      <c r="J239" s="207" t="s">
        <v>840</v>
      </c>
    </row>
    <row r="240" customFormat="false" ht="57.75" hidden="false" customHeight="true" outlineLevel="0" collapsed="false">
      <c r="A240" s="30" t="s">
        <v>5980</v>
      </c>
      <c r="B240" s="30" t="s">
        <v>8240</v>
      </c>
      <c r="C240" s="6" t="s">
        <v>8247</v>
      </c>
      <c r="D240" s="245" t="s">
        <v>8248</v>
      </c>
      <c r="E240" s="30" t="s">
        <v>8215</v>
      </c>
      <c r="F240" s="6" t="s">
        <v>8243</v>
      </c>
      <c r="G240" s="30" t="s">
        <v>8244</v>
      </c>
      <c r="H240" s="6" t="s">
        <v>8249</v>
      </c>
      <c r="I240" s="207" t="s">
        <v>8246</v>
      </c>
      <c r="J240" s="207" t="s">
        <v>840</v>
      </c>
    </row>
    <row r="241" customFormat="false" ht="57.75" hidden="false" customHeight="true" outlineLevel="0" collapsed="false">
      <c r="A241" s="30" t="s">
        <v>5459</v>
      </c>
      <c r="B241" s="30" t="s">
        <v>8240</v>
      </c>
      <c r="C241" s="6" t="s">
        <v>8250</v>
      </c>
      <c r="D241" s="245" t="s">
        <v>8251</v>
      </c>
      <c r="E241" s="30" t="s">
        <v>8215</v>
      </c>
      <c r="F241" s="6" t="s">
        <v>8243</v>
      </c>
      <c r="G241" s="30" t="s">
        <v>8244</v>
      </c>
      <c r="H241" s="6" t="s">
        <v>8252</v>
      </c>
      <c r="I241" s="207" t="s">
        <v>8246</v>
      </c>
      <c r="J241" s="207" t="s">
        <v>840</v>
      </c>
    </row>
    <row r="242" customFormat="false" ht="72" hidden="false" customHeight="true" outlineLevel="0" collapsed="false">
      <c r="A242" s="30" t="s">
        <v>5269</v>
      </c>
      <c r="B242" s="30" t="s">
        <v>8240</v>
      </c>
      <c r="C242" s="6" t="s">
        <v>8253</v>
      </c>
      <c r="D242" s="6" t="s">
        <v>8254</v>
      </c>
      <c r="E242" s="30" t="s">
        <v>8215</v>
      </c>
      <c r="F242" s="6" t="s">
        <v>8243</v>
      </c>
      <c r="G242" s="30" t="s">
        <v>8244</v>
      </c>
      <c r="H242" s="6" t="s">
        <v>8255</v>
      </c>
      <c r="I242" s="207" t="s">
        <v>8246</v>
      </c>
      <c r="J242" s="207" t="s">
        <v>840</v>
      </c>
    </row>
    <row r="243" customFormat="false" ht="57.75" hidden="false" customHeight="true" outlineLevel="0" collapsed="false">
      <c r="A243" s="30" t="s">
        <v>5805</v>
      </c>
      <c r="B243" s="30" t="s">
        <v>8240</v>
      </c>
      <c r="C243" s="6" t="s">
        <v>8256</v>
      </c>
      <c r="D243" s="6" t="s">
        <v>8257</v>
      </c>
      <c r="E243" s="30" t="s">
        <v>8215</v>
      </c>
      <c r="F243" s="6" t="s">
        <v>8243</v>
      </c>
      <c r="G243" s="30" t="s">
        <v>8244</v>
      </c>
      <c r="H243" s="6" t="s">
        <v>8258</v>
      </c>
      <c r="I243" s="207" t="s">
        <v>8246</v>
      </c>
      <c r="J243" s="207" t="s">
        <v>840</v>
      </c>
    </row>
    <row r="244" customFormat="false" ht="57.75" hidden="false" customHeight="true" outlineLevel="0" collapsed="false">
      <c r="A244" s="30" t="s">
        <v>5542</v>
      </c>
      <c r="B244" s="30" t="s">
        <v>8240</v>
      </c>
      <c r="C244" s="6" t="s">
        <v>8259</v>
      </c>
      <c r="D244" s="6" t="s">
        <v>8260</v>
      </c>
      <c r="E244" s="30" t="s">
        <v>8215</v>
      </c>
      <c r="F244" s="6" t="s">
        <v>8243</v>
      </c>
      <c r="G244" s="30" t="s">
        <v>8244</v>
      </c>
      <c r="H244" s="6" t="s">
        <v>8261</v>
      </c>
      <c r="I244" s="207" t="s">
        <v>8246</v>
      </c>
      <c r="J244" s="207" t="s">
        <v>840</v>
      </c>
    </row>
    <row r="245" customFormat="false" ht="57.75" hidden="false" customHeight="true" outlineLevel="0" collapsed="false">
      <c r="A245" s="30" t="s">
        <v>6065</v>
      </c>
      <c r="B245" s="30" t="s">
        <v>8240</v>
      </c>
      <c r="C245" s="6" t="s">
        <v>8262</v>
      </c>
      <c r="D245" s="6" t="s">
        <v>8263</v>
      </c>
      <c r="E245" s="30" t="s">
        <v>8215</v>
      </c>
      <c r="F245" s="6" t="s">
        <v>8243</v>
      </c>
      <c r="G245" s="30" t="s">
        <v>8244</v>
      </c>
      <c r="H245" s="6" t="s">
        <v>8264</v>
      </c>
      <c r="I245" s="207" t="s">
        <v>8246</v>
      </c>
      <c r="J245" s="207" t="s">
        <v>840</v>
      </c>
    </row>
    <row r="246" customFormat="false" ht="57.75" hidden="false" customHeight="true" outlineLevel="0" collapsed="false">
      <c r="A246" s="30" t="s">
        <v>6508</v>
      </c>
      <c r="B246" s="30" t="s">
        <v>8240</v>
      </c>
      <c r="C246" s="6" t="s">
        <v>8265</v>
      </c>
      <c r="D246" s="6" t="s">
        <v>8266</v>
      </c>
      <c r="E246" s="30" t="s">
        <v>8215</v>
      </c>
      <c r="F246" s="6" t="s">
        <v>8243</v>
      </c>
      <c r="G246" s="30" t="s">
        <v>8244</v>
      </c>
      <c r="H246" s="6" t="s">
        <v>8267</v>
      </c>
      <c r="I246" s="207" t="s">
        <v>8246</v>
      </c>
      <c r="J246" s="207" t="s">
        <v>840</v>
      </c>
    </row>
    <row r="247" customFormat="false" ht="57.75" hidden="false" customHeight="true" outlineLevel="0" collapsed="false">
      <c r="A247" s="30" t="s">
        <v>5970</v>
      </c>
      <c r="B247" s="30" t="s">
        <v>8240</v>
      </c>
      <c r="C247" s="6" t="s">
        <v>8268</v>
      </c>
      <c r="D247" s="245" t="s">
        <v>8269</v>
      </c>
      <c r="E247" s="30" t="s">
        <v>8215</v>
      </c>
      <c r="F247" s="6" t="s">
        <v>8243</v>
      </c>
      <c r="G247" s="30" t="s">
        <v>8244</v>
      </c>
      <c r="H247" s="6" t="s">
        <v>8270</v>
      </c>
      <c r="I247" s="207" t="s">
        <v>8246</v>
      </c>
      <c r="J247" s="207" t="s">
        <v>840</v>
      </c>
    </row>
    <row r="248" customFormat="false" ht="86.25" hidden="false" customHeight="true" outlineLevel="0" collapsed="false">
      <c r="A248" s="30" t="s">
        <v>8271</v>
      </c>
      <c r="B248" s="30" t="s">
        <v>8240</v>
      </c>
      <c r="C248" s="6" t="s">
        <v>8272</v>
      </c>
      <c r="D248" s="6" t="s">
        <v>8273</v>
      </c>
      <c r="E248" s="30" t="s">
        <v>8215</v>
      </c>
      <c r="F248" s="6" t="s">
        <v>8243</v>
      </c>
      <c r="G248" s="30" t="s">
        <v>8274</v>
      </c>
      <c r="H248" s="6" t="s">
        <v>8275</v>
      </c>
      <c r="I248" s="207" t="s">
        <v>8246</v>
      </c>
      <c r="J248" s="207" t="s">
        <v>840</v>
      </c>
    </row>
    <row r="249" customFormat="false" ht="86.25" hidden="false" customHeight="true" outlineLevel="0" collapsed="false">
      <c r="A249" s="30" t="s">
        <v>8276</v>
      </c>
      <c r="B249" s="30" t="s">
        <v>8240</v>
      </c>
      <c r="C249" s="6" t="s">
        <v>8277</v>
      </c>
      <c r="D249" s="6" t="s">
        <v>8278</v>
      </c>
      <c r="E249" s="30" t="s">
        <v>8215</v>
      </c>
      <c r="F249" s="6" t="s">
        <v>8243</v>
      </c>
      <c r="G249" s="30" t="s">
        <v>8279</v>
      </c>
      <c r="H249" s="6" t="s">
        <v>8280</v>
      </c>
      <c r="I249" s="207" t="s">
        <v>8246</v>
      </c>
      <c r="J249" s="207" t="s">
        <v>840</v>
      </c>
    </row>
    <row r="250" customFormat="false" ht="57.75" hidden="false" customHeight="true" outlineLevel="0" collapsed="false">
      <c r="A250" s="30" t="s">
        <v>8281</v>
      </c>
      <c r="B250" s="30" t="s">
        <v>8240</v>
      </c>
      <c r="C250" s="6" t="s">
        <v>8282</v>
      </c>
      <c r="D250" s="6" t="s">
        <v>8283</v>
      </c>
      <c r="E250" s="30" t="s">
        <v>8215</v>
      </c>
      <c r="F250" s="6" t="s">
        <v>8243</v>
      </c>
      <c r="G250" s="30" t="s">
        <v>8274</v>
      </c>
      <c r="H250" s="6" t="s">
        <v>8284</v>
      </c>
      <c r="I250" s="207" t="s">
        <v>8246</v>
      </c>
      <c r="J250" s="207" t="s">
        <v>840</v>
      </c>
    </row>
    <row r="251" customFormat="false" ht="100.5" hidden="false" customHeight="true" outlineLevel="0" collapsed="false">
      <c r="A251" s="30" t="s">
        <v>8285</v>
      </c>
      <c r="B251" s="30" t="s">
        <v>8286</v>
      </c>
      <c r="C251" s="245" t="s">
        <v>8287</v>
      </c>
      <c r="D251" s="6" t="s">
        <v>8288</v>
      </c>
      <c r="E251" s="30" t="s">
        <v>8215</v>
      </c>
      <c r="F251" s="6" t="s">
        <v>8289</v>
      </c>
      <c r="G251" s="30" t="s">
        <v>8290</v>
      </c>
      <c r="H251" s="245" t="s">
        <v>8291</v>
      </c>
      <c r="I251" s="207" t="s">
        <v>8292</v>
      </c>
      <c r="J251" s="207" t="s">
        <v>840</v>
      </c>
    </row>
    <row r="252" customFormat="false" ht="114.75" hidden="false" customHeight="true" outlineLevel="0" collapsed="false">
      <c r="A252" s="30" t="s">
        <v>8293</v>
      </c>
      <c r="B252" s="30" t="s">
        <v>8286</v>
      </c>
      <c r="C252" s="245" t="s">
        <v>8294</v>
      </c>
      <c r="D252" s="245" t="s">
        <v>8295</v>
      </c>
      <c r="E252" s="30" t="s">
        <v>8215</v>
      </c>
      <c r="F252" s="6" t="s">
        <v>8289</v>
      </c>
      <c r="G252" s="30" t="s">
        <v>8290</v>
      </c>
      <c r="H252" s="6" t="s">
        <v>8296</v>
      </c>
      <c r="I252" s="207" t="s">
        <v>8297</v>
      </c>
      <c r="J252" s="207" t="s">
        <v>840</v>
      </c>
    </row>
    <row r="253" customFormat="false" ht="72" hidden="false" customHeight="true" outlineLevel="0" collapsed="false">
      <c r="A253" s="30" t="s">
        <v>8298</v>
      </c>
      <c r="B253" s="30" t="s">
        <v>8286</v>
      </c>
      <c r="C253" s="245" t="s">
        <v>8299</v>
      </c>
      <c r="D253" s="6" t="s">
        <v>8300</v>
      </c>
      <c r="E253" s="30" t="s">
        <v>8215</v>
      </c>
      <c r="F253" s="6" t="s">
        <v>8289</v>
      </c>
      <c r="G253" s="207" t="s">
        <v>8301</v>
      </c>
      <c r="H253" s="6" t="s">
        <v>8302</v>
      </c>
      <c r="I253" s="207" t="s">
        <v>8303</v>
      </c>
      <c r="J253" s="207" t="s">
        <v>840</v>
      </c>
    </row>
    <row r="254" customFormat="false" ht="72" hidden="false" customHeight="true" outlineLevel="0" collapsed="false">
      <c r="A254" s="30" t="s">
        <v>8304</v>
      </c>
      <c r="B254" s="30" t="s">
        <v>8286</v>
      </c>
      <c r="C254" s="245" t="s">
        <v>8305</v>
      </c>
      <c r="D254" s="245" t="s">
        <v>8306</v>
      </c>
      <c r="E254" s="30" t="s">
        <v>8215</v>
      </c>
      <c r="F254" s="6" t="s">
        <v>8289</v>
      </c>
      <c r="G254" s="30" t="s">
        <v>8290</v>
      </c>
      <c r="H254" s="6" t="s">
        <v>8307</v>
      </c>
      <c r="I254" s="207" t="s">
        <v>8308</v>
      </c>
      <c r="J254" s="207" t="s">
        <v>840</v>
      </c>
    </row>
    <row r="255" customFormat="false" ht="57.75" hidden="false" customHeight="true" outlineLevel="0" collapsed="false">
      <c r="A255" s="30" t="s">
        <v>8309</v>
      </c>
      <c r="B255" s="30" t="s">
        <v>8286</v>
      </c>
      <c r="C255" s="245" t="s">
        <v>8310</v>
      </c>
      <c r="D255" s="245" t="s">
        <v>8311</v>
      </c>
      <c r="E255" s="30" t="s">
        <v>8215</v>
      </c>
      <c r="F255" s="6" t="s">
        <v>8289</v>
      </c>
      <c r="G255" s="30" t="s">
        <v>8290</v>
      </c>
      <c r="H255" s="245" t="s">
        <v>8312</v>
      </c>
      <c r="I255" s="207" t="s">
        <v>8313</v>
      </c>
      <c r="J255" s="207" t="s">
        <v>840</v>
      </c>
    </row>
    <row r="256" customFormat="false" ht="157.45" hidden="false" customHeight="false" outlineLevel="0" collapsed="false">
      <c r="A256" s="62" t="s">
        <v>8314</v>
      </c>
      <c r="B256" s="62" t="s">
        <v>8315</v>
      </c>
      <c r="C256" s="6" t="s">
        <v>8316</v>
      </c>
      <c r="D256" s="6" t="s">
        <v>8317</v>
      </c>
      <c r="E256" s="62" t="s">
        <v>8215</v>
      </c>
      <c r="F256" s="6" t="s">
        <v>8318</v>
      </c>
      <c r="G256" s="62" t="s">
        <v>8319</v>
      </c>
      <c r="H256" s="6" t="s">
        <v>8302</v>
      </c>
      <c r="I256" s="61" t="s">
        <v>8320</v>
      </c>
      <c r="J256" s="61" t="s">
        <v>840</v>
      </c>
    </row>
    <row r="257" customFormat="false" ht="72.35" hidden="false" customHeight="false" outlineLevel="0" collapsed="false">
      <c r="A257" s="62" t="s">
        <v>8321</v>
      </c>
      <c r="B257" s="62" t="s">
        <v>8315</v>
      </c>
      <c r="C257" s="6" t="s">
        <v>8322</v>
      </c>
      <c r="D257" s="6" t="s">
        <v>8323</v>
      </c>
      <c r="E257" s="62" t="s">
        <v>8215</v>
      </c>
      <c r="F257" s="6" t="s">
        <v>8318</v>
      </c>
      <c r="G257" s="62" t="s">
        <v>8319</v>
      </c>
      <c r="H257" s="6" t="s">
        <v>8324</v>
      </c>
      <c r="I257" s="61" t="s">
        <v>8325</v>
      </c>
      <c r="J257" s="61" t="s">
        <v>840</v>
      </c>
    </row>
    <row r="258" customFormat="false" ht="58.2" hidden="false" customHeight="false" outlineLevel="0" collapsed="false">
      <c r="A258" s="62" t="s">
        <v>8326</v>
      </c>
      <c r="B258" s="62" t="s">
        <v>8315</v>
      </c>
      <c r="C258" s="6" t="s">
        <v>8327</v>
      </c>
      <c r="D258" s="5" t="s">
        <v>8328</v>
      </c>
      <c r="E258" s="62" t="s">
        <v>8215</v>
      </c>
      <c r="F258" s="6" t="s">
        <v>8318</v>
      </c>
      <c r="G258" s="62" t="s">
        <v>8319</v>
      </c>
      <c r="H258" s="6" t="s">
        <v>8329</v>
      </c>
      <c r="I258" s="61" t="s">
        <v>8330</v>
      </c>
      <c r="J258" s="61" t="s">
        <v>840</v>
      </c>
    </row>
    <row r="259" customFormat="false" ht="753.7" hidden="false" customHeight="false" outlineLevel="0" collapsed="false">
      <c r="A259" s="62" t="s">
        <v>8331</v>
      </c>
      <c r="B259" s="62" t="s">
        <v>8315</v>
      </c>
      <c r="C259" s="6" t="s">
        <v>8332</v>
      </c>
      <c r="D259" s="6" t="s">
        <v>8333</v>
      </c>
      <c r="E259" s="62" t="s">
        <v>8215</v>
      </c>
      <c r="F259" s="6" t="s">
        <v>8318</v>
      </c>
      <c r="G259" s="62" t="s">
        <v>8319</v>
      </c>
      <c r="H259" s="5" t="s">
        <v>8334</v>
      </c>
      <c r="I259" s="61" t="s">
        <v>8335</v>
      </c>
      <c r="J259" s="61" t="s">
        <v>840</v>
      </c>
    </row>
    <row r="260" customFormat="false" ht="242.5" hidden="false" customHeight="false" outlineLevel="0" collapsed="false">
      <c r="A260" s="62" t="s">
        <v>8336</v>
      </c>
      <c r="B260" s="62" t="s">
        <v>8315</v>
      </c>
      <c r="C260" s="6" t="s">
        <v>8337</v>
      </c>
      <c r="D260" s="6" t="s">
        <v>8338</v>
      </c>
      <c r="E260" s="62" t="s">
        <v>8215</v>
      </c>
      <c r="F260" s="6" t="s">
        <v>8318</v>
      </c>
      <c r="G260" s="62" t="s">
        <v>8319</v>
      </c>
      <c r="H260" s="6" t="s">
        <v>8339</v>
      </c>
      <c r="I260" s="61" t="s">
        <v>8340</v>
      </c>
      <c r="J260" s="61" t="s">
        <v>840</v>
      </c>
    </row>
    <row r="261" customFormat="false" ht="157.45" hidden="false" customHeight="false" outlineLevel="0" collapsed="false">
      <c r="A261" s="62" t="s">
        <v>8341</v>
      </c>
      <c r="B261" s="62" t="s">
        <v>8315</v>
      </c>
      <c r="C261" s="6" t="s">
        <v>8342</v>
      </c>
      <c r="D261" s="6" t="s">
        <v>8343</v>
      </c>
      <c r="E261" s="62" t="s">
        <v>8215</v>
      </c>
      <c r="F261" s="6" t="s">
        <v>8318</v>
      </c>
      <c r="G261" s="62" t="s">
        <v>8319</v>
      </c>
      <c r="H261" s="6" t="s">
        <v>8344</v>
      </c>
      <c r="I261" s="61" t="s">
        <v>8345</v>
      </c>
      <c r="J261" s="61" t="s">
        <v>840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8346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29.25" hidden="false" customHeight="true" outlineLevel="0" collapsed="false">
      <c r="A5" s="30" t="s">
        <v>5368</v>
      </c>
      <c r="B5" s="6" t="s">
        <v>8367</v>
      </c>
      <c r="C5" s="255" t="n">
        <v>10.2</v>
      </c>
      <c r="D5" s="253"/>
      <c r="E5" s="253"/>
      <c r="F5" s="30" t="s">
        <v>8368</v>
      </c>
      <c r="G5" s="253" t="s">
        <v>8369</v>
      </c>
      <c r="H5" s="30" t="s">
        <v>8370</v>
      </c>
      <c r="I5" s="30" t="s">
        <v>8371</v>
      </c>
      <c r="J5" s="6" t="s">
        <v>8372</v>
      </c>
      <c r="K5" s="253" t="n">
        <v>1</v>
      </c>
      <c r="L5" s="253" t="s">
        <v>8373</v>
      </c>
      <c r="M5" s="6" t="s">
        <v>8374</v>
      </c>
      <c r="N5" s="253" t="s">
        <v>8375</v>
      </c>
      <c r="O5" s="30" t="s">
        <v>8376</v>
      </c>
      <c r="P5" s="30" t="s">
        <v>809</v>
      </c>
      <c r="Q5" s="30" t="s">
        <v>8377</v>
      </c>
      <c r="R5" s="30" t="s">
        <v>809</v>
      </c>
      <c r="S5" s="30" t="s">
        <v>7466</v>
      </c>
      <c r="T5" s="30" t="s">
        <v>809</v>
      </c>
      <c r="U5" s="30" t="s">
        <v>7462</v>
      </c>
      <c r="V5" s="6" t="s">
        <v>8378</v>
      </c>
      <c r="W5" s="6" t="s">
        <v>8379</v>
      </c>
      <c r="X5" s="32" t="n">
        <f aca="false">IF($O5="Active",SUMPRODUCT(($AH$5:$AH$124=$AH5)*1),0)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8380</v>
      </c>
      <c r="B6" s="6" t="s">
        <v>8381</v>
      </c>
      <c r="C6" s="255" t="n">
        <v>30000</v>
      </c>
      <c r="D6" s="253"/>
      <c r="E6" s="253"/>
      <c r="F6" s="30" t="s">
        <v>145</v>
      </c>
      <c r="G6" s="253" t="s">
        <v>8382</v>
      </c>
      <c r="H6" s="30" t="s">
        <v>201</v>
      </c>
      <c r="I6" s="30" t="s">
        <v>8383</v>
      </c>
      <c r="J6" s="6" t="s">
        <v>8384</v>
      </c>
      <c r="K6" s="253" t="n">
        <v>3</v>
      </c>
      <c r="L6" s="253" t="s">
        <v>8373</v>
      </c>
      <c r="M6" s="6" t="s">
        <v>8385</v>
      </c>
      <c r="N6" s="253" t="s">
        <v>8386</v>
      </c>
      <c r="O6" s="30" t="s">
        <v>8376</v>
      </c>
      <c r="P6" s="30" t="s">
        <v>809</v>
      </c>
      <c r="Q6" s="30" t="s">
        <v>8387</v>
      </c>
      <c r="R6" s="30" t="s">
        <v>809</v>
      </c>
      <c r="S6" s="30" t="s">
        <v>809</v>
      </c>
      <c r="T6" s="30" t="s">
        <v>809</v>
      </c>
      <c r="U6" s="30" t="s">
        <v>7471</v>
      </c>
      <c r="V6" s="6" t="s">
        <v>809</v>
      </c>
      <c r="W6" s="6" t="s">
        <v>809</v>
      </c>
      <c r="X6" s="32" t="n">
        <f aca="false">IF($O6="Active",SUMPRODUCT(($AH$5:$AH$124=$AH6)*1),0)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5394</v>
      </c>
      <c r="B7" s="6" t="s">
        <v>8388</v>
      </c>
      <c r="C7" s="253"/>
      <c r="D7" s="255" t="n">
        <v>220000</v>
      </c>
      <c r="E7" s="255" t="n">
        <v>320000</v>
      </c>
      <c r="F7" s="30" t="s">
        <v>8389</v>
      </c>
      <c r="G7" s="253" t="s">
        <v>8390</v>
      </c>
      <c r="H7" s="30" t="s">
        <v>201</v>
      </c>
      <c r="I7" s="30" t="s">
        <v>8383</v>
      </c>
      <c r="J7" s="6" t="s">
        <v>8384</v>
      </c>
      <c r="K7" s="253" t="n">
        <v>2</v>
      </c>
      <c r="L7" s="253" t="s">
        <v>8373</v>
      </c>
      <c r="M7" s="6" t="s">
        <v>8385</v>
      </c>
      <c r="N7" s="253" t="s">
        <v>8386</v>
      </c>
      <c r="O7" s="30" t="s">
        <v>8376</v>
      </c>
      <c r="P7" s="30" t="s">
        <v>809</v>
      </c>
      <c r="Q7" s="30" t="s">
        <v>8391</v>
      </c>
      <c r="R7" s="30" t="s">
        <v>809</v>
      </c>
      <c r="S7" s="30" t="s">
        <v>7466</v>
      </c>
      <c r="T7" s="30" t="s">
        <v>809</v>
      </c>
      <c r="U7" s="30" t="s">
        <v>7471</v>
      </c>
      <c r="V7" s="6" t="s">
        <v>8392</v>
      </c>
      <c r="W7" s="6" t="s">
        <v>8393</v>
      </c>
      <c r="X7" s="32" t="n">
        <f aca="false">IF($O7="Active",SUMPRODUCT(($AH$5:$AH$124=$AH7)*1),0)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5358</v>
      </c>
      <c r="B8" s="6" t="s">
        <v>8394</v>
      </c>
      <c r="C8" s="253"/>
      <c r="D8" s="255" t="n">
        <v>120</v>
      </c>
      <c r="E8" s="255" t="n">
        <v>132</v>
      </c>
      <c r="F8" s="30" t="s">
        <v>8395</v>
      </c>
      <c r="G8" s="253" t="s">
        <v>8396</v>
      </c>
      <c r="H8" s="30" t="s">
        <v>202</v>
      </c>
      <c r="I8" s="30" t="s">
        <v>8397</v>
      </c>
      <c r="J8" s="6" t="s">
        <v>8398</v>
      </c>
      <c r="K8" s="253" t="n">
        <v>1</v>
      </c>
      <c r="L8" s="253" t="s">
        <v>8373</v>
      </c>
      <c r="M8" s="6" t="s">
        <v>8399</v>
      </c>
      <c r="N8" s="253" t="s">
        <v>8375</v>
      </c>
      <c r="O8" s="30" t="s">
        <v>8376</v>
      </c>
      <c r="P8" s="30" t="s">
        <v>809</v>
      </c>
      <c r="Q8" s="30" t="s">
        <v>8400</v>
      </c>
      <c r="R8" s="30" t="s">
        <v>809</v>
      </c>
      <c r="S8" s="30" t="s">
        <v>7466</v>
      </c>
      <c r="T8" s="30" t="s">
        <v>809</v>
      </c>
      <c r="U8" s="30" t="s">
        <v>8401</v>
      </c>
      <c r="V8" s="6" t="s">
        <v>8402</v>
      </c>
      <c r="W8" s="20" t="s">
        <v>8403</v>
      </c>
      <c r="X8" s="32" t="n">
        <f aca="false">IF($O8="Active",SUMPRODUCT(($AH$5:$AH$124=$AH8)*1),0)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5360</v>
      </c>
      <c r="B9" s="6" t="s">
        <v>8404</v>
      </c>
      <c r="C9" s="253"/>
      <c r="D9" s="255" t="n">
        <v>132</v>
      </c>
      <c r="E9" s="255" t="n">
        <v>140</v>
      </c>
      <c r="F9" s="30" t="s">
        <v>8395</v>
      </c>
      <c r="G9" s="253" t="s">
        <v>8405</v>
      </c>
      <c r="H9" s="30" t="s">
        <v>203</v>
      </c>
      <c r="I9" s="30" t="s">
        <v>8397</v>
      </c>
      <c r="J9" s="6" t="s">
        <v>8406</v>
      </c>
      <c r="K9" s="253" t="n">
        <v>2</v>
      </c>
      <c r="L9" s="253" t="s">
        <v>8373</v>
      </c>
      <c r="M9" s="6" t="s">
        <v>8399</v>
      </c>
      <c r="N9" s="253" t="s">
        <v>8386</v>
      </c>
      <c r="O9" s="30" t="s">
        <v>8376</v>
      </c>
      <c r="P9" s="30" t="s">
        <v>809</v>
      </c>
      <c r="Q9" s="30" t="s">
        <v>8407</v>
      </c>
      <c r="R9" s="30" t="s">
        <v>809</v>
      </c>
      <c r="S9" s="30" t="s">
        <v>7466</v>
      </c>
      <c r="T9" s="30" t="s">
        <v>809</v>
      </c>
      <c r="U9" s="30" t="s">
        <v>8401</v>
      </c>
      <c r="V9" s="6" t="s">
        <v>8408</v>
      </c>
      <c r="W9" s="20" t="s">
        <v>8409</v>
      </c>
      <c r="X9" s="32" t="n">
        <f aca="false">IF($O9="Active",SUMPRODUCT(($AH$5:$AH$124=$AH9)*1),0)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5398</v>
      </c>
      <c r="B10" s="6" t="s">
        <v>8410</v>
      </c>
      <c r="C10" s="253"/>
      <c r="D10" s="255" t="n">
        <v>2.8</v>
      </c>
      <c r="E10" s="255" t="n">
        <v>3.4</v>
      </c>
      <c r="F10" s="30" t="s">
        <v>8411</v>
      </c>
      <c r="G10" s="253" t="s">
        <v>8412</v>
      </c>
      <c r="H10" s="30" t="s">
        <v>202</v>
      </c>
      <c r="I10" s="30" t="s">
        <v>8413</v>
      </c>
      <c r="J10" s="6" t="s">
        <v>8414</v>
      </c>
      <c r="K10" s="253" t="n">
        <v>2</v>
      </c>
      <c r="L10" s="253" t="s">
        <v>8373</v>
      </c>
      <c r="M10" s="20" t="s">
        <v>8415</v>
      </c>
      <c r="N10" s="253" t="s">
        <v>8386</v>
      </c>
      <c r="O10" s="30" t="s">
        <v>8376</v>
      </c>
      <c r="P10" s="30" t="s">
        <v>809</v>
      </c>
      <c r="Q10" s="30" t="s">
        <v>8416</v>
      </c>
      <c r="R10" s="30" t="s">
        <v>809</v>
      </c>
      <c r="S10" s="30" t="s">
        <v>7466</v>
      </c>
      <c r="T10" s="30" t="s">
        <v>809</v>
      </c>
      <c r="U10" s="30" t="s">
        <v>8417</v>
      </c>
      <c r="V10" s="6" t="s">
        <v>8418</v>
      </c>
      <c r="W10" s="20" t="s">
        <v>8419</v>
      </c>
      <c r="X10" s="32" t="n">
        <f aca="false">IF($O10="Active",SUMPRODUCT(($AH$5:$AH$124=$AH10)*1),0)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8420</v>
      </c>
      <c r="B11" s="6" t="s">
        <v>8421</v>
      </c>
      <c r="C11" s="253"/>
      <c r="D11" s="255" t="n">
        <v>6</v>
      </c>
      <c r="E11" s="255" t="n">
        <v>6.5</v>
      </c>
      <c r="F11" s="30" t="s">
        <v>8411</v>
      </c>
      <c r="G11" s="253" t="s">
        <v>8412</v>
      </c>
      <c r="H11" s="30" t="s">
        <v>203</v>
      </c>
      <c r="I11" s="30" t="s">
        <v>8413</v>
      </c>
      <c r="J11" s="6" t="s">
        <v>8414</v>
      </c>
      <c r="K11" s="253" t="n">
        <v>3</v>
      </c>
      <c r="L11" s="253" t="s">
        <v>8373</v>
      </c>
      <c r="M11" s="20" t="s">
        <v>8415</v>
      </c>
      <c r="N11" s="253" t="s">
        <v>8386</v>
      </c>
      <c r="O11" s="30" t="s">
        <v>8422</v>
      </c>
      <c r="P11" s="30" t="s">
        <v>809</v>
      </c>
      <c r="Q11" s="30" t="s">
        <v>8423</v>
      </c>
      <c r="R11" s="30" t="s">
        <v>809</v>
      </c>
      <c r="S11" s="30" t="s">
        <v>809</v>
      </c>
      <c r="T11" s="30" t="s">
        <v>809</v>
      </c>
      <c r="U11" s="30" t="s">
        <v>8417</v>
      </c>
      <c r="V11" s="245" t="s">
        <v>8424</v>
      </c>
      <c r="W11" s="6" t="s">
        <v>8425</v>
      </c>
      <c r="X11" s="32" t="n">
        <f aca="false">IF($O11="Active",SUMPRODUCT(($AH$5:$AH$124=$AH11)*1),0)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8426</v>
      </c>
      <c r="B12" s="6" t="s">
        <v>8427</v>
      </c>
      <c r="C12" s="253"/>
      <c r="D12" s="255" t="n">
        <v>5</v>
      </c>
      <c r="E12" s="255" t="n">
        <v>7</v>
      </c>
      <c r="F12" s="30" t="s">
        <v>8411</v>
      </c>
      <c r="G12" s="253" t="s">
        <v>8412</v>
      </c>
      <c r="H12" s="30" t="s">
        <v>204</v>
      </c>
      <c r="I12" s="30" t="s">
        <v>8413</v>
      </c>
      <c r="J12" s="6" t="s">
        <v>8414</v>
      </c>
      <c r="K12" s="253" t="n">
        <v>3</v>
      </c>
      <c r="L12" s="253" t="s">
        <v>8373</v>
      </c>
      <c r="M12" s="20" t="s">
        <v>8415</v>
      </c>
      <c r="N12" s="253" t="s">
        <v>8386</v>
      </c>
      <c r="O12" s="30" t="s">
        <v>8422</v>
      </c>
      <c r="P12" s="30" t="s">
        <v>809</v>
      </c>
      <c r="Q12" s="30" t="s">
        <v>8428</v>
      </c>
      <c r="R12" s="30" t="s">
        <v>809</v>
      </c>
      <c r="S12" s="30" t="s">
        <v>809</v>
      </c>
      <c r="T12" s="30" t="s">
        <v>809</v>
      </c>
      <c r="U12" s="30" t="s">
        <v>8417</v>
      </c>
      <c r="V12" s="6" t="s">
        <v>809</v>
      </c>
      <c r="W12" s="20" t="s">
        <v>8429</v>
      </c>
      <c r="X12" s="32" t="n">
        <f aca="false">IF($O12="Active",SUMPRODUCT(($AH$5:$AH$124=$AH12)*1),0)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8430</v>
      </c>
      <c r="B13" s="6" t="s">
        <v>8431</v>
      </c>
      <c r="C13" s="253"/>
      <c r="D13" s="255" t="n">
        <v>132</v>
      </c>
      <c r="E13" s="255" t="n">
        <v>140</v>
      </c>
      <c r="F13" s="30" t="s">
        <v>8395</v>
      </c>
      <c r="G13" s="253" t="s">
        <v>8432</v>
      </c>
      <c r="H13" s="30" t="s">
        <v>203</v>
      </c>
      <c r="I13" s="30" t="s">
        <v>1514</v>
      </c>
      <c r="J13" s="6" t="s">
        <v>8433</v>
      </c>
      <c r="K13" s="253" t="n">
        <v>3</v>
      </c>
      <c r="L13" s="253" t="s">
        <v>8373</v>
      </c>
      <c r="M13" s="6" t="s">
        <v>8434</v>
      </c>
      <c r="N13" s="253" t="s">
        <v>8386</v>
      </c>
      <c r="O13" s="30" t="s">
        <v>8376</v>
      </c>
      <c r="P13" s="30" t="s">
        <v>809</v>
      </c>
      <c r="Q13" s="30" t="s">
        <v>8435</v>
      </c>
      <c r="R13" s="30" t="s">
        <v>809</v>
      </c>
      <c r="S13" s="30" t="s">
        <v>809</v>
      </c>
      <c r="T13" s="30" t="s">
        <v>809</v>
      </c>
      <c r="U13" s="30" t="s">
        <v>8436</v>
      </c>
      <c r="V13" s="6" t="s">
        <v>8437</v>
      </c>
      <c r="W13" s="6" t="s">
        <v>809</v>
      </c>
      <c r="X13" s="32" t="n">
        <f aca="false">IF($O13="Active",SUMPRODUCT(($AH$5:$AH$124=$AH13)*1),0)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5434</v>
      </c>
      <c r="B14" s="6" t="s">
        <v>8438</v>
      </c>
      <c r="C14" s="255" t="n">
        <v>5</v>
      </c>
      <c r="D14" s="253"/>
      <c r="E14" s="253"/>
      <c r="F14" s="30" t="s">
        <v>8411</v>
      </c>
      <c r="G14" s="253" t="s">
        <v>8439</v>
      </c>
      <c r="H14" s="30" t="s">
        <v>203</v>
      </c>
      <c r="I14" s="30" t="s">
        <v>1514</v>
      </c>
      <c r="J14" s="6" t="s">
        <v>8440</v>
      </c>
      <c r="K14" s="253" t="n">
        <v>2</v>
      </c>
      <c r="L14" s="253" t="s">
        <v>8373</v>
      </c>
      <c r="M14" s="20" t="s">
        <v>8441</v>
      </c>
      <c r="N14" s="253" t="s">
        <v>8386</v>
      </c>
      <c r="O14" s="30" t="s">
        <v>8376</v>
      </c>
      <c r="P14" s="30" t="s">
        <v>809</v>
      </c>
      <c r="Q14" s="30" t="s">
        <v>8442</v>
      </c>
      <c r="R14" s="30" t="s">
        <v>809</v>
      </c>
      <c r="S14" s="30" t="s">
        <v>4626</v>
      </c>
      <c r="T14" s="30" t="s">
        <v>809</v>
      </c>
      <c r="U14" s="30" t="s">
        <v>8443</v>
      </c>
      <c r="V14" s="6" t="s">
        <v>8444</v>
      </c>
      <c r="W14" s="6" t="s">
        <v>8445</v>
      </c>
      <c r="X14" s="32" t="n">
        <f aca="false">IF($O14="Active",SUMPRODUCT(($AH$5:$AH$124=$AH14)*1),0)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5362</v>
      </c>
      <c r="B15" s="6" t="s">
        <v>8446</v>
      </c>
      <c r="C15" s="255" t="n">
        <v>188</v>
      </c>
      <c r="D15" s="253"/>
      <c r="E15" s="253"/>
      <c r="F15" s="30" t="s">
        <v>8395</v>
      </c>
      <c r="G15" s="253" t="s">
        <v>8447</v>
      </c>
      <c r="H15" s="30" t="s">
        <v>204</v>
      </c>
      <c r="I15" s="30" t="s">
        <v>8383</v>
      </c>
      <c r="J15" s="6" t="s">
        <v>8448</v>
      </c>
      <c r="K15" s="253" t="n">
        <v>1</v>
      </c>
      <c r="L15" s="253" t="s">
        <v>8373</v>
      </c>
      <c r="M15" s="20" t="s">
        <v>8449</v>
      </c>
      <c r="N15" s="253" t="s">
        <v>8375</v>
      </c>
      <c r="O15" s="30" t="s">
        <v>8376</v>
      </c>
      <c r="P15" s="30" t="s">
        <v>809</v>
      </c>
      <c r="Q15" s="30" t="s">
        <v>8450</v>
      </c>
      <c r="R15" s="30" t="s">
        <v>809</v>
      </c>
      <c r="S15" s="30" t="s">
        <v>7466</v>
      </c>
      <c r="T15" s="30" t="s">
        <v>809</v>
      </c>
      <c r="U15" s="30" t="s">
        <v>8451</v>
      </c>
      <c r="V15" s="6" t="s">
        <v>8452</v>
      </c>
      <c r="W15" s="6" t="s">
        <v>8453</v>
      </c>
      <c r="X15" s="32" t="n">
        <f aca="false">IF($O15="Active",SUMPRODUCT(($AH$5:$AH$124=$AH15)*1),0)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5390</v>
      </c>
      <c r="B16" s="6" t="s">
        <v>8454</v>
      </c>
      <c r="C16" s="255" t="n">
        <v>230</v>
      </c>
      <c r="D16" s="253"/>
      <c r="E16" s="253"/>
      <c r="F16" s="30" t="s">
        <v>8395</v>
      </c>
      <c r="G16" s="253" t="s">
        <v>8455</v>
      </c>
      <c r="H16" s="30" t="s">
        <v>204</v>
      </c>
      <c r="I16" s="30" t="s">
        <v>8383</v>
      </c>
      <c r="J16" s="6" t="s">
        <v>8456</v>
      </c>
      <c r="K16" s="253" t="n">
        <v>3</v>
      </c>
      <c r="L16" s="253" t="s">
        <v>8373</v>
      </c>
      <c r="M16" s="20" t="s">
        <v>8449</v>
      </c>
      <c r="N16" s="253" t="s">
        <v>8386</v>
      </c>
      <c r="O16" s="30" t="s">
        <v>8376</v>
      </c>
      <c r="P16" s="30" t="s">
        <v>809</v>
      </c>
      <c r="Q16" s="30" t="s">
        <v>8457</v>
      </c>
      <c r="R16" s="30" t="s">
        <v>809</v>
      </c>
      <c r="S16" s="30" t="s">
        <v>809</v>
      </c>
      <c r="T16" s="30" t="s">
        <v>809</v>
      </c>
      <c r="U16" s="30" t="s">
        <v>8451</v>
      </c>
      <c r="V16" s="6" t="s">
        <v>8458</v>
      </c>
      <c r="W16" s="6" t="s">
        <v>5241</v>
      </c>
      <c r="X16" s="32" t="n">
        <f aca="false">IF($O16="Active",SUMPRODUCT(($AH$5:$AH$124=$AH16)*1),0)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8459</v>
      </c>
      <c r="B17" s="6" t="s">
        <v>8460</v>
      </c>
      <c r="C17" s="255" t="n">
        <v>600</v>
      </c>
      <c r="D17" s="253"/>
      <c r="E17" s="253"/>
      <c r="F17" s="30" t="s">
        <v>8395</v>
      </c>
      <c r="G17" s="253" t="s">
        <v>8461</v>
      </c>
      <c r="H17" s="30" t="s">
        <v>8462</v>
      </c>
      <c r="I17" s="30" t="s">
        <v>8383</v>
      </c>
      <c r="J17" s="6" t="s">
        <v>8456</v>
      </c>
      <c r="K17" s="253" t="n">
        <v>3</v>
      </c>
      <c r="L17" s="253" t="s">
        <v>8373</v>
      </c>
      <c r="M17" s="20" t="s">
        <v>8449</v>
      </c>
      <c r="N17" s="253" t="s">
        <v>8386</v>
      </c>
      <c r="O17" s="30" t="s">
        <v>8463</v>
      </c>
      <c r="P17" s="30" t="s">
        <v>8464</v>
      </c>
      <c r="Q17" s="30" t="s">
        <v>8457</v>
      </c>
      <c r="R17" s="30" t="s">
        <v>809</v>
      </c>
      <c r="S17" s="30" t="s">
        <v>809</v>
      </c>
      <c r="T17" s="30" t="s">
        <v>809</v>
      </c>
      <c r="U17" s="30" t="s">
        <v>8451</v>
      </c>
      <c r="V17" s="6" t="s">
        <v>8465</v>
      </c>
      <c r="W17" s="20" t="s">
        <v>8466</v>
      </c>
      <c r="X17" s="32" t="n">
        <f aca="false">IF($O17="Active",SUMPRODUCT(($AH$5:$AH$124=$AH17)*1),0)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5379</v>
      </c>
      <c r="B18" s="6" t="s">
        <v>8467</v>
      </c>
      <c r="C18" s="255" t="n">
        <v>227</v>
      </c>
      <c r="D18" s="253"/>
      <c r="E18" s="253"/>
      <c r="F18" s="30" t="s">
        <v>8395</v>
      </c>
      <c r="G18" s="30" t="s">
        <v>8468</v>
      </c>
      <c r="H18" s="30" t="s">
        <v>204</v>
      </c>
      <c r="I18" s="30" t="s">
        <v>1511</v>
      </c>
      <c r="J18" s="6" t="s">
        <v>8469</v>
      </c>
      <c r="K18" s="253" t="n">
        <v>1</v>
      </c>
      <c r="L18" s="253" t="s">
        <v>8373</v>
      </c>
      <c r="M18" s="6" t="s">
        <v>8470</v>
      </c>
      <c r="N18" s="253" t="s">
        <v>8375</v>
      </c>
      <c r="O18" s="30" t="s">
        <v>8376</v>
      </c>
      <c r="P18" s="30" t="s">
        <v>809</v>
      </c>
      <c r="Q18" s="30" t="s">
        <v>8471</v>
      </c>
      <c r="R18" s="30" t="s">
        <v>8472</v>
      </c>
      <c r="S18" s="30" t="s">
        <v>7466</v>
      </c>
      <c r="T18" s="30" t="s">
        <v>809</v>
      </c>
      <c r="U18" s="30" t="s">
        <v>8473</v>
      </c>
      <c r="V18" s="6" t="s">
        <v>8474</v>
      </c>
      <c r="W18" s="6" t="s">
        <v>8475</v>
      </c>
      <c r="X18" s="32" t="n">
        <f aca="false">IF($O18="Active",SUMPRODUCT(($AH$5:$AH$124=$AH18)*1),0)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5405</v>
      </c>
      <c r="B19" s="6" t="s">
        <v>8476</v>
      </c>
      <c r="C19" s="255" t="n">
        <v>7.8</v>
      </c>
      <c r="D19" s="253"/>
      <c r="E19" s="253"/>
      <c r="F19" s="30" t="s">
        <v>8411</v>
      </c>
      <c r="G19" s="253" t="s">
        <v>8477</v>
      </c>
      <c r="H19" s="30" t="s">
        <v>204</v>
      </c>
      <c r="I19" s="30" t="s">
        <v>8478</v>
      </c>
      <c r="J19" s="6" t="s">
        <v>8479</v>
      </c>
      <c r="K19" s="253" t="n">
        <v>2</v>
      </c>
      <c r="L19" s="253" t="s">
        <v>8480</v>
      </c>
      <c r="M19" s="6" t="s">
        <v>8481</v>
      </c>
      <c r="N19" s="253" t="s">
        <v>8386</v>
      </c>
      <c r="O19" s="30" t="s">
        <v>8376</v>
      </c>
      <c r="P19" s="30" t="s">
        <v>809</v>
      </c>
      <c r="Q19" s="30" t="s">
        <v>8482</v>
      </c>
      <c r="R19" s="30" t="s">
        <v>809</v>
      </c>
      <c r="S19" s="30" t="s">
        <v>7466</v>
      </c>
      <c r="T19" s="30" t="s">
        <v>809</v>
      </c>
      <c r="U19" s="30" t="s">
        <v>8483</v>
      </c>
      <c r="V19" s="6" t="s">
        <v>8484</v>
      </c>
      <c r="W19" s="6" t="s">
        <v>8485</v>
      </c>
      <c r="X19" s="32" t="n">
        <f aca="false">IF($O19="Active",SUMPRODUCT(($AH$5:$AH$124=$AH19)*1),0)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8486</v>
      </c>
      <c r="B20" s="6" t="s">
        <v>8487</v>
      </c>
      <c r="C20" s="255" t="n">
        <v>6.7</v>
      </c>
      <c r="D20" s="253"/>
      <c r="E20" s="253"/>
      <c r="F20" s="30" t="s">
        <v>8411</v>
      </c>
      <c r="G20" s="253" t="s">
        <v>8488</v>
      </c>
      <c r="H20" s="30" t="s">
        <v>204</v>
      </c>
      <c r="I20" s="30" t="s">
        <v>8478</v>
      </c>
      <c r="J20" s="6" t="s">
        <v>8479</v>
      </c>
      <c r="K20" s="253" t="n">
        <v>3</v>
      </c>
      <c r="L20" s="253" t="s">
        <v>8480</v>
      </c>
      <c r="M20" s="6" t="s">
        <v>8489</v>
      </c>
      <c r="N20" s="253" t="s">
        <v>8386</v>
      </c>
      <c r="O20" s="30" t="s">
        <v>8422</v>
      </c>
      <c r="P20" s="30" t="s">
        <v>809</v>
      </c>
      <c r="Q20" s="30" t="s">
        <v>8490</v>
      </c>
      <c r="R20" s="30" t="s">
        <v>809</v>
      </c>
      <c r="S20" s="30" t="s">
        <v>809</v>
      </c>
      <c r="T20" s="30" t="s">
        <v>809</v>
      </c>
      <c r="U20" s="30" t="s">
        <v>8483</v>
      </c>
      <c r="V20" s="6" t="s">
        <v>8491</v>
      </c>
      <c r="W20" s="20" t="s">
        <v>8492</v>
      </c>
      <c r="X20" s="32" t="n">
        <f aca="false">IF($O20="Active",SUMPRODUCT(($AH$5:$AH$124=$AH20)*1),0)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5437</v>
      </c>
      <c r="B21" s="6" t="s">
        <v>8493</v>
      </c>
      <c r="C21" s="255" t="n">
        <v>9.09</v>
      </c>
      <c r="D21" s="253"/>
      <c r="E21" s="253"/>
      <c r="F21" s="30" t="s">
        <v>8411</v>
      </c>
      <c r="G21" s="253" t="s">
        <v>8494</v>
      </c>
      <c r="H21" s="30" t="s">
        <v>204</v>
      </c>
      <c r="I21" s="30" t="s">
        <v>8397</v>
      </c>
      <c r="J21" s="6" t="s">
        <v>8495</v>
      </c>
      <c r="K21" s="253" t="n">
        <v>2</v>
      </c>
      <c r="L21" s="253" t="s">
        <v>8480</v>
      </c>
      <c r="M21" s="6" t="s">
        <v>8489</v>
      </c>
      <c r="N21" s="253" t="s">
        <v>8386</v>
      </c>
      <c r="O21" s="30" t="s">
        <v>8422</v>
      </c>
      <c r="P21" s="30" t="s">
        <v>809</v>
      </c>
      <c r="Q21" s="30" t="s">
        <v>8496</v>
      </c>
      <c r="R21" s="30" t="s">
        <v>809</v>
      </c>
      <c r="S21" s="30" t="s">
        <v>4626</v>
      </c>
      <c r="T21" s="30" t="s">
        <v>809</v>
      </c>
      <c r="U21" s="30" t="s">
        <v>8483</v>
      </c>
      <c r="V21" s="6" t="s">
        <v>8497</v>
      </c>
      <c r="W21" s="20" t="s">
        <v>8498</v>
      </c>
      <c r="X21" s="32" t="n">
        <f aca="false">IF($O21="Active",SUMPRODUCT(($AH$5:$AH$124=$AH21)*1),0)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8499</v>
      </c>
      <c r="B22" s="6" t="s">
        <v>8500</v>
      </c>
      <c r="C22" s="255" t="n">
        <v>1</v>
      </c>
      <c r="D22" s="253"/>
      <c r="E22" s="253"/>
      <c r="F22" s="30" t="s">
        <v>8411</v>
      </c>
      <c r="G22" s="253" t="s">
        <v>8461</v>
      </c>
      <c r="H22" s="30" t="s">
        <v>204</v>
      </c>
      <c r="I22" s="30" t="s">
        <v>8383</v>
      </c>
      <c r="J22" s="6" t="s">
        <v>8501</v>
      </c>
      <c r="K22" s="253" t="n">
        <v>3</v>
      </c>
      <c r="L22" s="253" t="s">
        <v>8373</v>
      </c>
      <c r="M22" s="6" t="s">
        <v>8502</v>
      </c>
      <c r="N22" s="253" t="s">
        <v>8386</v>
      </c>
      <c r="O22" s="30" t="s">
        <v>8422</v>
      </c>
      <c r="P22" s="30" t="s">
        <v>809</v>
      </c>
      <c r="Q22" s="30" t="s">
        <v>8503</v>
      </c>
      <c r="R22" s="30" t="s">
        <v>809</v>
      </c>
      <c r="S22" s="30" t="s">
        <v>809</v>
      </c>
      <c r="T22" s="30" t="s">
        <v>809</v>
      </c>
      <c r="U22" s="30" t="s">
        <v>8504</v>
      </c>
      <c r="V22" s="6" t="s">
        <v>809</v>
      </c>
      <c r="W22" s="20" t="s">
        <v>8505</v>
      </c>
      <c r="X22" s="32" t="n">
        <f aca="false">IF($O22="Active",SUMPRODUCT(($AH$5:$AH$124=$AH22)*1),0)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5585</v>
      </c>
      <c r="B23" s="6" t="s">
        <v>8506</v>
      </c>
      <c r="C23" s="255" t="n">
        <v>0.989</v>
      </c>
      <c r="D23" s="253"/>
      <c r="E23" s="253"/>
      <c r="F23" s="30" t="s">
        <v>526</v>
      </c>
      <c r="G23" s="30" t="s">
        <v>8507</v>
      </c>
      <c r="H23" s="30" t="s">
        <v>201</v>
      </c>
      <c r="I23" s="30" t="s">
        <v>8508</v>
      </c>
      <c r="J23" s="20" t="s">
        <v>8509</v>
      </c>
      <c r="K23" s="253" t="n">
        <v>3</v>
      </c>
      <c r="L23" s="253" t="s">
        <v>8373</v>
      </c>
      <c r="M23" s="6" t="s">
        <v>8510</v>
      </c>
      <c r="N23" s="253" t="s">
        <v>8511</v>
      </c>
      <c r="O23" s="30" t="s">
        <v>8376</v>
      </c>
      <c r="P23" s="30" t="s">
        <v>809</v>
      </c>
      <c r="Q23" s="30" t="s">
        <v>8512</v>
      </c>
      <c r="R23" s="30" t="s">
        <v>809</v>
      </c>
      <c r="S23" s="30" t="s">
        <v>809</v>
      </c>
      <c r="T23" s="30" t="s">
        <v>809</v>
      </c>
      <c r="U23" s="30" t="s">
        <v>8513</v>
      </c>
      <c r="V23" s="6" t="s">
        <v>8514</v>
      </c>
      <c r="W23" s="6" t="s">
        <v>8515</v>
      </c>
      <c r="X23" s="32" t="n">
        <f aca="false">IF($O23="Active",SUMPRODUCT(($AH$5:$AH$124=$AH23)*1),0)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5471</v>
      </c>
      <c r="B24" s="6" t="s">
        <v>8516</v>
      </c>
      <c r="C24" s="255" t="n">
        <v>80</v>
      </c>
      <c r="D24" s="253"/>
      <c r="E24" s="253"/>
      <c r="F24" s="30" t="s">
        <v>921</v>
      </c>
      <c r="G24" s="30" t="s">
        <v>809</v>
      </c>
      <c r="H24" s="30" t="s">
        <v>201</v>
      </c>
      <c r="I24" s="30" t="s">
        <v>8508</v>
      </c>
      <c r="J24" s="20" t="s">
        <v>8509</v>
      </c>
      <c r="K24" s="253" t="n">
        <v>3</v>
      </c>
      <c r="L24" s="253" t="s">
        <v>8373</v>
      </c>
      <c r="M24" s="6" t="s">
        <v>8510</v>
      </c>
      <c r="N24" s="253" t="s">
        <v>8511</v>
      </c>
      <c r="O24" s="30" t="s">
        <v>8376</v>
      </c>
      <c r="P24" s="30" t="s">
        <v>809</v>
      </c>
      <c r="Q24" s="30" t="s">
        <v>8512</v>
      </c>
      <c r="R24" s="30" t="s">
        <v>809</v>
      </c>
      <c r="S24" s="30" t="s">
        <v>809</v>
      </c>
      <c r="T24" s="30" t="s">
        <v>809</v>
      </c>
      <c r="U24" s="30" t="s">
        <v>8513</v>
      </c>
      <c r="V24" s="6" t="s">
        <v>8517</v>
      </c>
      <c r="W24" s="6" t="s">
        <v>809</v>
      </c>
      <c r="X24" s="32" t="n">
        <f aca="false">IF($O24="Active",SUMPRODUCT(($AH$5:$AH$124=$AH24)*1),0)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5484</v>
      </c>
      <c r="B25" s="6" t="s">
        <v>8518</v>
      </c>
      <c r="C25" s="255" t="n">
        <v>3.35</v>
      </c>
      <c r="D25" s="253"/>
      <c r="E25" s="253"/>
      <c r="F25" s="30" t="s">
        <v>402</v>
      </c>
      <c r="G25" s="30" t="s">
        <v>809</v>
      </c>
      <c r="H25" s="30" t="s">
        <v>201</v>
      </c>
      <c r="I25" s="30" t="s">
        <v>8508</v>
      </c>
      <c r="J25" s="20" t="s">
        <v>8509</v>
      </c>
      <c r="K25" s="253" t="n">
        <v>3</v>
      </c>
      <c r="L25" s="253" t="s">
        <v>8373</v>
      </c>
      <c r="M25" s="6" t="s">
        <v>8510</v>
      </c>
      <c r="N25" s="253" t="s">
        <v>8511</v>
      </c>
      <c r="O25" s="30" t="s">
        <v>8376</v>
      </c>
      <c r="P25" s="30" t="s">
        <v>809</v>
      </c>
      <c r="Q25" s="30" t="s">
        <v>8512</v>
      </c>
      <c r="R25" s="30" t="s">
        <v>809</v>
      </c>
      <c r="S25" s="30" t="s">
        <v>809</v>
      </c>
      <c r="T25" s="30" t="s">
        <v>809</v>
      </c>
      <c r="U25" s="30" t="s">
        <v>8513</v>
      </c>
      <c r="V25" s="6" t="s">
        <v>8519</v>
      </c>
      <c r="W25" s="6" t="s">
        <v>809</v>
      </c>
      <c r="X25" s="32" t="n">
        <f aca="false">IF($O25="Active",SUMPRODUCT(($AH$5:$AH$124=$AH25)*1),0)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5446</v>
      </c>
      <c r="B26" s="6" t="s">
        <v>8520</v>
      </c>
      <c r="C26" s="255" t="n">
        <v>10</v>
      </c>
      <c r="D26" s="253"/>
      <c r="E26" s="253"/>
      <c r="F26" s="30" t="s">
        <v>526</v>
      </c>
      <c r="G26" s="30" t="s">
        <v>8507</v>
      </c>
      <c r="H26" s="30" t="s">
        <v>202</v>
      </c>
      <c r="I26" s="30" t="s">
        <v>8508</v>
      </c>
      <c r="J26" s="20" t="s">
        <v>8509</v>
      </c>
      <c r="K26" s="253" t="n">
        <v>1</v>
      </c>
      <c r="L26" s="253" t="s">
        <v>8373</v>
      </c>
      <c r="M26" s="6" t="s">
        <v>8510</v>
      </c>
      <c r="N26" s="253" t="s">
        <v>8375</v>
      </c>
      <c r="O26" s="30" t="s">
        <v>8376</v>
      </c>
      <c r="P26" s="30" t="s">
        <v>809</v>
      </c>
      <c r="Q26" s="30" t="s">
        <v>8521</v>
      </c>
      <c r="R26" s="30" t="s">
        <v>809</v>
      </c>
      <c r="S26" s="30" t="s">
        <v>7466</v>
      </c>
      <c r="T26" s="30" t="s">
        <v>809</v>
      </c>
      <c r="U26" s="30" t="s">
        <v>8513</v>
      </c>
      <c r="V26" s="6" t="s">
        <v>8522</v>
      </c>
      <c r="W26" s="20" t="s">
        <v>8523</v>
      </c>
      <c r="X26" s="32" t="n">
        <f aca="false">IF($O26="Active",SUMPRODUCT(($AH$5:$AH$124=$AH26)*1),0)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5487</v>
      </c>
      <c r="B27" s="6" t="s">
        <v>8524</v>
      </c>
      <c r="C27" s="255" t="n">
        <v>8</v>
      </c>
      <c r="D27" s="253"/>
      <c r="E27" s="253"/>
      <c r="F27" s="30" t="s">
        <v>402</v>
      </c>
      <c r="G27" s="30" t="s">
        <v>809</v>
      </c>
      <c r="H27" s="30" t="s">
        <v>202</v>
      </c>
      <c r="I27" s="30" t="s">
        <v>8508</v>
      </c>
      <c r="J27" s="20" t="s">
        <v>8509</v>
      </c>
      <c r="K27" s="253" t="n">
        <v>3</v>
      </c>
      <c r="L27" s="253" t="s">
        <v>8373</v>
      </c>
      <c r="M27" s="6" t="s">
        <v>8510</v>
      </c>
      <c r="N27" s="253" t="s">
        <v>8511</v>
      </c>
      <c r="O27" s="30" t="s">
        <v>8376</v>
      </c>
      <c r="P27" s="30" t="s">
        <v>809</v>
      </c>
      <c r="Q27" s="30" t="s">
        <v>8512</v>
      </c>
      <c r="R27" s="30" t="s">
        <v>809</v>
      </c>
      <c r="S27" s="30" t="s">
        <v>809</v>
      </c>
      <c r="T27" s="30" t="s">
        <v>809</v>
      </c>
      <c r="U27" s="30" t="s">
        <v>8513</v>
      </c>
      <c r="V27" s="6" t="s">
        <v>8525</v>
      </c>
      <c r="W27" s="6" t="s">
        <v>809</v>
      </c>
      <c r="X27" s="32" t="n">
        <f aca="false">IF($O27="Active",SUMPRODUCT(($AH$5:$AH$124=$AH27)*1),0)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8526</v>
      </c>
      <c r="B28" s="6" t="s">
        <v>8527</v>
      </c>
      <c r="C28" s="255" t="n">
        <v>186</v>
      </c>
      <c r="D28" s="253"/>
      <c r="E28" s="253"/>
      <c r="F28" s="30" t="s">
        <v>921</v>
      </c>
      <c r="G28" s="30" t="s">
        <v>809</v>
      </c>
      <c r="H28" s="30" t="s">
        <v>202</v>
      </c>
      <c r="I28" s="30" t="s">
        <v>8508</v>
      </c>
      <c r="J28" s="20" t="s">
        <v>8509</v>
      </c>
      <c r="K28" s="253" t="n">
        <v>3</v>
      </c>
      <c r="L28" s="253" t="s">
        <v>8373</v>
      </c>
      <c r="M28" s="6" t="s">
        <v>8510</v>
      </c>
      <c r="N28" s="253" t="s">
        <v>8511</v>
      </c>
      <c r="O28" s="30" t="s">
        <v>8422</v>
      </c>
      <c r="P28" s="30" t="s">
        <v>809</v>
      </c>
      <c r="Q28" s="30" t="s">
        <v>8512</v>
      </c>
      <c r="R28" s="30" t="s">
        <v>809</v>
      </c>
      <c r="S28" s="30" t="s">
        <v>809</v>
      </c>
      <c r="T28" s="30" t="s">
        <v>809</v>
      </c>
      <c r="U28" s="30" t="s">
        <v>8513</v>
      </c>
      <c r="V28" s="6" t="s">
        <v>809</v>
      </c>
      <c r="W28" s="20" t="s">
        <v>8528</v>
      </c>
      <c r="X28" s="32" t="n">
        <f aca="false">IF($O28="Active",SUMPRODUCT(($AH$5:$AH$124=$AH28)*1),0)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5448</v>
      </c>
      <c r="B29" s="6" t="s">
        <v>8529</v>
      </c>
      <c r="C29" s="255" t="n">
        <v>15</v>
      </c>
      <c r="D29" s="253"/>
      <c r="E29" s="253"/>
      <c r="F29" s="30" t="s">
        <v>526</v>
      </c>
      <c r="G29" s="30" t="s">
        <v>8507</v>
      </c>
      <c r="H29" s="30" t="s">
        <v>203</v>
      </c>
      <c r="I29" s="30" t="s">
        <v>8508</v>
      </c>
      <c r="J29" s="20" t="s">
        <v>8509</v>
      </c>
      <c r="K29" s="253" t="n">
        <v>1</v>
      </c>
      <c r="L29" s="253" t="s">
        <v>8373</v>
      </c>
      <c r="M29" s="6" t="s">
        <v>8510</v>
      </c>
      <c r="N29" s="253" t="s">
        <v>8375</v>
      </c>
      <c r="O29" s="30" t="s">
        <v>8376</v>
      </c>
      <c r="P29" s="30" t="s">
        <v>809</v>
      </c>
      <c r="Q29" s="30" t="s">
        <v>8530</v>
      </c>
      <c r="R29" s="30" t="s">
        <v>809</v>
      </c>
      <c r="S29" s="30" t="s">
        <v>7466</v>
      </c>
      <c r="T29" s="30" t="s">
        <v>809</v>
      </c>
      <c r="U29" s="30" t="s">
        <v>8513</v>
      </c>
      <c r="V29" s="6" t="s">
        <v>8531</v>
      </c>
      <c r="W29" s="6" t="s">
        <v>8532</v>
      </c>
      <c r="X29" s="32" t="n">
        <f aca="false">IF($O29="Active",SUMPRODUCT(($AH$5:$AH$124=$AH29)*1),0)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5477</v>
      </c>
      <c r="B30" s="6" t="s">
        <v>8533</v>
      </c>
      <c r="C30" s="255" t="n">
        <v>288</v>
      </c>
      <c r="D30" s="253"/>
      <c r="E30" s="253"/>
      <c r="F30" s="30" t="s">
        <v>921</v>
      </c>
      <c r="G30" s="30" t="s">
        <v>809</v>
      </c>
      <c r="H30" s="30" t="s">
        <v>203</v>
      </c>
      <c r="I30" s="30" t="s">
        <v>8508</v>
      </c>
      <c r="J30" s="20" t="s">
        <v>8509</v>
      </c>
      <c r="K30" s="253" t="n">
        <v>3</v>
      </c>
      <c r="L30" s="253" t="s">
        <v>8373</v>
      </c>
      <c r="M30" s="6" t="s">
        <v>8510</v>
      </c>
      <c r="N30" s="253" t="s">
        <v>8511</v>
      </c>
      <c r="O30" s="30" t="s">
        <v>8376</v>
      </c>
      <c r="P30" s="30" t="s">
        <v>809</v>
      </c>
      <c r="Q30" s="30" t="s">
        <v>8512</v>
      </c>
      <c r="R30" s="30" t="s">
        <v>809</v>
      </c>
      <c r="S30" s="30" t="s">
        <v>809</v>
      </c>
      <c r="T30" s="30" t="s">
        <v>809</v>
      </c>
      <c r="U30" s="30" t="s">
        <v>8513</v>
      </c>
      <c r="V30" s="6" t="s">
        <v>8534</v>
      </c>
      <c r="W30" s="6" t="s">
        <v>809</v>
      </c>
      <c r="X30" s="32" t="n">
        <f aca="false">IF($O30="Active",SUMPRODUCT(($AH$5:$AH$124=$AH30)*1),0)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5465</v>
      </c>
      <c r="B31" s="6" t="s">
        <v>8535</v>
      </c>
      <c r="C31" s="255" t="n">
        <v>50</v>
      </c>
      <c r="D31" s="253"/>
      <c r="E31" s="253"/>
      <c r="F31" s="30" t="s">
        <v>526</v>
      </c>
      <c r="G31" s="253" t="s">
        <v>8536</v>
      </c>
      <c r="H31" s="30" t="s">
        <v>204</v>
      </c>
      <c r="I31" s="30" t="s">
        <v>8508</v>
      </c>
      <c r="J31" s="20" t="s">
        <v>8509</v>
      </c>
      <c r="K31" s="253" t="n">
        <v>1</v>
      </c>
      <c r="L31" s="253" t="s">
        <v>8373</v>
      </c>
      <c r="M31" s="6" t="s">
        <v>8510</v>
      </c>
      <c r="N31" s="253" t="s">
        <v>8375</v>
      </c>
      <c r="O31" s="30" t="s">
        <v>8376</v>
      </c>
      <c r="P31" s="30" t="s">
        <v>809</v>
      </c>
      <c r="Q31" s="30" t="s">
        <v>8537</v>
      </c>
      <c r="R31" s="30" t="s">
        <v>809</v>
      </c>
      <c r="S31" s="30" t="s">
        <v>7466</v>
      </c>
      <c r="T31" s="30" t="s">
        <v>809</v>
      </c>
      <c r="U31" s="30" t="s">
        <v>8513</v>
      </c>
      <c r="V31" s="6" t="s">
        <v>8538</v>
      </c>
      <c r="W31" s="6" t="s">
        <v>8539</v>
      </c>
      <c r="X31" s="32" t="n">
        <f aca="false">IF($O31="Active",SUMPRODUCT(($AH$5:$AH$124=$AH31)*1),0)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5450</v>
      </c>
      <c r="B32" s="6" t="s">
        <v>8540</v>
      </c>
      <c r="C32" s="255" t="n">
        <v>35</v>
      </c>
      <c r="D32" s="253"/>
      <c r="E32" s="253"/>
      <c r="F32" s="30" t="s">
        <v>526</v>
      </c>
      <c r="G32" s="30" t="s">
        <v>8507</v>
      </c>
      <c r="H32" s="30" t="s">
        <v>204</v>
      </c>
      <c r="I32" s="30" t="s">
        <v>8508</v>
      </c>
      <c r="J32" s="20" t="s">
        <v>8509</v>
      </c>
      <c r="K32" s="253" t="n">
        <v>1</v>
      </c>
      <c r="L32" s="253" t="s">
        <v>8373</v>
      </c>
      <c r="M32" s="6" t="s">
        <v>8510</v>
      </c>
      <c r="N32" s="253" t="s">
        <v>8375</v>
      </c>
      <c r="O32" s="30" t="s">
        <v>8376</v>
      </c>
      <c r="P32" s="30" t="s">
        <v>809</v>
      </c>
      <c r="Q32" s="30" t="s">
        <v>8541</v>
      </c>
      <c r="R32" s="30" t="s">
        <v>809</v>
      </c>
      <c r="S32" s="30" t="s">
        <v>7466</v>
      </c>
      <c r="T32" s="30" t="s">
        <v>809</v>
      </c>
      <c r="U32" s="30" t="s">
        <v>8513</v>
      </c>
      <c r="V32" s="6" t="s">
        <v>8542</v>
      </c>
      <c r="W32" s="20" t="s">
        <v>8543</v>
      </c>
      <c r="X32" s="32" t="n">
        <f aca="false">IF($O32="Active",SUMPRODUCT(($AH$5:$AH$124=$AH32)*1),0)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5480</v>
      </c>
      <c r="B33" s="6" t="s">
        <v>8544</v>
      </c>
      <c r="C33" s="255" t="n">
        <v>288</v>
      </c>
      <c r="D33" s="253"/>
      <c r="E33" s="253"/>
      <c r="F33" s="30" t="s">
        <v>921</v>
      </c>
      <c r="G33" s="30" t="s">
        <v>809</v>
      </c>
      <c r="H33" s="30" t="s">
        <v>204</v>
      </c>
      <c r="I33" s="30" t="s">
        <v>8508</v>
      </c>
      <c r="J33" s="20" t="s">
        <v>8509</v>
      </c>
      <c r="K33" s="253" t="n">
        <v>3</v>
      </c>
      <c r="L33" s="253" t="s">
        <v>8373</v>
      </c>
      <c r="M33" s="6" t="s">
        <v>8510</v>
      </c>
      <c r="N33" s="253" t="s">
        <v>8511</v>
      </c>
      <c r="O33" s="30" t="s">
        <v>8376</v>
      </c>
      <c r="P33" s="30" t="s">
        <v>809</v>
      </c>
      <c r="Q33" s="30" t="s">
        <v>8512</v>
      </c>
      <c r="R33" s="30" t="s">
        <v>809</v>
      </c>
      <c r="S33" s="30" t="s">
        <v>809</v>
      </c>
      <c r="T33" s="30" t="s">
        <v>809</v>
      </c>
      <c r="U33" s="30" t="s">
        <v>8513</v>
      </c>
      <c r="V33" s="6" t="s">
        <v>8545</v>
      </c>
      <c r="W33" s="6" t="s">
        <v>809</v>
      </c>
      <c r="X33" s="32" t="n">
        <f aca="false">IF($O33="Active",SUMPRODUCT(($AH$5:$AH$124=$AH33)*1),0)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5492</v>
      </c>
      <c r="B34" s="6" t="s">
        <v>8546</v>
      </c>
      <c r="C34" s="255" t="n">
        <v>22</v>
      </c>
      <c r="D34" s="253"/>
      <c r="E34" s="253"/>
      <c r="F34" s="30" t="s">
        <v>402</v>
      </c>
      <c r="G34" s="30" t="s">
        <v>8547</v>
      </c>
      <c r="H34" s="30" t="s">
        <v>204</v>
      </c>
      <c r="I34" s="30" t="s">
        <v>8508</v>
      </c>
      <c r="J34" s="20" t="s">
        <v>8509</v>
      </c>
      <c r="K34" s="253" t="n">
        <v>3</v>
      </c>
      <c r="L34" s="253" t="s">
        <v>8373</v>
      </c>
      <c r="M34" s="6" t="s">
        <v>8510</v>
      </c>
      <c r="N34" s="253" t="s">
        <v>8511</v>
      </c>
      <c r="O34" s="30" t="s">
        <v>8376</v>
      </c>
      <c r="P34" s="30" t="s">
        <v>809</v>
      </c>
      <c r="Q34" s="30" t="s">
        <v>8512</v>
      </c>
      <c r="R34" s="30" t="s">
        <v>809</v>
      </c>
      <c r="S34" s="30" t="s">
        <v>809</v>
      </c>
      <c r="T34" s="30" t="s">
        <v>809</v>
      </c>
      <c r="U34" s="30" t="s">
        <v>8513</v>
      </c>
      <c r="V34" s="6" t="s">
        <v>8548</v>
      </c>
      <c r="W34" s="6" t="s">
        <v>809</v>
      </c>
      <c r="X34" s="32" t="n">
        <f aca="false">IF($O34="Active",SUMPRODUCT(($AH$5:$AH$124=$AH34)*1),0)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8549</v>
      </c>
      <c r="B35" s="6" t="s">
        <v>8550</v>
      </c>
      <c r="C35" s="255" t="n">
        <v>15000</v>
      </c>
      <c r="D35" s="253"/>
      <c r="E35" s="253"/>
      <c r="F35" s="30" t="s">
        <v>8551</v>
      </c>
      <c r="G35" s="30" t="s">
        <v>8552</v>
      </c>
      <c r="H35" s="30" t="s">
        <v>8462</v>
      </c>
      <c r="I35" s="30" t="s">
        <v>8508</v>
      </c>
      <c r="J35" s="20" t="s">
        <v>8509</v>
      </c>
      <c r="K35" s="253" t="n">
        <v>3</v>
      </c>
      <c r="L35" s="253" t="s">
        <v>8373</v>
      </c>
      <c r="M35" s="6" t="s">
        <v>8510</v>
      </c>
      <c r="N35" s="253" t="s">
        <v>8511</v>
      </c>
      <c r="O35" s="30" t="s">
        <v>8376</v>
      </c>
      <c r="P35" s="30" t="s">
        <v>809</v>
      </c>
      <c r="Q35" s="30" t="s">
        <v>8512</v>
      </c>
      <c r="R35" s="30" t="s">
        <v>809</v>
      </c>
      <c r="S35" s="30" t="s">
        <v>809</v>
      </c>
      <c r="T35" s="30" t="s">
        <v>809</v>
      </c>
      <c r="U35" s="30" t="s">
        <v>8513</v>
      </c>
      <c r="V35" s="6" t="s">
        <v>8553</v>
      </c>
      <c r="W35" s="6" t="s">
        <v>8554</v>
      </c>
      <c r="X35" s="32" t="n">
        <f aca="false">IF($O35="Active",SUMPRODUCT(($AH$5:$AH$124=$AH35)*1),0)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5574</v>
      </c>
      <c r="B36" s="6" t="s">
        <v>8555</v>
      </c>
      <c r="C36" s="255" t="n">
        <v>3.9</v>
      </c>
      <c r="D36" s="253"/>
      <c r="E36" s="253"/>
      <c r="F36" s="30" t="s">
        <v>8556</v>
      </c>
      <c r="G36" s="253" t="s">
        <v>8557</v>
      </c>
      <c r="H36" s="30" t="s">
        <v>8558</v>
      </c>
      <c r="I36" s="30" t="s">
        <v>809</v>
      </c>
      <c r="J36" s="20" t="s">
        <v>8559</v>
      </c>
      <c r="K36" s="253" t="n">
        <v>3</v>
      </c>
      <c r="L36" s="253" t="s">
        <v>8480</v>
      </c>
      <c r="M36" s="20" t="s">
        <v>8560</v>
      </c>
      <c r="N36" s="30" t="s">
        <v>809</v>
      </c>
      <c r="O36" s="30" t="s">
        <v>8376</v>
      </c>
      <c r="P36" s="30" t="s">
        <v>809</v>
      </c>
      <c r="Q36" s="30" t="s">
        <v>8561</v>
      </c>
      <c r="R36" s="30" t="s">
        <v>809</v>
      </c>
      <c r="S36" s="30" t="s">
        <v>809</v>
      </c>
      <c r="T36" s="30" t="s">
        <v>809</v>
      </c>
      <c r="U36" s="30" t="s">
        <v>8562</v>
      </c>
      <c r="V36" s="6" t="s">
        <v>8563</v>
      </c>
      <c r="W36" s="6" t="s">
        <v>8564</v>
      </c>
      <c r="X36" s="32" t="n">
        <f aca="false">IF($O36="Active",SUMPRODUCT(($AH$5:$AH$124=$AH36)*1),0)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5578</v>
      </c>
      <c r="B37" s="6" t="s">
        <v>8565</v>
      </c>
      <c r="C37" s="255" t="n">
        <v>3</v>
      </c>
      <c r="D37" s="253"/>
      <c r="E37" s="253"/>
      <c r="F37" s="30" t="s">
        <v>8556</v>
      </c>
      <c r="G37" s="253" t="s">
        <v>8557</v>
      </c>
      <c r="H37" s="30" t="s">
        <v>8566</v>
      </c>
      <c r="I37" s="30" t="s">
        <v>809</v>
      </c>
      <c r="J37" s="20" t="s">
        <v>8559</v>
      </c>
      <c r="K37" s="253" t="n">
        <v>3</v>
      </c>
      <c r="L37" s="253" t="s">
        <v>8480</v>
      </c>
      <c r="M37" s="20" t="s">
        <v>8560</v>
      </c>
      <c r="N37" s="30" t="s">
        <v>809</v>
      </c>
      <c r="O37" s="30" t="s">
        <v>8376</v>
      </c>
      <c r="P37" s="30" t="s">
        <v>809</v>
      </c>
      <c r="Q37" s="30" t="s">
        <v>8561</v>
      </c>
      <c r="R37" s="30" t="s">
        <v>809</v>
      </c>
      <c r="S37" s="30" t="s">
        <v>809</v>
      </c>
      <c r="T37" s="30" t="s">
        <v>809</v>
      </c>
      <c r="U37" s="30" t="s">
        <v>8562</v>
      </c>
      <c r="V37" s="6" t="s">
        <v>8567</v>
      </c>
      <c r="W37" s="6" t="s">
        <v>8568</v>
      </c>
      <c r="X37" s="32" t="n">
        <f aca="false">IF($O37="Active",SUMPRODUCT(($AH$5:$AH$124=$AH37)*1),0)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5581</v>
      </c>
      <c r="B38" s="6" t="s">
        <v>8569</v>
      </c>
      <c r="C38" s="255" t="n">
        <v>2.5</v>
      </c>
      <c r="D38" s="253"/>
      <c r="E38" s="253"/>
      <c r="F38" s="30" t="s">
        <v>8556</v>
      </c>
      <c r="G38" s="253" t="s">
        <v>8557</v>
      </c>
      <c r="H38" s="30" t="s">
        <v>8570</v>
      </c>
      <c r="I38" s="30" t="s">
        <v>809</v>
      </c>
      <c r="J38" s="20" t="s">
        <v>8559</v>
      </c>
      <c r="K38" s="253" t="n">
        <v>3</v>
      </c>
      <c r="L38" s="253" t="s">
        <v>8480</v>
      </c>
      <c r="M38" s="20" t="s">
        <v>8560</v>
      </c>
      <c r="N38" s="30" t="s">
        <v>809</v>
      </c>
      <c r="O38" s="30" t="s">
        <v>8376</v>
      </c>
      <c r="P38" s="30" t="s">
        <v>809</v>
      </c>
      <c r="Q38" s="30" t="s">
        <v>8561</v>
      </c>
      <c r="R38" s="30" t="s">
        <v>809</v>
      </c>
      <c r="S38" s="30" t="s">
        <v>809</v>
      </c>
      <c r="T38" s="30" t="s">
        <v>809</v>
      </c>
      <c r="U38" s="30" t="s">
        <v>8562</v>
      </c>
      <c r="V38" s="6" t="s">
        <v>8571</v>
      </c>
      <c r="W38" s="6" t="s">
        <v>8572</v>
      </c>
      <c r="X38" s="32" t="n">
        <f aca="false">IF($O38="Active",SUMPRODUCT(($AH$5:$AH$124=$AH38)*1),0)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6068</v>
      </c>
      <c r="B39" s="6" t="s">
        <v>8573</v>
      </c>
      <c r="C39" s="253"/>
      <c r="D39" s="255" t="n">
        <v>1</v>
      </c>
      <c r="E39" s="255" t="n">
        <v>2</v>
      </c>
      <c r="F39" s="30" t="s">
        <v>8556</v>
      </c>
      <c r="G39" s="253" t="s">
        <v>8557</v>
      </c>
      <c r="H39" s="30" t="s">
        <v>809</v>
      </c>
      <c r="I39" s="30" t="s">
        <v>809</v>
      </c>
      <c r="J39" s="20" t="s">
        <v>8559</v>
      </c>
      <c r="K39" s="253" t="n">
        <v>3</v>
      </c>
      <c r="L39" s="253" t="s">
        <v>8480</v>
      </c>
      <c r="M39" s="20" t="s">
        <v>8560</v>
      </c>
      <c r="N39" s="30" t="s">
        <v>809</v>
      </c>
      <c r="O39" s="30" t="s">
        <v>8376</v>
      </c>
      <c r="P39" s="30" t="s">
        <v>809</v>
      </c>
      <c r="Q39" s="30" t="s">
        <v>8561</v>
      </c>
      <c r="R39" s="30" t="s">
        <v>809</v>
      </c>
      <c r="S39" s="30" t="s">
        <v>809</v>
      </c>
      <c r="T39" s="30" t="s">
        <v>809</v>
      </c>
      <c r="U39" s="30" t="s">
        <v>8562</v>
      </c>
      <c r="V39" s="6" t="s">
        <v>809</v>
      </c>
      <c r="W39" s="6" t="s">
        <v>809</v>
      </c>
      <c r="X39" s="32" t="n">
        <f aca="false">IF($O39="Active",SUMPRODUCT(($AH$5:$AH$124=$AH39)*1),0)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8574</v>
      </c>
      <c r="B40" s="6" t="s">
        <v>8575</v>
      </c>
      <c r="C40" s="255" t="n">
        <v>3600</v>
      </c>
      <c r="D40" s="253"/>
      <c r="E40" s="253"/>
      <c r="F40" s="30" t="s">
        <v>8551</v>
      </c>
      <c r="G40" s="30" t="s">
        <v>8576</v>
      </c>
      <c r="H40" s="30" t="s">
        <v>204</v>
      </c>
      <c r="I40" s="30" t="s">
        <v>8383</v>
      </c>
      <c r="J40" s="6" t="s">
        <v>8577</v>
      </c>
      <c r="K40" s="253" t="n">
        <v>2</v>
      </c>
      <c r="L40" s="253" t="s">
        <v>8373</v>
      </c>
      <c r="M40" s="6" t="s">
        <v>8578</v>
      </c>
      <c r="N40" s="253" t="s">
        <v>8579</v>
      </c>
      <c r="O40" s="30" t="s">
        <v>8376</v>
      </c>
      <c r="P40" s="30" t="s">
        <v>809</v>
      </c>
      <c r="Q40" s="30" t="s">
        <v>8580</v>
      </c>
      <c r="R40" s="30" t="s">
        <v>809</v>
      </c>
      <c r="S40" s="30" t="s">
        <v>809</v>
      </c>
      <c r="T40" s="30" t="s">
        <v>809</v>
      </c>
      <c r="U40" s="30" t="s">
        <v>8581</v>
      </c>
      <c r="V40" s="6" t="s">
        <v>8582</v>
      </c>
      <c r="W40" s="6" t="s">
        <v>8583</v>
      </c>
      <c r="X40" s="32" t="n">
        <f aca="false">IF($O40="Active",SUMPRODUCT(($AH$5:$AH$124=$AH40)*1),0)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5612</v>
      </c>
      <c r="B41" s="6" t="s">
        <v>8584</v>
      </c>
      <c r="C41" s="255" t="n">
        <v>2520</v>
      </c>
      <c r="D41" s="253"/>
      <c r="E41" s="253"/>
      <c r="F41" s="30" t="s">
        <v>8551</v>
      </c>
      <c r="G41" s="30" t="s">
        <v>8576</v>
      </c>
      <c r="H41" s="30" t="s">
        <v>204</v>
      </c>
      <c r="I41" s="30" t="s">
        <v>8383</v>
      </c>
      <c r="J41" s="6" t="s">
        <v>8577</v>
      </c>
      <c r="K41" s="253" t="n">
        <v>2</v>
      </c>
      <c r="L41" s="253" t="s">
        <v>8373</v>
      </c>
      <c r="M41" s="6" t="s">
        <v>8578</v>
      </c>
      <c r="N41" s="253" t="s">
        <v>8579</v>
      </c>
      <c r="O41" s="30" t="s">
        <v>8376</v>
      </c>
      <c r="P41" s="30" t="s">
        <v>809</v>
      </c>
      <c r="Q41" s="30" t="s">
        <v>8580</v>
      </c>
      <c r="R41" s="30" t="s">
        <v>809</v>
      </c>
      <c r="S41" s="30" t="s">
        <v>809</v>
      </c>
      <c r="T41" s="30" t="s">
        <v>809</v>
      </c>
      <c r="U41" s="30" t="s">
        <v>8581</v>
      </c>
      <c r="V41" s="6" t="s">
        <v>8585</v>
      </c>
      <c r="W41" s="6" t="s">
        <v>8586</v>
      </c>
      <c r="X41" s="32" t="n">
        <f aca="false">IF($O41="Active",SUMPRODUCT(($AH$5:$AH$124=$AH41)*1),0)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5604</v>
      </c>
      <c r="B42" s="6" t="s">
        <v>8587</v>
      </c>
      <c r="C42" s="255" t="n">
        <v>1260</v>
      </c>
      <c r="D42" s="253"/>
      <c r="E42" s="253"/>
      <c r="F42" s="30" t="s">
        <v>8551</v>
      </c>
      <c r="G42" s="30" t="s">
        <v>8576</v>
      </c>
      <c r="H42" s="30" t="s">
        <v>204</v>
      </c>
      <c r="I42" s="30" t="s">
        <v>8383</v>
      </c>
      <c r="J42" s="6" t="s">
        <v>8577</v>
      </c>
      <c r="K42" s="253" t="n">
        <v>2</v>
      </c>
      <c r="L42" s="253" t="s">
        <v>8373</v>
      </c>
      <c r="M42" s="6" t="s">
        <v>8578</v>
      </c>
      <c r="N42" s="253" t="s">
        <v>8579</v>
      </c>
      <c r="O42" s="30" t="s">
        <v>8376</v>
      </c>
      <c r="P42" s="30" t="s">
        <v>809</v>
      </c>
      <c r="Q42" s="30" t="s">
        <v>8580</v>
      </c>
      <c r="R42" s="30" t="s">
        <v>809</v>
      </c>
      <c r="S42" s="30" t="s">
        <v>809</v>
      </c>
      <c r="T42" s="30" t="s">
        <v>809</v>
      </c>
      <c r="U42" s="30" t="s">
        <v>8581</v>
      </c>
      <c r="V42" s="6" t="s">
        <v>8588</v>
      </c>
      <c r="W42" s="6" t="s">
        <v>8589</v>
      </c>
      <c r="X42" s="32" t="n">
        <f aca="false">IF($O42="Active",SUMPRODUCT(($AH$5:$AH$124=$AH42)*1),0)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5593</v>
      </c>
      <c r="B43" s="6" t="s">
        <v>8590</v>
      </c>
      <c r="C43" s="255" t="n">
        <v>288</v>
      </c>
      <c r="D43" s="253"/>
      <c r="E43" s="253"/>
      <c r="F43" s="30" t="s">
        <v>8551</v>
      </c>
      <c r="G43" s="30" t="s">
        <v>8576</v>
      </c>
      <c r="H43" s="30" t="s">
        <v>204</v>
      </c>
      <c r="I43" s="30" t="s">
        <v>8383</v>
      </c>
      <c r="J43" s="6" t="s">
        <v>8577</v>
      </c>
      <c r="K43" s="253" t="n">
        <v>2</v>
      </c>
      <c r="L43" s="253" t="s">
        <v>8373</v>
      </c>
      <c r="M43" s="6" t="s">
        <v>8578</v>
      </c>
      <c r="N43" s="253" t="s">
        <v>8579</v>
      </c>
      <c r="O43" s="30" t="s">
        <v>8376</v>
      </c>
      <c r="P43" s="30" t="s">
        <v>809</v>
      </c>
      <c r="Q43" s="30" t="s">
        <v>8580</v>
      </c>
      <c r="R43" s="30" t="s">
        <v>809</v>
      </c>
      <c r="S43" s="30" t="s">
        <v>809</v>
      </c>
      <c r="T43" s="30" t="s">
        <v>809</v>
      </c>
      <c r="U43" s="30" t="s">
        <v>8581</v>
      </c>
      <c r="V43" s="6" t="s">
        <v>8591</v>
      </c>
      <c r="W43" s="6" t="s">
        <v>8592</v>
      </c>
      <c r="X43" s="32" t="n">
        <f aca="false">IF($O43="Active",SUMPRODUCT(($AH$5:$AH$124=$AH43)*1),0)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5444</v>
      </c>
      <c r="B44" s="6" t="s">
        <v>8593</v>
      </c>
      <c r="C44" s="255" t="n">
        <v>1.979</v>
      </c>
      <c r="D44" s="253"/>
      <c r="E44" s="253"/>
      <c r="F44" s="30" t="s">
        <v>526</v>
      </c>
      <c r="G44" s="30" t="s">
        <v>8507</v>
      </c>
      <c r="H44" s="30" t="s">
        <v>201</v>
      </c>
      <c r="I44" s="30" t="s">
        <v>7236</v>
      </c>
      <c r="J44" s="6" t="s">
        <v>8594</v>
      </c>
      <c r="K44" s="253" t="n">
        <v>1</v>
      </c>
      <c r="L44" s="253" t="s">
        <v>8373</v>
      </c>
      <c r="M44" s="6" t="s">
        <v>8595</v>
      </c>
      <c r="N44" s="253" t="s">
        <v>8375</v>
      </c>
      <c r="O44" s="30" t="s">
        <v>8376</v>
      </c>
      <c r="P44" s="30" t="s">
        <v>809</v>
      </c>
      <c r="Q44" s="30" t="s">
        <v>8596</v>
      </c>
      <c r="R44" s="30" t="s">
        <v>809</v>
      </c>
      <c r="S44" s="30" t="s">
        <v>7466</v>
      </c>
      <c r="T44" s="30" t="s">
        <v>809</v>
      </c>
      <c r="U44" s="30" t="s">
        <v>8597</v>
      </c>
      <c r="V44" s="6" t="s">
        <v>8598</v>
      </c>
      <c r="W44" s="20" t="s">
        <v>8599</v>
      </c>
      <c r="X44" s="32" t="n">
        <f aca="false">IF($O44="Active",SUMPRODUCT(($AH$5:$AH$124=$AH44)*1),0)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5473</v>
      </c>
      <c r="B45" s="6" t="s">
        <v>8600</v>
      </c>
      <c r="C45" s="255" t="n">
        <v>13.4</v>
      </c>
      <c r="D45" s="253"/>
      <c r="E45" s="253"/>
      <c r="F45" s="30" t="s">
        <v>8601</v>
      </c>
      <c r="G45" s="30" t="s">
        <v>8576</v>
      </c>
      <c r="H45" s="30" t="s">
        <v>202</v>
      </c>
      <c r="I45" s="30" t="s">
        <v>809</v>
      </c>
      <c r="J45" s="6" t="s">
        <v>8602</v>
      </c>
      <c r="K45" s="253" t="n">
        <v>3</v>
      </c>
      <c r="L45" s="253" t="s">
        <v>8373</v>
      </c>
      <c r="M45" s="6" t="s">
        <v>8603</v>
      </c>
      <c r="N45" s="253" t="s">
        <v>8511</v>
      </c>
      <c r="O45" s="30" t="s">
        <v>8376</v>
      </c>
      <c r="P45" s="30" t="s">
        <v>809</v>
      </c>
      <c r="Q45" s="30" t="s">
        <v>8604</v>
      </c>
      <c r="R45" s="30" t="s">
        <v>809</v>
      </c>
      <c r="S45" s="30" t="s">
        <v>809</v>
      </c>
      <c r="T45" s="30" t="s">
        <v>809</v>
      </c>
      <c r="U45" s="30" t="s">
        <v>8605</v>
      </c>
      <c r="V45" s="6" t="s">
        <v>8606</v>
      </c>
      <c r="W45" s="6" t="s">
        <v>8607</v>
      </c>
      <c r="X45" s="32" t="n">
        <f aca="false">IF($O45="Active",SUMPRODUCT(($AH$5:$AH$124=$AH45)*1),0)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5588</v>
      </c>
      <c r="B46" s="6" t="s">
        <v>8608</v>
      </c>
      <c r="C46" s="255" t="n">
        <v>2.5</v>
      </c>
      <c r="D46" s="253"/>
      <c r="E46" s="253"/>
      <c r="F46" s="30" t="s">
        <v>526</v>
      </c>
      <c r="G46" s="30" t="s">
        <v>8507</v>
      </c>
      <c r="H46" s="30" t="s">
        <v>8609</v>
      </c>
      <c r="I46" s="30" t="s">
        <v>809</v>
      </c>
      <c r="J46" s="6" t="s">
        <v>8602</v>
      </c>
      <c r="K46" s="253" t="n">
        <v>3</v>
      </c>
      <c r="L46" s="253" t="s">
        <v>8373</v>
      </c>
      <c r="M46" s="6" t="s">
        <v>8603</v>
      </c>
      <c r="N46" s="253" t="s">
        <v>8511</v>
      </c>
      <c r="O46" s="30" t="s">
        <v>8376</v>
      </c>
      <c r="P46" s="30" t="s">
        <v>809</v>
      </c>
      <c r="Q46" s="30" t="s">
        <v>8604</v>
      </c>
      <c r="R46" s="30" t="s">
        <v>809</v>
      </c>
      <c r="S46" s="30" t="s">
        <v>809</v>
      </c>
      <c r="T46" s="30" t="s">
        <v>809</v>
      </c>
      <c r="U46" s="30" t="s">
        <v>8605</v>
      </c>
      <c r="V46" s="6" t="s">
        <v>8610</v>
      </c>
      <c r="W46" s="6" t="s">
        <v>809</v>
      </c>
      <c r="X46" s="32" t="n">
        <f aca="false">IF($O46="Active",SUMPRODUCT(($AH$5:$AH$124=$AH46)*1),0)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5599</v>
      </c>
      <c r="B47" s="6" t="s">
        <v>8611</v>
      </c>
      <c r="C47" s="255" t="n">
        <v>5</v>
      </c>
      <c r="D47" s="253"/>
      <c r="E47" s="253"/>
      <c r="F47" s="30" t="s">
        <v>526</v>
      </c>
      <c r="G47" s="30" t="s">
        <v>8612</v>
      </c>
      <c r="H47" s="30" t="s">
        <v>8609</v>
      </c>
      <c r="I47" s="30" t="s">
        <v>809</v>
      </c>
      <c r="J47" s="6" t="s">
        <v>8602</v>
      </c>
      <c r="K47" s="253" t="n">
        <v>1</v>
      </c>
      <c r="L47" s="253" t="s">
        <v>8373</v>
      </c>
      <c r="M47" s="6" t="s">
        <v>8603</v>
      </c>
      <c r="N47" s="253" t="s">
        <v>8375</v>
      </c>
      <c r="O47" s="30" t="s">
        <v>8376</v>
      </c>
      <c r="P47" s="30" t="s">
        <v>809</v>
      </c>
      <c r="Q47" s="30" t="s">
        <v>8613</v>
      </c>
      <c r="R47" s="30" t="s">
        <v>809</v>
      </c>
      <c r="S47" s="30" t="s">
        <v>7466</v>
      </c>
      <c r="T47" s="30" t="s">
        <v>809</v>
      </c>
      <c r="U47" s="30" t="s">
        <v>8605</v>
      </c>
      <c r="V47" s="6" t="s">
        <v>8614</v>
      </c>
      <c r="W47" s="6" t="s">
        <v>8615</v>
      </c>
      <c r="X47" s="32" t="n">
        <f aca="false">IF($O47="Active",SUMPRODUCT(($AH$5:$AH$124=$AH47)*1),0)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5494</v>
      </c>
      <c r="B48" s="6" t="s">
        <v>8616</v>
      </c>
      <c r="C48" s="255" t="n">
        <v>4600</v>
      </c>
      <c r="D48" s="253"/>
      <c r="E48" s="253"/>
      <c r="F48" s="30" t="s">
        <v>8617</v>
      </c>
      <c r="G48" s="30" t="s">
        <v>8552</v>
      </c>
      <c r="H48" s="30" t="s">
        <v>8462</v>
      </c>
      <c r="I48" s="30" t="s">
        <v>809</v>
      </c>
      <c r="J48" s="6" t="s">
        <v>8602</v>
      </c>
      <c r="K48" s="253" t="n">
        <v>3</v>
      </c>
      <c r="L48" s="253" t="s">
        <v>8373</v>
      </c>
      <c r="M48" s="6" t="s">
        <v>8603</v>
      </c>
      <c r="N48" s="253" t="s">
        <v>8511</v>
      </c>
      <c r="O48" s="30" t="s">
        <v>8376</v>
      </c>
      <c r="P48" s="30" t="s">
        <v>809</v>
      </c>
      <c r="Q48" s="30" t="s">
        <v>8604</v>
      </c>
      <c r="R48" s="30" t="s">
        <v>809</v>
      </c>
      <c r="S48" s="30" t="s">
        <v>809</v>
      </c>
      <c r="T48" s="30" t="s">
        <v>809</v>
      </c>
      <c r="U48" s="30" t="s">
        <v>8605</v>
      </c>
      <c r="V48" s="6" t="s">
        <v>8618</v>
      </c>
      <c r="W48" s="6" t="s">
        <v>8619</v>
      </c>
      <c r="X48" s="32" t="n">
        <f aca="false">IF($O48="Active",SUMPRODUCT(($AH$5:$AH$124=$AH48)*1),0)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8620</v>
      </c>
      <c r="B49" s="6" t="s">
        <v>8621</v>
      </c>
      <c r="C49" s="255" t="n">
        <v>5000</v>
      </c>
      <c r="D49" s="253"/>
      <c r="E49" s="253"/>
      <c r="F49" s="30" t="s">
        <v>8551</v>
      </c>
      <c r="G49" s="30" t="s">
        <v>8552</v>
      </c>
      <c r="H49" s="30" t="s">
        <v>8462</v>
      </c>
      <c r="I49" s="30" t="s">
        <v>809</v>
      </c>
      <c r="J49" s="6" t="s">
        <v>8602</v>
      </c>
      <c r="K49" s="253" t="n">
        <v>3</v>
      </c>
      <c r="L49" s="253" t="s">
        <v>8373</v>
      </c>
      <c r="M49" s="6" t="s">
        <v>8603</v>
      </c>
      <c r="N49" s="253" t="s">
        <v>8511</v>
      </c>
      <c r="O49" s="30" t="s">
        <v>8463</v>
      </c>
      <c r="P49" s="30" t="s">
        <v>8464</v>
      </c>
      <c r="Q49" s="30" t="s">
        <v>8604</v>
      </c>
      <c r="R49" s="30" t="s">
        <v>809</v>
      </c>
      <c r="S49" s="30" t="s">
        <v>809</v>
      </c>
      <c r="T49" s="30" t="s">
        <v>809</v>
      </c>
      <c r="U49" s="30" t="s">
        <v>8605</v>
      </c>
      <c r="V49" s="6" t="s">
        <v>8622</v>
      </c>
      <c r="W49" s="6" t="s">
        <v>8623</v>
      </c>
      <c r="X49" s="32" t="n">
        <f aca="false">IF($O49="Active",SUMPRODUCT(($AH$5:$AH$124=$AH49)*1),0)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5570</v>
      </c>
      <c r="B50" s="6" t="s">
        <v>8624</v>
      </c>
      <c r="C50" s="255" t="n">
        <v>1.8</v>
      </c>
      <c r="D50" s="253"/>
      <c r="E50" s="253"/>
      <c r="F50" s="30" t="s">
        <v>8625</v>
      </c>
      <c r="G50" s="253" t="s">
        <v>8461</v>
      </c>
      <c r="H50" s="30" t="s">
        <v>2845</v>
      </c>
      <c r="I50" s="30" t="s">
        <v>809</v>
      </c>
      <c r="J50" s="6" t="s">
        <v>8602</v>
      </c>
      <c r="K50" s="253" t="n">
        <v>3</v>
      </c>
      <c r="L50" s="253" t="s">
        <v>8373</v>
      </c>
      <c r="M50" s="6" t="s">
        <v>8603</v>
      </c>
      <c r="N50" s="253" t="s">
        <v>8511</v>
      </c>
      <c r="O50" s="30" t="s">
        <v>8376</v>
      </c>
      <c r="P50" s="30" t="s">
        <v>809</v>
      </c>
      <c r="Q50" s="30" t="s">
        <v>8604</v>
      </c>
      <c r="R50" s="30" t="s">
        <v>809</v>
      </c>
      <c r="S50" s="30" t="s">
        <v>809</v>
      </c>
      <c r="T50" s="30" t="s">
        <v>809</v>
      </c>
      <c r="U50" s="30" t="s">
        <v>8605</v>
      </c>
      <c r="V50" s="6" t="s">
        <v>8626</v>
      </c>
      <c r="W50" s="20" t="s">
        <v>8627</v>
      </c>
      <c r="X50" s="32" t="n">
        <f aca="false">IF($O50="Active",SUMPRODUCT(($AH$5:$AH$124=$AH50)*1),0)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5350</v>
      </c>
      <c r="B51" s="6" t="s">
        <v>8628</v>
      </c>
      <c r="C51" s="255" t="n">
        <v>72</v>
      </c>
      <c r="D51" s="253"/>
      <c r="E51" s="253"/>
      <c r="F51" s="30" t="s">
        <v>725</v>
      </c>
      <c r="G51" s="30" t="s">
        <v>8629</v>
      </c>
      <c r="H51" s="30" t="s">
        <v>8630</v>
      </c>
      <c r="I51" s="30" t="s">
        <v>809</v>
      </c>
      <c r="J51" s="6" t="s">
        <v>8602</v>
      </c>
      <c r="K51" s="253" t="n">
        <v>1</v>
      </c>
      <c r="L51" s="253" t="s">
        <v>8373</v>
      </c>
      <c r="M51" s="6" t="s">
        <v>8631</v>
      </c>
      <c r="N51" s="253" t="s">
        <v>8375</v>
      </c>
      <c r="O51" s="30" t="s">
        <v>8376</v>
      </c>
      <c r="P51" s="30" t="s">
        <v>809</v>
      </c>
      <c r="Q51" s="30" t="s">
        <v>8632</v>
      </c>
      <c r="R51" s="30" t="s">
        <v>809</v>
      </c>
      <c r="S51" s="30" t="s">
        <v>7466</v>
      </c>
      <c r="T51" s="30" t="s">
        <v>809</v>
      </c>
      <c r="U51" s="30" t="s">
        <v>8605</v>
      </c>
      <c r="V51" s="6" t="s">
        <v>8633</v>
      </c>
      <c r="W51" s="20" t="s">
        <v>8634</v>
      </c>
      <c r="X51" s="32" t="n">
        <f aca="false">IF($O51="Active",SUMPRODUCT(($AH$5:$AH$124=$AH51)*1),0)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5501</v>
      </c>
      <c r="B52" s="6" t="s">
        <v>8635</v>
      </c>
      <c r="C52" s="255" t="n">
        <v>0.9</v>
      </c>
      <c r="D52" s="253"/>
      <c r="E52" s="253"/>
      <c r="F52" s="30" t="s">
        <v>402</v>
      </c>
      <c r="G52" s="253" t="s">
        <v>8636</v>
      </c>
      <c r="H52" s="30" t="s">
        <v>8609</v>
      </c>
      <c r="I52" s="30" t="s">
        <v>809</v>
      </c>
      <c r="J52" s="6" t="s">
        <v>8602</v>
      </c>
      <c r="K52" s="253" t="n">
        <v>3</v>
      </c>
      <c r="L52" s="253" t="s">
        <v>8373</v>
      </c>
      <c r="M52" s="6" t="s">
        <v>8603</v>
      </c>
      <c r="N52" s="253" t="s">
        <v>8511</v>
      </c>
      <c r="O52" s="30" t="s">
        <v>8376</v>
      </c>
      <c r="P52" s="30" t="s">
        <v>809</v>
      </c>
      <c r="Q52" s="30" t="s">
        <v>8604</v>
      </c>
      <c r="R52" s="30" t="s">
        <v>809</v>
      </c>
      <c r="S52" s="30" t="s">
        <v>809</v>
      </c>
      <c r="T52" s="30" t="s">
        <v>809</v>
      </c>
      <c r="U52" s="30" t="s">
        <v>8605</v>
      </c>
      <c r="V52" s="6" t="s">
        <v>8637</v>
      </c>
      <c r="W52" s="20" t="s">
        <v>8638</v>
      </c>
      <c r="X52" s="32" t="n">
        <f aca="false">IF($O52="Active",SUMPRODUCT(($AH$5:$AH$124=$AH52)*1),0)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5505</v>
      </c>
      <c r="B53" s="6" t="s">
        <v>8639</v>
      </c>
      <c r="C53" s="255" t="n">
        <v>1.8</v>
      </c>
      <c r="D53" s="253"/>
      <c r="E53" s="253"/>
      <c r="F53" s="30" t="s">
        <v>402</v>
      </c>
      <c r="G53" s="253" t="s">
        <v>8636</v>
      </c>
      <c r="H53" s="30" t="s">
        <v>2845</v>
      </c>
      <c r="I53" s="30" t="s">
        <v>809</v>
      </c>
      <c r="J53" s="6" t="s">
        <v>8602</v>
      </c>
      <c r="K53" s="253" t="n">
        <v>3</v>
      </c>
      <c r="L53" s="253" t="s">
        <v>8373</v>
      </c>
      <c r="M53" s="6" t="s">
        <v>8603</v>
      </c>
      <c r="N53" s="253" t="s">
        <v>8511</v>
      </c>
      <c r="O53" s="30" t="s">
        <v>8376</v>
      </c>
      <c r="P53" s="30" t="s">
        <v>809</v>
      </c>
      <c r="Q53" s="30" t="s">
        <v>8604</v>
      </c>
      <c r="R53" s="30" t="s">
        <v>809</v>
      </c>
      <c r="S53" s="30" t="s">
        <v>809</v>
      </c>
      <c r="T53" s="30" t="s">
        <v>809</v>
      </c>
      <c r="U53" s="30" t="s">
        <v>8605</v>
      </c>
      <c r="V53" s="6" t="s">
        <v>8640</v>
      </c>
      <c r="W53" s="6" t="s">
        <v>809</v>
      </c>
      <c r="X53" s="32" t="n">
        <f aca="false">IF($O53="Active",SUMPRODUCT(($AH$5:$AH$124=$AH53)*1),0)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5535</v>
      </c>
      <c r="B54" s="6" t="s">
        <v>8641</v>
      </c>
      <c r="C54" s="255" t="n">
        <v>0.5625</v>
      </c>
      <c r="D54" s="253"/>
      <c r="E54" s="253"/>
      <c r="F54" s="30" t="s">
        <v>8642</v>
      </c>
      <c r="G54" s="253" t="s">
        <v>8643</v>
      </c>
      <c r="H54" s="30" t="s">
        <v>248</v>
      </c>
      <c r="I54" s="30" t="s">
        <v>809</v>
      </c>
      <c r="J54" s="6" t="s">
        <v>8602</v>
      </c>
      <c r="K54" s="253" t="n">
        <v>3</v>
      </c>
      <c r="L54" s="253" t="s">
        <v>8373</v>
      </c>
      <c r="M54" s="6" t="s">
        <v>8603</v>
      </c>
      <c r="N54" s="253" t="s">
        <v>8511</v>
      </c>
      <c r="O54" s="30" t="s">
        <v>8376</v>
      </c>
      <c r="P54" s="30" t="s">
        <v>809</v>
      </c>
      <c r="Q54" s="30" t="s">
        <v>8604</v>
      </c>
      <c r="R54" s="30" t="s">
        <v>809</v>
      </c>
      <c r="S54" s="30" t="s">
        <v>809</v>
      </c>
      <c r="T54" s="30" t="s">
        <v>809</v>
      </c>
      <c r="U54" s="30" t="s">
        <v>8605</v>
      </c>
      <c r="V54" s="6" t="s">
        <v>8644</v>
      </c>
      <c r="W54" s="6" t="s">
        <v>809</v>
      </c>
      <c r="X54" s="32" t="n">
        <f aca="false">IF($O54="Active",SUMPRODUCT(($AH$5:$AH$124=$AH54)*1),0)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8645</v>
      </c>
      <c r="B55" s="6" t="s">
        <v>8646</v>
      </c>
      <c r="C55" s="255" t="n">
        <v>3</v>
      </c>
      <c r="D55" s="253"/>
      <c r="E55" s="253"/>
      <c r="F55" s="30" t="s">
        <v>8411</v>
      </c>
      <c r="G55" s="253" t="s">
        <v>8461</v>
      </c>
      <c r="H55" s="30" t="s">
        <v>202</v>
      </c>
      <c r="I55" s="30" t="s">
        <v>809</v>
      </c>
      <c r="J55" s="20" t="s">
        <v>8647</v>
      </c>
      <c r="K55" s="253" t="n">
        <v>3</v>
      </c>
      <c r="L55" s="253" t="s">
        <v>8480</v>
      </c>
      <c r="M55" s="6" t="s">
        <v>8648</v>
      </c>
      <c r="N55" s="253" t="s">
        <v>8386</v>
      </c>
      <c r="O55" s="30" t="s">
        <v>8376</v>
      </c>
      <c r="P55" s="30" t="s">
        <v>809</v>
      </c>
      <c r="Q55" s="30" t="s">
        <v>8649</v>
      </c>
      <c r="R55" s="30" t="s">
        <v>809</v>
      </c>
      <c r="S55" s="30" t="s">
        <v>809</v>
      </c>
      <c r="T55" s="30" t="s">
        <v>809</v>
      </c>
      <c r="U55" s="30" t="s">
        <v>8650</v>
      </c>
      <c r="V55" s="6" t="s">
        <v>809</v>
      </c>
      <c r="W55" s="20" t="s">
        <v>8651</v>
      </c>
      <c r="X55" s="32" t="n">
        <f aca="false">IF($O55="Active",SUMPRODUCT(($AH$5:$AH$124=$AH55)*1),0)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5401</v>
      </c>
      <c r="B56" s="6" t="s">
        <v>8652</v>
      </c>
      <c r="C56" s="255" t="n">
        <v>4</v>
      </c>
      <c r="D56" s="253"/>
      <c r="E56" s="253"/>
      <c r="F56" s="30" t="s">
        <v>8411</v>
      </c>
      <c r="G56" s="253" t="s">
        <v>8653</v>
      </c>
      <c r="H56" s="30" t="s">
        <v>203</v>
      </c>
      <c r="I56" s="30" t="s">
        <v>8654</v>
      </c>
      <c r="J56" s="20" t="s">
        <v>8655</v>
      </c>
      <c r="K56" s="253" t="n">
        <v>2</v>
      </c>
      <c r="L56" s="253" t="s">
        <v>8480</v>
      </c>
      <c r="M56" s="6" t="s">
        <v>8648</v>
      </c>
      <c r="N56" s="253" t="s">
        <v>8386</v>
      </c>
      <c r="O56" s="30" t="s">
        <v>8376</v>
      </c>
      <c r="P56" s="30" t="s">
        <v>809</v>
      </c>
      <c r="Q56" s="30" t="s">
        <v>8656</v>
      </c>
      <c r="R56" s="30" t="s">
        <v>809</v>
      </c>
      <c r="S56" s="30" t="s">
        <v>4626</v>
      </c>
      <c r="T56" s="30" t="s">
        <v>809</v>
      </c>
      <c r="U56" s="30" t="s">
        <v>8650</v>
      </c>
      <c r="V56" s="6" t="s">
        <v>8657</v>
      </c>
      <c r="W56" s="20" t="s">
        <v>8658</v>
      </c>
      <c r="X56" s="32" t="n">
        <f aca="false">IF($O56="Active",SUMPRODUCT(($AH$5:$AH$124=$AH56)*1),0)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5510</v>
      </c>
      <c r="B57" s="6" t="s">
        <v>8659</v>
      </c>
      <c r="C57" s="255" t="n">
        <v>8</v>
      </c>
      <c r="D57" s="253"/>
      <c r="E57" s="253"/>
      <c r="F57" s="30" t="s">
        <v>725</v>
      </c>
      <c r="G57" s="30" t="s">
        <v>8660</v>
      </c>
      <c r="H57" s="30" t="s">
        <v>8661</v>
      </c>
      <c r="I57" s="30" t="s">
        <v>809</v>
      </c>
      <c r="J57" s="6" t="s">
        <v>8662</v>
      </c>
      <c r="K57" s="253" t="n">
        <v>1</v>
      </c>
      <c r="L57" s="253" t="s">
        <v>8373</v>
      </c>
      <c r="M57" s="6" t="s">
        <v>8374</v>
      </c>
      <c r="N57" s="253" t="s">
        <v>8375</v>
      </c>
      <c r="O57" s="30" t="s">
        <v>8376</v>
      </c>
      <c r="P57" s="30" t="s">
        <v>809</v>
      </c>
      <c r="Q57" s="30" t="s">
        <v>8663</v>
      </c>
      <c r="R57" s="30" t="s">
        <v>809</v>
      </c>
      <c r="S57" s="30" t="s">
        <v>7466</v>
      </c>
      <c r="T57" s="30" t="s">
        <v>809</v>
      </c>
      <c r="U57" s="30" t="s">
        <v>8664</v>
      </c>
      <c r="V57" s="6" t="s">
        <v>809</v>
      </c>
      <c r="W57" s="6" t="s">
        <v>8665</v>
      </c>
      <c r="X57" s="32" t="n">
        <f aca="false">IF($O57="Active",SUMPRODUCT(($AH$5:$AH$124=$AH57)*1),0)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8666</v>
      </c>
      <c r="B58" s="6" t="s">
        <v>8667</v>
      </c>
      <c r="C58" s="255" t="n">
        <v>144</v>
      </c>
      <c r="D58" s="253"/>
      <c r="E58" s="253"/>
      <c r="F58" s="253" t="s">
        <v>8668</v>
      </c>
      <c r="G58" s="30" t="s">
        <v>8669</v>
      </c>
      <c r="H58" s="30" t="s">
        <v>8462</v>
      </c>
      <c r="I58" s="30" t="s">
        <v>809</v>
      </c>
      <c r="J58" s="6" t="s">
        <v>8662</v>
      </c>
      <c r="K58" s="253" t="n">
        <v>3</v>
      </c>
      <c r="L58" s="253" t="s">
        <v>8373</v>
      </c>
      <c r="M58" s="6" t="s">
        <v>8670</v>
      </c>
      <c r="N58" s="253" t="s">
        <v>8511</v>
      </c>
      <c r="O58" s="30" t="s">
        <v>8463</v>
      </c>
      <c r="P58" s="30" t="s">
        <v>8464</v>
      </c>
      <c r="Q58" s="30" t="s">
        <v>8671</v>
      </c>
      <c r="R58" s="30" t="s">
        <v>809</v>
      </c>
      <c r="S58" s="30" t="s">
        <v>809</v>
      </c>
      <c r="T58" s="30" t="s">
        <v>809</v>
      </c>
      <c r="U58" s="30" t="s">
        <v>8664</v>
      </c>
      <c r="V58" s="6" t="s">
        <v>809</v>
      </c>
      <c r="W58" s="6" t="s">
        <v>8672</v>
      </c>
      <c r="X58" s="32" t="n">
        <f aca="false">IF($O58="Active",SUMPRODUCT(($AH$5:$AH$124=$AH58)*1),0)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5533</v>
      </c>
      <c r="B59" s="6" t="s">
        <v>8673</v>
      </c>
      <c r="C59" s="255" t="n">
        <v>1</v>
      </c>
      <c r="D59" s="253"/>
      <c r="E59" s="253"/>
      <c r="F59" s="30" t="s">
        <v>8642</v>
      </c>
      <c r="G59" s="253" t="s">
        <v>8643</v>
      </c>
      <c r="H59" s="30" t="s">
        <v>247</v>
      </c>
      <c r="I59" s="30" t="s">
        <v>809</v>
      </c>
      <c r="J59" s="6" t="s">
        <v>8662</v>
      </c>
      <c r="K59" s="253" t="n">
        <v>3</v>
      </c>
      <c r="L59" s="253" t="s">
        <v>8480</v>
      </c>
      <c r="M59" s="20" t="s">
        <v>8674</v>
      </c>
      <c r="N59" s="253" t="s">
        <v>8511</v>
      </c>
      <c r="O59" s="30" t="s">
        <v>8376</v>
      </c>
      <c r="P59" s="30" t="s">
        <v>809</v>
      </c>
      <c r="Q59" s="30" t="s">
        <v>8671</v>
      </c>
      <c r="R59" s="30" t="s">
        <v>809</v>
      </c>
      <c r="S59" s="30" t="s">
        <v>809</v>
      </c>
      <c r="T59" s="30" t="s">
        <v>809</v>
      </c>
      <c r="U59" s="30" t="s">
        <v>8664</v>
      </c>
      <c r="V59" s="6" t="s">
        <v>809</v>
      </c>
      <c r="W59" s="6" t="s">
        <v>8675</v>
      </c>
      <c r="X59" s="32" t="n">
        <f aca="false">IF($O59="Active",SUMPRODUCT(($AH$5:$AH$124=$AH59)*1),0)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5564</v>
      </c>
      <c r="B60" s="6" t="s">
        <v>8676</v>
      </c>
      <c r="C60" s="255" t="n">
        <v>700</v>
      </c>
      <c r="D60" s="253"/>
      <c r="E60" s="253"/>
      <c r="F60" s="30" t="s">
        <v>8677</v>
      </c>
      <c r="G60" s="30" t="s">
        <v>8678</v>
      </c>
      <c r="H60" s="30" t="s">
        <v>201</v>
      </c>
      <c r="I60" s="30" t="s">
        <v>809</v>
      </c>
      <c r="J60" s="6" t="s">
        <v>8662</v>
      </c>
      <c r="K60" s="253" t="n">
        <v>3</v>
      </c>
      <c r="L60" s="253" t="s">
        <v>8373</v>
      </c>
      <c r="M60" s="6" t="s">
        <v>8374</v>
      </c>
      <c r="N60" s="253" t="s">
        <v>8511</v>
      </c>
      <c r="O60" s="30" t="s">
        <v>8376</v>
      </c>
      <c r="P60" s="30" t="s">
        <v>809</v>
      </c>
      <c r="Q60" s="30" t="s">
        <v>8671</v>
      </c>
      <c r="R60" s="30" t="s">
        <v>809</v>
      </c>
      <c r="S60" s="30" t="s">
        <v>809</v>
      </c>
      <c r="T60" s="30" t="s">
        <v>809</v>
      </c>
      <c r="U60" s="30" t="s">
        <v>8664</v>
      </c>
      <c r="V60" s="6" t="s">
        <v>809</v>
      </c>
      <c r="W60" s="6" t="s">
        <v>8675</v>
      </c>
      <c r="X60" s="32" t="n">
        <f aca="false">IF($O60="Active",SUMPRODUCT(($AH$5:$AH$124=$AH60)*1),0)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5566</v>
      </c>
      <c r="B61" s="6" t="s">
        <v>8679</v>
      </c>
      <c r="C61" s="255" t="n">
        <v>1200</v>
      </c>
      <c r="D61" s="253"/>
      <c r="E61" s="253"/>
      <c r="F61" s="30" t="s">
        <v>8677</v>
      </c>
      <c r="G61" s="253" t="s">
        <v>8680</v>
      </c>
      <c r="H61" s="30" t="s">
        <v>202</v>
      </c>
      <c r="I61" s="30" t="s">
        <v>809</v>
      </c>
      <c r="J61" s="6" t="s">
        <v>8662</v>
      </c>
      <c r="K61" s="253" t="n">
        <v>3</v>
      </c>
      <c r="L61" s="253" t="s">
        <v>8373</v>
      </c>
      <c r="M61" s="6" t="s">
        <v>8374</v>
      </c>
      <c r="N61" s="253" t="s">
        <v>8511</v>
      </c>
      <c r="O61" s="30" t="s">
        <v>8376</v>
      </c>
      <c r="P61" s="30" t="s">
        <v>809</v>
      </c>
      <c r="Q61" s="30" t="s">
        <v>8671</v>
      </c>
      <c r="R61" s="30" t="s">
        <v>809</v>
      </c>
      <c r="S61" s="30" t="s">
        <v>809</v>
      </c>
      <c r="T61" s="30" t="s">
        <v>809</v>
      </c>
      <c r="U61" s="30" t="s">
        <v>8664</v>
      </c>
      <c r="V61" s="6" t="s">
        <v>809</v>
      </c>
      <c r="W61" s="6" t="s">
        <v>8675</v>
      </c>
      <c r="X61" s="32" t="n">
        <f aca="false">IF($O61="Active",SUMPRODUCT(($AH$5:$AH$124=$AH61)*1),0)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5568</v>
      </c>
      <c r="B62" s="6" t="s">
        <v>8681</v>
      </c>
      <c r="C62" s="255" t="n">
        <v>1400</v>
      </c>
      <c r="D62" s="253"/>
      <c r="E62" s="253"/>
      <c r="F62" s="30" t="s">
        <v>8677</v>
      </c>
      <c r="G62" s="253" t="s">
        <v>8680</v>
      </c>
      <c r="H62" s="30" t="s">
        <v>203</v>
      </c>
      <c r="I62" s="30" t="s">
        <v>809</v>
      </c>
      <c r="J62" s="6" t="s">
        <v>8662</v>
      </c>
      <c r="K62" s="253" t="n">
        <v>3</v>
      </c>
      <c r="L62" s="253" t="s">
        <v>8373</v>
      </c>
      <c r="M62" s="6" t="s">
        <v>8374</v>
      </c>
      <c r="N62" s="253" t="s">
        <v>8511</v>
      </c>
      <c r="O62" s="30" t="s">
        <v>8376</v>
      </c>
      <c r="P62" s="30" t="s">
        <v>809</v>
      </c>
      <c r="Q62" s="30" t="s">
        <v>8671</v>
      </c>
      <c r="R62" s="30" t="s">
        <v>809</v>
      </c>
      <c r="S62" s="30" t="s">
        <v>809</v>
      </c>
      <c r="T62" s="30" t="s">
        <v>809</v>
      </c>
      <c r="U62" s="30" t="s">
        <v>8664</v>
      </c>
      <c r="V62" s="6" t="s">
        <v>809</v>
      </c>
      <c r="W62" s="6" t="s">
        <v>8675</v>
      </c>
      <c r="X62" s="32" t="n">
        <f aca="false">IF($O62="Active",SUMPRODUCT(($AH$5:$AH$124=$AH62)*1),0)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5489</v>
      </c>
      <c r="B63" s="6" t="s">
        <v>8682</v>
      </c>
      <c r="C63" s="255" t="n">
        <v>8</v>
      </c>
      <c r="D63" s="253"/>
      <c r="E63" s="253"/>
      <c r="F63" s="30" t="s">
        <v>402</v>
      </c>
      <c r="G63" s="30" t="s">
        <v>8566</v>
      </c>
      <c r="H63" s="30" t="s">
        <v>203</v>
      </c>
      <c r="I63" s="30" t="s">
        <v>809</v>
      </c>
      <c r="J63" s="6" t="s">
        <v>8662</v>
      </c>
      <c r="K63" s="253" t="n">
        <v>3</v>
      </c>
      <c r="L63" s="253" t="s">
        <v>8373</v>
      </c>
      <c r="M63" s="6" t="s">
        <v>8374</v>
      </c>
      <c r="N63" s="253" t="s">
        <v>8511</v>
      </c>
      <c r="O63" s="30" t="s">
        <v>8376</v>
      </c>
      <c r="P63" s="30" t="s">
        <v>809</v>
      </c>
      <c r="Q63" s="30" t="s">
        <v>8671</v>
      </c>
      <c r="R63" s="30" t="s">
        <v>809</v>
      </c>
      <c r="S63" s="30" t="s">
        <v>809</v>
      </c>
      <c r="T63" s="30" t="s">
        <v>809</v>
      </c>
      <c r="U63" s="30" t="s">
        <v>8664</v>
      </c>
      <c r="V63" s="6" t="s">
        <v>809</v>
      </c>
      <c r="W63" s="6" t="s">
        <v>8675</v>
      </c>
      <c r="X63" s="32" t="n">
        <f aca="false">IF($O63="Active",SUMPRODUCT(($AH$5:$AH$124=$AH63)*1),0)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5498</v>
      </c>
      <c r="B64" s="6" t="s">
        <v>8683</v>
      </c>
      <c r="C64" s="255" t="n">
        <v>400</v>
      </c>
      <c r="D64" s="253"/>
      <c r="E64" s="253"/>
      <c r="F64" s="30" t="s">
        <v>8684</v>
      </c>
      <c r="G64" s="253" t="s">
        <v>8685</v>
      </c>
      <c r="H64" s="30" t="s">
        <v>201</v>
      </c>
      <c r="I64" s="30" t="s">
        <v>809</v>
      </c>
      <c r="J64" s="6" t="s">
        <v>8662</v>
      </c>
      <c r="K64" s="253" t="n">
        <v>3</v>
      </c>
      <c r="L64" s="253" t="s">
        <v>8373</v>
      </c>
      <c r="M64" s="6" t="s">
        <v>8374</v>
      </c>
      <c r="N64" s="253" t="s">
        <v>8511</v>
      </c>
      <c r="O64" s="30" t="s">
        <v>8376</v>
      </c>
      <c r="P64" s="30" t="s">
        <v>809</v>
      </c>
      <c r="Q64" s="30" t="s">
        <v>8671</v>
      </c>
      <c r="R64" s="30" t="s">
        <v>809</v>
      </c>
      <c r="S64" s="30" t="s">
        <v>809</v>
      </c>
      <c r="T64" s="30" t="s">
        <v>809</v>
      </c>
      <c r="U64" s="30" t="s">
        <v>8664</v>
      </c>
      <c r="V64" s="6" t="s">
        <v>809</v>
      </c>
      <c r="W64" s="6" t="s">
        <v>8675</v>
      </c>
      <c r="X64" s="32" t="n">
        <f aca="false">IF($O64="Active",SUMPRODUCT(($AH$5:$AH$124=$AH64)*1),0)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5354</v>
      </c>
      <c r="B65" s="6" t="s">
        <v>8686</v>
      </c>
      <c r="C65" s="255" t="n">
        <v>72</v>
      </c>
      <c r="D65" s="253"/>
      <c r="E65" s="253"/>
      <c r="F65" s="253" t="s">
        <v>8668</v>
      </c>
      <c r="G65" s="253" t="s">
        <v>8687</v>
      </c>
      <c r="H65" s="30" t="s">
        <v>8688</v>
      </c>
      <c r="I65" s="30" t="s">
        <v>1511</v>
      </c>
      <c r="J65" s="6" t="s">
        <v>8689</v>
      </c>
      <c r="K65" s="253" t="n">
        <v>1</v>
      </c>
      <c r="L65" s="253" t="s">
        <v>8373</v>
      </c>
      <c r="M65" s="6" t="s">
        <v>8690</v>
      </c>
      <c r="N65" s="253" t="s">
        <v>8375</v>
      </c>
      <c r="O65" s="30" t="s">
        <v>8376</v>
      </c>
      <c r="P65" s="30" t="s">
        <v>809</v>
      </c>
      <c r="Q65" s="30" t="s">
        <v>8691</v>
      </c>
      <c r="R65" s="30" t="s">
        <v>809</v>
      </c>
      <c r="S65" s="30" t="s">
        <v>809</v>
      </c>
      <c r="T65" s="30" t="s">
        <v>809</v>
      </c>
      <c r="U65" s="30" t="s">
        <v>8692</v>
      </c>
      <c r="V65" s="6" t="s">
        <v>8693</v>
      </c>
      <c r="W65" s="6" t="s">
        <v>8694</v>
      </c>
      <c r="X65" s="32" t="n">
        <f aca="false">IF($O65="Active",SUMPRODUCT(($AH$5:$AH$124=$AH65)*1),0)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5516</v>
      </c>
      <c r="B66" s="6" t="s">
        <v>8695</v>
      </c>
      <c r="C66" s="255" t="n">
        <v>576</v>
      </c>
      <c r="D66" s="253"/>
      <c r="E66" s="253"/>
      <c r="F66" s="30" t="s">
        <v>725</v>
      </c>
      <c r="G66" s="30" t="s">
        <v>8696</v>
      </c>
      <c r="H66" s="30" t="s">
        <v>8462</v>
      </c>
      <c r="I66" s="30" t="s">
        <v>1511</v>
      </c>
      <c r="J66" s="6" t="s">
        <v>8689</v>
      </c>
      <c r="K66" s="253" t="n">
        <v>1</v>
      </c>
      <c r="L66" s="253" t="s">
        <v>8373</v>
      </c>
      <c r="M66" s="6" t="s">
        <v>8697</v>
      </c>
      <c r="N66" s="253" t="s">
        <v>8375</v>
      </c>
      <c r="O66" s="30" t="s">
        <v>8376</v>
      </c>
      <c r="P66" s="30" t="s">
        <v>809</v>
      </c>
      <c r="Q66" s="30" t="s">
        <v>8691</v>
      </c>
      <c r="R66" s="30" t="s">
        <v>809</v>
      </c>
      <c r="S66" s="30" t="s">
        <v>809</v>
      </c>
      <c r="T66" s="30" t="s">
        <v>809</v>
      </c>
      <c r="U66" s="30" t="s">
        <v>8692</v>
      </c>
      <c r="V66" s="6" t="s">
        <v>8698</v>
      </c>
      <c r="W66" s="6" t="s">
        <v>8699</v>
      </c>
      <c r="X66" s="32" t="n">
        <f aca="false">IF($O66="Active",SUMPRODUCT(($AH$5:$AH$124=$AH66)*1),0)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5452</v>
      </c>
      <c r="B67" s="6" t="s">
        <v>8700</v>
      </c>
      <c r="C67" s="255" t="n">
        <v>2520</v>
      </c>
      <c r="D67" s="253"/>
      <c r="E67" s="253"/>
      <c r="F67" s="30" t="s">
        <v>8701</v>
      </c>
      <c r="G67" s="30" t="s">
        <v>8702</v>
      </c>
      <c r="H67" s="30" t="s">
        <v>204</v>
      </c>
      <c r="I67" s="30" t="s">
        <v>8383</v>
      </c>
      <c r="J67" s="6" t="s">
        <v>8703</v>
      </c>
      <c r="K67" s="253" t="n">
        <v>1</v>
      </c>
      <c r="L67" s="253" t="s">
        <v>8373</v>
      </c>
      <c r="M67" s="6" t="s">
        <v>8704</v>
      </c>
      <c r="N67" s="253" t="s">
        <v>8375</v>
      </c>
      <c r="O67" s="30" t="s">
        <v>8376</v>
      </c>
      <c r="P67" s="30" t="s">
        <v>809</v>
      </c>
      <c r="Q67" s="30" t="s">
        <v>8705</v>
      </c>
      <c r="R67" s="30" t="s">
        <v>809</v>
      </c>
      <c r="S67" s="30" t="s">
        <v>809</v>
      </c>
      <c r="T67" s="30" t="s">
        <v>809</v>
      </c>
      <c r="U67" s="30" t="s">
        <v>8692</v>
      </c>
      <c r="V67" s="20" t="s">
        <v>8706</v>
      </c>
      <c r="W67" s="6" t="s">
        <v>8707</v>
      </c>
      <c r="X67" s="32" t="n">
        <f aca="false">IF($O67="Active",SUMPRODUCT(($AH$5:$AH$124=$AH67)*1),0)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8708</v>
      </c>
      <c r="B68" s="6" t="s">
        <v>8709</v>
      </c>
      <c r="C68" s="255" t="n">
        <v>227</v>
      </c>
      <c r="D68" s="253"/>
      <c r="E68" s="253"/>
      <c r="F68" s="30" t="s">
        <v>8395</v>
      </c>
      <c r="G68" s="253" t="s">
        <v>8710</v>
      </c>
      <c r="H68" s="30" t="s">
        <v>204</v>
      </c>
      <c r="I68" s="30" t="s">
        <v>1511</v>
      </c>
      <c r="J68" s="6" t="s">
        <v>8711</v>
      </c>
      <c r="K68" s="253" t="n">
        <v>1</v>
      </c>
      <c r="L68" s="253" t="s">
        <v>8373</v>
      </c>
      <c r="M68" s="6" t="s">
        <v>8712</v>
      </c>
      <c r="N68" s="253" t="s">
        <v>8375</v>
      </c>
      <c r="O68" s="30" t="s">
        <v>8376</v>
      </c>
      <c r="P68" s="30" t="s">
        <v>809</v>
      </c>
      <c r="Q68" s="30" t="s">
        <v>8713</v>
      </c>
      <c r="R68" s="30" t="s">
        <v>809</v>
      </c>
      <c r="S68" s="30" t="s">
        <v>809</v>
      </c>
      <c r="T68" s="30" t="s">
        <v>809</v>
      </c>
      <c r="U68" s="30" t="s">
        <v>8692</v>
      </c>
      <c r="V68" s="20" t="s">
        <v>8714</v>
      </c>
      <c r="W68" s="6" t="s">
        <v>8715</v>
      </c>
      <c r="X68" s="32" t="n">
        <f aca="false">IF($O68="Active",SUMPRODUCT(($AH$5:$AH$124=$AH68)*1),0)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8716</v>
      </c>
      <c r="B69" s="6" t="s">
        <v>8717</v>
      </c>
      <c r="C69" s="255" t="n">
        <v>4.3</v>
      </c>
      <c r="D69" s="207"/>
      <c r="E69" s="207"/>
      <c r="F69" s="30" t="s">
        <v>8411</v>
      </c>
      <c r="G69" s="207" t="s">
        <v>8718</v>
      </c>
      <c r="H69" s="30" t="s">
        <v>203</v>
      </c>
      <c r="I69" s="30" t="s">
        <v>8719</v>
      </c>
      <c r="J69" s="6" t="s">
        <v>8720</v>
      </c>
      <c r="K69" s="207" t="n">
        <v>2</v>
      </c>
      <c r="L69" s="207" t="s">
        <v>8373</v>
      </c>
      <c r="M69" s="245" t="s">
        <v>8721</v>
      </c>
      <c r="N69" s="207" t="s">
        <v>8386</v>
      </c>
      <c r="O69" s="30" t="s">
        <v>8422</v>
      </c>
      <c r="P69" s="30" t="s">
        <v>809</v>
      </c>
      <c r="Q69" s="30" t="s">
        <v>8722</v>
      </c>
      <c r="R69" s="30" t="s">
        <v>809</v>
      </c>
      <c r="S69" s="30" t="s">
        <v>809</v>
      </c>
      <c r="T69" s="30" t="s">
        <v>809</v>
      </c>
      <c r="U69" s="30" t="s">
        <v>8723</v>
      </c>
      <c r="V69" s="6" t="s">
        <v>8724</v>
      </c>
      <c r="W69" s="6" t="s">
        <v>8725</v>
      </c>
      <c r="X69" s="32" t="n">
        <f aca="false">IF($O69="Active",SUMPRODUCT(($AH$5:$AH$124=$AH69)*1),0)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8726</v>
      </c>
      <c r="B70" s="6" t="s">
        <v>8727</v>
      </c>
      <c r="C70" s="255" t="n">
        <v>2</v>
      </c>
      <c r="D70" s="207"/>
      <c r="E70" s="207"/>
      <c r="F70" s="30" t="s">
        <v>132</v>
      </c>
      <c r="G70" s="207" t="s">
        <v>8728</v>
      </c>
      <c r="H70" s="30" t="s">
        <v>8729</v>
      </c>
      <c r="I70" s="30" t="s">
        <v>8730</v>
      </c>
      <c r="J70" s="6" t="s">
        <v>8731</v>
      </c>
      <c r="K70" s="207" t="n">
        <v>1</v>
      </c>
      <c r="L70" s="207" t="s">
        <v>8480</v>
      </c>
      <c r="M70" s="245" t="s">
        <v>8732</v>
      </c>
      <c r="N70" s="207" t="s">
        <v>8375</v>
      </c>
      <c r="O70" s="30" t="s">
        <v>8376</v>
      </c>
      <c r="P70" s="30" t="s">
        <v>809</v>
      </c>
      <c r="Q70" s="30" t="s">
        <v>8733</v>
      </c>
      <c r="R70" s="30" t="s">
        <v>809</v>
      </c>
      <c r="S70" s="30" t="s">
        <v>809</v>
      </c>
      <c r="T70" s="30" t="s">
        <v>809</v>
      </c>
      <c r="U70" s="30" t="s">
        <v>8723</v>
      </c>
      <c r="V70" s="245" t="s">
        <v>8734</v>
      </c>
      <c r="W70" s="6" t="s">
        <v>8735</v>
      </c>
      <c r="X70" s="32" t="n">
        <f aca="false">IF($O70="Active",SUMPRODUCT(($AH$5:$AH$124=$AH70)*1),0)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  <row r="71" customFormat="false" ht="43.5" hidden="false" customHeight="true" outlineLevel="0" collapsed="false">
      <c r="A71" s="30" t="s">
        <v>8736</v>
      </c>
      <c r="B71" s="6" t="s">
        <v>8737</v>
      </c>
      <c r="C71" s="255" t="n">
        <v>141</v>
      </c>
      <c r="D71" s="207"/>
      <c r="E71" s="207"/>
      <c r="F71" s="30" t="s">
        <v>921</v>
      </c>
      <c r="G71" s="30" t="s">
        <v>809</v>
      </c>
      <c r="H71" s="30" t="s">
        <v>8738</v>
      </c>
      <c r="I71" s="30" t="s">
        <v>7888</v>
      </c>
      <c r="J71" s="6" t="s">
        <v>8739</v>
      </c>
      <c r="K71" s="207" t="n">
        <v>1</v>
      </c>
      <c r="L71" s="207" t="s">
        <v>8373</v>
      </c>
      <c r="M71" s="6" t="s">
        <v>8374</v>
      </c>
      <c r="N71" s="207" t="s">
        <v>8375</v>
      </c>
      <c r="O71" s="30" t="s">
        <v>8376</v>
      </c>
      <c r="P71" s="30" t="s">
        <v>809</v>
      </c>
      <c r="Q71" s="30" t="s">
        <v>8740</v>
      </c>
      <c r="R71" s="30" t="s">
        <v>8741</v>
      </c>
      <c r="S71" s="30" t="s">
        <v>809</v>
      </c>
      <c r="T71" s="30" t="s">
        <v>809</v>
      </c>
      <c r="U71" s="30" t="s">
        <v>8742</v>
      </c>
      <c r="V71" s="6" t="s">
        <v>8743</v>
      </c>
      <c r="W71" s="6" t="s">
        <v>8744</v>
      </c>
      <c r="X71" s="32" t="n">
        <f aca="false">IF($O71="Active",SUMPRODUCT(($AH$5:$AH$124=$AH71)*1),0)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H200 HBM 容量¦—¦Hopper H200</v>
      </c>
    </row>
    <row r="72" customFormat="false" ht="40.5" hidden="false" customHeight="true" outlineLevel="0" collapsed="false">
      <c r="A72" s="30" t="s">
        <v>8745</v>
      </c>
      <c r="B72" s="6" t="s">
        <v>8746</v>
      </c>
      <c r="C72" s="255" t="n">
        <v>4.8</v>
      </c>
      <c r="D72" s="207"/>
      <c r="E72" s="207"/>
      <c r="F72" s="30" t="s">
        <v>402</v>
      </c>
      <c r="G72" s="30" t="s">
        <v>809</v>
      </c>
      <c r="H72" s="30" t="s">
        <v>8738</v>
      </c>
      <c r="I72" s="30" t="s">
        <v>7888</v>
      </c>
      <c r="J72" s="6" t="s">
        <v>8739</v>
      </c>
      <c r="K72" s="207" t="n">
        <v>1</v>
      </c>
      <c r="L72" s="207" t="s">
        <v>8373</v>
      </c>
      <c r="M72" s="6" t="s">
        <v>8374</v>
      </c>
      <c r="N72" s="207" t="s">
        <v>8375</v>
      </c>
      <c r="O72" s="30" t="s">
        <v>8376</v>
      </c>
      <c r="P72" s="30" t="s">
        <v>809</v>
      </c>
      <c r="Q72" s="30" t="s">
        <v>8740</v>
      </c>
      <c r="R72" s="30" t="s">
        <v>8747</v>
      </c>
      <c r="S72" s="30" t="s">
        <v>809</v>
      </c>
      <c r="T72" s="30" t="s">
        <v>809</v>
      </c>
      <c r="U72" s="30" t="s">
        <v>8742</v>
      </c>
      <c r="V72" s="6" t="s">
        <v>8743</v>
      </c>
      <c r="W72" s="6" t="s">
        <v>8748</v>
      </c>
      <c r="X72" s="32" t="n">
        <f aca="false">IF($O72="Active",SUMPRODUCT(($AH$5:$AH$124=$AH72)*1),0)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H200 HBM 頻寬¦—¦Hopper H200</v>
      </c>
    </row>
    <row r="73" customFormat="false" ht="29.25" hidden="false" customHeight="true" outlineLevel="0" collapsed="false">
      <c r="A73" s="30" t="s">
        <v>8741</v>
      </c>
      <c r="B73" s="6" t="s">
        <v>8749</v>
      </c>
      <c r="C73" s="255" t="n">
        <v>141</v>
      </c>
      <c r="D73" s="207"/>
      <c r="E73" s="207"/>
      <c r="F73" s="30" t="s">
        <v>921</v>
      </c>
      <c r="G73" s="30" t="s">
        <v>8750</v>
      </c>
      <c r="H73" s="30" t="s">
        <v>8751</v>
      </c>
      <c r="I73" s="30" t="s">
        <v>8215</v>
      </c>
      <c r="J73" s="6" t="s">
        <v>8752</v>
      </c>
      <c r="K73" s="207" t="n">
        <v>1</v>
      </c>
      <c r="L73" s="207" t="s">
        <v>8373</v>
      </c>
      <c r="M73" s="6" t="s">
        <v>8753</v>
      </c>
      <c r="N73" s="207" t="s">
        <v>8754</v>
      </c>
      <c r="O73" s="30" t="s">
        <v>8376</v>
      </c>
      <c r="P73" s="30" t="s">
        <v>809</v>
      </c>
      <c r="Q73" s="30" t="s">
        <v>8755</v>
      </c>
      <c r="R73" s="30" t="s">
        <v>8736</v>
      </c>
      <c r="S73" s="30" t="s">
        <v>809</v>
      </c>
      <c r="T73" s="30" t="s">
        <v>809</v>
      </c>
      <c r="U73" s="30" t="s">
        <v>8756</v>
      </c>
      <c r="V73" s="6" t="s">
        <v>8757</v>
      </c>
      <c r="W73" s="6" t="s">
        <v>8758</v>
      </c>
      <c r="X73" s="32" t="n">
        <f aca="false">IF($O73="Active",SUMPRODUCT(($AH$5:$AH$124=$AH73)*1),0)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H200 HBM 容量（第二來源：Lenovo Press LP1944）¦SXM 與 NVL 兩款同值；產品指南更新日 2025-11-07¦Hopper H200（Lenovo 產品指南）</v>
      </c>
    </row>
    <row r="74" customFormat="false" ht="29.25" hidden="false" customHeight="true" outlineLevel="0" collapsed="false">
      <c r="A74" s="30" t="s">
        <v>8747</v>
      </c>
      <c r="B74" s="6" t="s">
        <v>8759</v>
      </c>
      <c r="C74" s="255" t="n">
        <v>4.8</v>
      </c>
      <c r="D74" s="207"/>
      <c r="E74" s="207"/>
      <c r="F74" s="30" t="s">
        <v>402</v>
      </c>
      <c r="G74" s="30" t="s">
        <v>8750</v>
      </c>
      <c r="H74" s="30" t="s">
        <v>8751</v>
      </c>
      <c r="I74" s="30" t="s">
        <v>8215</v>
      </c>
      <c r="J74" s="6" t="s">
        <v>8752</v>
      </c>
      <c r="K74" s="207" t="n">
        <v>1</v>
      </c>
      <c r="L74" s="207" t="s">
        <v>8373</v>
      </c>
      <c r="M74" s="6" t="s">
        <v>8753</v>
      </c>
      <c r="N74" s="207" t="s">
        <v>8754</v>
      </c>
      <c r="O74" s="30" t="s">
        <v>8376</v>
      </c>
      <c r="P74" s="30" t="s">
        <v>809</v>
      </c>
      <c r="Q74" s="30" t="s">
        <v>8755</v>
      </c>
      <c r="R74" s="30" t="s">
        <v>8745</v>
      </c>
      <c r="S74" s="30" t="s">
        <v>809</v>
      </c>
      <c r="T74" s="30" t="s">
        <v>809</v>
      </c>
      <c r="U74" s="30" t="s">
        <v>8756</v>
      </c>
      <c r="V74" s="6" t="s">
        <v>8760</v>
      </c>
      <c r="W74" s="6" t="s">
        <v>8761</v>
      </c>
      <c r="X74" s="32" t="n">
        <f aca="false">IF($O74="Active",SUMPRODUCT(($AH$5:$AH$124=$AH74)*1),0)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H200 HBM 頻寬（第二來源：Lenovo Press LP1944）¦SXM 與 NVL 兩款同值；產品指南更新日 2025-11-07¦Hopper H200（Lenovo 產品指南）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8762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29.25" hidden="false" customHeight="true" outlineLevel="0" collapsed="false">
      <c r="A5" s="30" t="s">
        <v>5261</v>
      </c>
      <c r="B5" s="6" t="s">
        <v>8763</v>
      </c>
      <c r="C5" s="253"/>
      <c r="D5" s="255" t="n">
        <v>0.04</v>
      </c>
      <c r="E5" s="255" t="n">
        <v>0.08</v>
      </c>
      <c r="F5" s="30" t="s">
        <v>127</v>
      </c>
      <c r="G5" s="253" t="s">
        <v>8764</v>
      </c>
      <c r="H5" s="30" t="s">
        <v>809</v>
      </c>
      <c r="I5" s="30" t="s">
        <v>8383</v>
      </c>
      <c r="J5" s="6" t="s">
        <v>8765</v>
      </c>
      <c r="K5" s="253" t="n">
        <v>3</v>
      </c>
      <c r="L5" s="253" t="s">
        <v>8373</v>
      </c>
      <c r="M5" s="6" t="s">
        <v>8766</v>
      </c>
      <c r="N5" s="253" t="s">
        <v>8386</v>
      </c>
      <c r="O5" s="30" t="s">
        <v>8376</v>
      </c>
      <c r="P5" s="30" t="s">
        <v>809</v>
      </c>
      <c r="Q5" s="30" t="s">
        <v>8767</v>
      </c>
      <c r="R5" s="30" t="s">
        <v>809</v>
      </c>
      <c r="S5" s="30" t="s">
        <v>809</v>
      </c>
      <c r="T5" s="30" t="s">
        <v>809</v>
      </c>
      <c r="U5" s="30" t="s">
        <v>8768</v>
      </c>
      <c r="V5" s="6" t="s">
        <v>8769</v>
      </c>
      <c r="W5" s="20" t="s">
        <v>8770</v>
      </c>
      <c r="X5" s="32" t="n">
        <f aca="false">IF($O5="Active",SUMPRODUCT(($AH$5:$AH$73=$AH5)*1),0)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5264</v>
      </c>
      <c r="B6" s="20" t="s">
        <v>8771</v>
      </c>
      <c r="C6" s="255" t="n">
        <v>0.15</v>
      </c>
      <c r="D6" s="253"/>
      <c r="E6" s="253"/>
      <c r="F6" s="30" t="s">
        <v>127</v>
      </c>
      <c r="G6" s="253" t="s">
        <v>8772</v>
      </c>
      <c r="H6" s="30" t="s">
        <v>809</v>
      </c>
      <c r="I6" s="30" t="s">
        <v>8383</v>
      </c>
      <c r="J6" s="6" t="s">
        <v>8765</v>
      </c>
      <c r="K6" s="253" t="n">
        <v>3</v>
      </c>
      <c r="L6" s="253" t="s">
        <v>8373</v>
      </c>
      <c r="M6" s="6" t="s">
        <v>8766</v>
      </c>
      <c r="N6" s="253" t="s">
        <v>8386</v>
      </c>
      <c r="O6" s="30" t="s">
        <v>8376</v>
      </c>
      <c r="P6" s="30" t="s">
        <v>809</v>
      </c>
      <c r="Q6" s="30" t="s">
        <v>8767</v>
      </c>
      <c r="R6" s="30" t="s">
        <v>809</v>
      </c>
      <c r="S6" s="30" t="s">
        <v>809</v>
      </c>
      <c r="T6" s="30" t="s">
        <v>809</v>
      </c>
      <c r="U6" s="30" t="s">
        <v>8768</v>
      </c>
      <c r="V6" s="6" t="s">
        <v>8773</v>
      </c>
      <c r="W6" s="6" t="s">
        <v>8774</v>
      </c>
      <c r="X6" s="32" t="n">
        <f aca="false">IF($O6="Active",SUMPRODUCT(($AH$5:$AH$73=$AH6)*1),0)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3876</v>
      </c>
      <c r="B7" s="20" t="s">
        <v>8775</v>
      </c>
      <c r="C7" s="255" t="n">
        <v>11.3</v>
      </c>
      <c r="D7" s="253"/>
      <c r="E7" s="253"/>
      <c r="F7" s="30" t="s">
        <v>149</v>
      </c>
      <c r="G7" s="253" t="s">
        <v>8776</v>
      </c>
      <c r="H7" s="253" t="s">
        <v>8777</v>
      </c>
      <c r="I7" s="30" t="s">
        <v>8383</v>
      </c>
      <c r="J7" s="6" t="s">
        <v>8778</v>
      </c>
      <c r="K7" s="253" t="n">
        <v>3</v>
      </c>
      <c r="L7" s="253" t="s">
        <v>8480</v>
      </c>
      <c r="M7" s="6" t="s">
        <v>8779</v>
      </c>
      <c r="N7" s="253" t="s">
        <v>8386</v>
      </c>
      <c r="O7" s="30" t="s">
        <v>8376</v>
      </c>
      <c r="P7" s="30" t="s">
        <v>809</v>
      </c>
      <c r="Q7" s="30" t="s">
        <v>6032</v>
      </c>
      <c r="R7" s="30" t="s">
        <v>809</v>
      </c>
      <c r="S7" s="30" t="s">
        <v>809</v>
      </c>
      <c r="T7" s="30" t="s">
        <v>809</v>
      </c>
      <c r="U7" s="30" t="s">
        <v>8780</v>
      </c>
      <c r="V7" s="6" t="s">
        <v>8781</v>
      </c>
      <c r="W7" s="6" t="s">
        <v>8782</v>
      </c>
      <c r="X7" s="32" t="n">
        <f aca="false">IF($O7="Active",SUMPRODUCT(($AH$5:$AH$73=$AH7)*1),0)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8783</v>
      </c>
      <c r="B8" s="20" t="s">
        <v>8784</v>
      </c>
      <c r="C8" s="253"/>
      <c r="D8" s="255" t="n">
        <v>0.07</v>
      </c>
      <c r="E8" s="255" t="n">
        <v>0.1</v>
      </c>
      <c r="F8" s="30" t="s">
        <v>127</v>
      </c>
      <c r="G8" s="253" t="s">
        <v>8785</v>
      </c>
      <c r="H8" s="253" t="s">
        <v>8786</v>
      </c>
      <c r="I8" s="30" t="s">
        <v>8383</v>
      </c>
      <c r="J8" s="6" t="s">
        <v>8778</v>
      </c>
      <c r="K8" s="253" t="n">
        <v>3</v>
      </c>
      <c r="L8" s="253" t="s">
        <v>8480</v>
      </c>
      <c r="M8" s="6" t="s">
        <v>8779</v>
      </c>
      <c r="N8" s="253" t="s">
        <v>8386</v>
      </c>
      <c r="O8" s="30" t="s">
        <v>8376</v>
      </c>
      <c r="P8" s="30" t="s">
        <v>809</v>
      </c>
      <c r="Q8" s="30" t="s">
        <v>6032</v>
      </c>
      <c r="R8" s="30" t="s">
        <v>809</v>
      </c>
      <c r="S8" s="30" t="s">
        <v>809</v>
      </c>
      <c r="T8" s="30" t="s">
        <v>809</v>
      </c>
      <c r="U8" s="30" t="s">
        <v>8780</v>
      </c>
      <c r="V8" s="6" t="s">
        <v>8781</v>
      </c>
      <c r="W8" s="6" t="s">
        <v>809</v>
      </c>
      <c r="X8" s="32" t="n">
        <f aca="false">IF($O8="Active",SUMPRODUCT(($AH$5:$AH$73=$AH8)*1),0)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8787</v>
      </c>
      <c r="B9" s="20" t="s">
        <v>8788</v>
      </c>
      <c r="C9" s="255" t="n">
        <v>0.0858</v>
      </c>
      <c r="D9" s="253"/>
      <c r="E9" s="253"/>
      <c r="F9" s="30" t="s">
        <v>138</v>
      </c>
      <c r="G9" s="253" t="s">
        <v>8789</v>
      </c>
      <c r="H9" s="253" t="s">
        <v>1500</v>
      </c>
      <c r="I9" s="30" t="s">
        <v>8413</v>
      </c>
      <c r="J9" s="6" t="s">
        <v>8790</v>
      </c>
      <c r="K9" s="253" t="n">
        <v>2</v>
      </c>
      <c r="L9" s="253" t="s">
        <v>8480</v>
      </c>
      <c r="M9" s="6" t="s">
        <v>8791</v>
      </c>
      <c r="N9" s="253" t="s">
        <v>8792</v>
      </c>
      <c r="O9" s="30" t="s">
        <v>8376</v>
      </c>
      <c r="P9" s="30" t="s">
        <v>809</v>
      </c>
      <c r="Q9" s="30" t="s">
        <v>6044</v>
      </c>
      <c r="R9" s="30" t="s">
        <v>809</v>
      </c>
      <c r="S9" s="30" t="s">
        <v>809</v>
      </c>
      <c r="T9" s="30" t="s">
        <v>809</v>
      </c>
      <c r="U9" s="30" t="s">
        <v>8793</v>
      </c>
      <c r="V9" s="6" t="s">
        <v>809</v>
      </c>
      <c r="W9" s="6" t="s">
        <v>809</v>
      </c>
      <c r="X9" s="32" t="n">
        <f aca="false">IF($O9="Active",SUMPRODUCT(($AH$5:$AH$73=$AH9)*1),0)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5256</v>
      </c>
      <c r="B10" s="20" t="s">
        <v>8794</v>
      </c>
      <c r="C10" s="255" t="n">
        <v>0.0871</v>
      </c>
      <c r="D10" s="253"/>
      <c r="E10" s="253"/>
      <c r="F10" s="30" t="s">
        <v>138</v>
      </c>
      <c r="G10" s="253" t="s">
        <v>8789</v>
      </c>
      <c r="H10" s="253" t="s">
        <v>1500</v>
      </c>
      <c r="I10" s="30" t="s">
        <v>8478</v>
      </c>
      <c r="J10" s="6" t="s">
        <v>8790</v>
      </c>
      <c r="K10" s="253" t="n">
        <v>2</v>
      </c>
      <c r="L10" s="253" t="s">
        <v>8480</v>
      </c>
      <c r="M10" s="6" t="s">
        <v>8791</v>
      </c>
      <c r="N10" s="253" t="s">
        <v>8792</v>
      </c>
      <c r="O10" s="30" t="s">
        <v>8376</v>
      </c>
      <c r="P10" s="30" t="s">
        <v>809</v>
      </c>
      <c r="Q10" s="30" t="s">
        <v>6044</v>
      </c>
      <c r="R10" s="30" t="s">
        <v>809</v>
      </c>
      <c r="S10" s="30" t="s">
        <v>809</v>
      </c>
      <c r="T10" s="30" t="s">
        <v>809</v>
      </c>
      <c r="U10" s="30" t="s">
        <v>8793</v>
      </c>
      <c r="V10" s="6" t="s">
        <v>8795</v>
      </c>
      <c r="W10" s="20" t="s">
        <v>8796</v>
      </c>
      <c r="X10" s="32" t="n">
        <f aca="false">IF($O10="Active",SUMPRODUCT(($AH$5:$AH$73=$AH10)*1),0)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5326</v>
      </c>
      <c r="B11" s="6" t="s">
        <v>8797</v>
      </c>
      <c r="C11" s="255" t="n">
        <v>6</v>
      </c>
      <c r="D11" s="253"/>
      <c r="E11" s="253"/>
      <c r="F11" s="253" t="s">
        <v>163</v>
      </c>
      <c r="G11" s="253" t="s">
        <v>8798</v>
      </c>
      <c r="H11" s="30" t="s">
        <v>8799</v>
      </c>
      <c r="I11" s="30" t="s">
        <v>8508</v>
      </c>
      <c r="J11" s="6" t="s">
        <v>8800</v>
      </c>
      <c r="K11" s="253" t="n">
        <v>2</v>
      </c>
      <c r="L11" s="253" t="s">
        <v>8373</v>
      </c>
      <c r="M11" s="20" t="s">
        <v>8801</v>
      </c>
      <c r="N11" s="253" t="s">
        <v>8386</v>
      </c>
      <c r="O11" s="30" t="s">
        <v>8376</v>
      </c>
      <c r="P11" s="30" t="s">
        <v>809</v>
      </c>
      <c r="Q11" s="30" t="s">
        <v>6056</v>
      </c>
      <c r="R11" s="30" t="s">
        <v>809</v>
      </c>
      <c r="S11" s="30" t="s">
        <v>809</v>
      </c>
      <c r="T11" s="30" t="s">
        <v>809</v>
      </c>
      <c r="U11" s="30" t="s">
        <v>8802</v>
      </c>
      <c r="V11" s="6" t="s">
        <v>8803</v>
      </c>
      <c r="W11" s="6" t="s">
        <v>8804</v>
      </c>
      <c r="X11" s="32" t="n">
        <f aca="false">IF($O11="Active",SUMPRODUCT(($AH$5:$AH$73=$AH11)*1),0)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5332</v>
      </c>
      <c r="B12" s="6" t="s">
        <v>8805</v>
      </c>
      <c r="C12" s="255" t="n">
        <v>4</v>
      </c>
      <c r="D12" s="253"/>
      <c r="E12" s="253"/>
      <c r="F12" s="253" t="s">
        <v>163</v>
      </c>
      <c r="G12" s="253" t="s">
        <v>8798</v>
      </c>
      <c r="H12" s="30" t="s">
        <v>8806</v>
      </c>
      <c r="I12" s="30" t="s">
        <v>8508</v>
      </c>
      <c r="J12" s="6" t="s">
        <v>8800</v>
      </c>
      <c r="K12" s="253" t="n">
        <v>2</v>
      </c>
      <c r="L12" s="253" t="s">
        <v>8373</v>
      </c>
      <c r="M12" s="20" t="s">
        <v>8801</v>
      </c>
      <c r="N12" s="253" t="s">
        <v>8386</v>
      </c>
      <c r="O12" s="30" t="s">
        <v>8376</v>
      </c>
      <c r="P12" s="30" t="s">
        <v>809</v>
      </c>
      <c r="Q12" s="30" t="s">
        <v>6056</v>
      </c>
      <c r="R12" s="30" t="s">
        <v>809</v>
      </c>
      <c r="S12" s="30" t="s">
        <v>809</v>
      </c>
      <c r="T12" s="30" t="s">
        <v>809</v>
      </c>
      <c r="U12" s="30" t="s">
        <v>8802</v>
      </c>
      <c r="V12" s="6" t="s">
        <v>8807</v>
      </c>
      <c r="W12" s="6" t="s">
        <v>809</v>
      </c>
      <c r="X12" s="32" t="n">
        <f aca="false">IF($O12="Active",SUMPRODUCT(($AH$5:$AH$73=$AH12)*1),0)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8808</v>
      </c>
      <c r="B13" s="6" t="s">
        <v>8809</v>
      </c>
      <c r="C13" s="255" t="n">
        <v>5</v>
      </c>
      <c r="D13" s="253"/>
      <c r="E13" s="253"/>
      <c r="F13" s="253" t="s">
        <v>163</v>
      </c>
      <c r="G13" s="253" t="s">
        <v>8798</v>
      </c>
      <c r="H13" s="30" t="s">
        <v>8810</v>
      </c>
      <c r="I13" s="30" t="s">
        <v>8508</v>
      </c>
      <c r="J13" s="6" t="s">
        <v>8800</v>
      </c>
      <c r="K13" s="253" t="n">
        <v>2</v>
      </c>
      <c r="L13" s="253" t="s">
        <v>8373</v>
      </c>
      <c r="M13" s="20" t="s">
        <v>8801</v>
      </c>
      <c r="N13" s="253" t="s">
        <v>8386</v>
      </c>
      <c r="O13" s="30" t="s">
        <v>8376</v>
      </c>
      <c r="P13" s="30" t="s">
        <v>809</v>
      </c>
      <c r="Q13" s="30" t="s">
        <v>6056</v>
      </c>
      <c r="R13" s="30" t="s">
        <v>809</v>
      </c>
      <c r="S13" s="30" t="s">
        <v>809</v>
      </c>
      <c r="T13" s="30" t="s">
        <v>809</v>
      </c>
      <c r="U13" s="30" t="s">
        <v>8802</v>
      </c>
      <c r="V13" s="6" t="s">
        <v>809</v>
      </c>
      <c r="W13" s="6" t="s">
        <v>809</v>
      </c>
      <c r="X13" s="32" t="n">
        <f aca="false">IF($O13="Active",SUMPRODUCT(($AH$5:$AH$73=$AH13)*1),0)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3858</v>
      </c>
      <c r="B14" s="20" t="s">
        <v>8811</v>
      </c>
      <c r="C14" s="253"/>
      <c r="D14" s="255" t="n">
        <v>50</v>
      </c>
      <c r="E14" s="255" t="n">
        <v>60</v>
      </c>
      <c r="F14" s="30" t="s">
        <v>3844</v>
      </c>
      <c r="G14" s="30" t="s">
        <v>8812</v>
      </c>
      <c r="H14" s="30" t="s">
        <v>809</v>
      </c>
      <c r="I14" s="30" t="s">
        <v>8813</v>
      </c>
      <c r="J14" s="6" t="s">
        <v>8814</v>
      </c>
      <c r="K14" s="253" t="n">
        <v>3</v>
      </c>
      <c r="L14" s="253" t="s">
        <v>8373</v>
      </c>
      <c r="M14" s="6" t="s">
        <v>8815</v>
      </c>
      <c r="N14" s="253" t="s">
        <v>8386</v>
      </c>
      <c r="O14" s="30" t="s">
        <v>8376</v>
      </c>
      <c r="P14" s="30" t="s">
        <v>809</v>
      </c>
      <c r="Q14" s="30" t="s">
        <v>8816</v>
      </c>
      <c r="R14" s="30" t="s">
        <v>809</v>
      </c>
      <c r="S14" s="30" t="s">
        <v>809</v>
      </c>
      <c r="T14" s="30" t="s">
        <v>809</v>
      </c>
      <c r="U14" s="30" t="s">
        <v>8817</v>
      </c>
      <c r="V14" s="6" t="s">
        <v>8818</v>
      </c>
      <c r="W14" s="6" t="s">
        <v>809</v>
      </c>
      <c r="X14" s="32" t="n">
        <f aca="false">IF($O14="Active",SUMPRODUCT(($AH$5:$AH$73=$AH14)*1),0)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3866</v>
      </c>
      <c r="B15" s="20" t="s">
        <v>8819</v>
      </c>
      <c r="C15" s="255" t="n">
        <v>35</v>
      </c>
      <c r="D15" s="253"/>
      <c r="E15" s="253"/>
      <c r="F15" s="30" t="s">
        <v>3844</v>
      </c>
      <c r="G15" s="30" t="s">
        <v>8812</v>
      </c>
      <c r="H15" s="30" t="s">
        <v>809</v>
      </c>
      <c r="I15" s="30" t="s">
        <v>8813</v>
      </c>
      <c r="J15" s="6" t="s">
        <v>8814</v>
      </c>
      <c r="K15" s="253" t="n">
        <v>3</v>
      </c>
      <c r="L15" s="253" t="s">
        <v>8373</v>
      </c>
      <c r="M15" s="6" t="s">
        <v>8815</v>
      </c>
      <c r="N15" s="253" t="s">
        <v>8386</v>
      </c>
      <c r="O15" s="30" t="s">
        <v>8376</v>
      </c>
      <c r="P15" s="30" t="s">
        <v>809</v>
      </c>
      <c r="Q15" s="30" t="s">
        <v>8816</v>
      </c>
      <c r="R15" s="30" t="s">
        <v>809</v>
      </c>
      <c r="S15" s="30" t="s">
        <v>809</v>
      </c>
      <c r="T15" s="30" t="s">
        <v>809</v>
      </c>
      <c r="U15" s="30" t="s">
        <v>8817</v>
      </c>
      <c r="V15" s="6" t="s">
        <v>8820</v>
      </c>
      <c r="W15" s="6" t="s">
        <v>809</v>
      </c>
      <c r="X15" s="32" t="n">
        <f aca="false">IF($O15="Active",SUMPRODUCT(($AH$5:$AH$73=$AH15)*1),0)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3901</v>
      </c>
      <c r="B16" s="6" t="s">
        <v>8821</v>
      </c>
      <c r="C16" s="255" t="n">
        <v>2.21</v>
      </c>
      <c r="D16" s="253"/>
      <c r="E16" s="253"/>
      <c r="F16" s="30" t="s">
        <v>1049</v>
      </c>
      <c r="G16" s="253" t="s">
        <v>8822</v>
      </c>
      <c r="H16" s="30" t="s">
        <v>202</v>
      </c>
      <c r="I16" s="30" t="s">
        <v>8478</v>
      </c>
      <c r="J16" s="6" t="s">
        <v>8823</v>
      </c>
      <c r="K16" s="253" t="n">
        <v>2</v>
      </c>
      <c r="L16" s="253" t="s">
        <v>8373</v>
      </c>
      <c r="M16" s="6" t="s">
        <v>8824</v>
      </c>
      <c r="N16" s="253" t="s">
        <v>8825</v>
      </c>
      <c r="O16" s="30" t="s">
        <v>8376</v>
      </c>
      <c r="P16" s="30" t="s">
        <v>809</v>
      </c>
      <c r="Q16" s="30" t="s">
        <v>8826</v>
      </c>
      <c r="R16" s="30" t="s">
        <v>809</v>
      </c>
      <c r="S16" s="30" t="s">
        <v>809</v>
      </c>
      <c r="T16" s="30" t="s">
        <v>809</v>
      </c>
      <c r="U16" s="30" t="s">
        <v>8827</v>
      </c>
      <c r="V16" s="6" t="s">
        <v>8828</v>
      </c>
      <c r="W16" s="20" t="s">
        <v>8829</v>
      </c>
      <c r="X16" s="32" t="n">
        <f aca="false">IF($O16="Active",SUMPRODUCT(($AH$5:$AH$73=$AH16)*1),0)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3906</v>
      </c>
      <c r="B17" s="6" t="s">
        <v>8830</v>
      </c>
      <c r="C17" s="255" t="n">
        <v>2.65</v>
      </c>
      <c r="D17" s="253"/>
      <c r="E17" s="253"/>
      <c r="F17" s="30" t="s">
        <v>1049</v>
      </c>
      <c r="G17" s="253" t="s">
        <v>8822</v>
      </c>
      <c r="H17" s="30" t="s">
        <v>203</v>
      </c>
      <c r="I17" s="30" t="s">
        <v>8478</v>
      </c>
      <c r="J17" s="6" t="s">
        <v>8823</v>
      </c>
      <c r="K17" s="253" t="n">
        <v>2</v>
      </c>
      <c r="L17" s="253" t="s">
        <v>8373</v>
      </c>
      <c r="M17" s="6" t="s">
        <v>8824</v>
      </c>
      <c r="N17" s="253" t="s">
        <v>8825</v>
      </c>
      <c r="O17" s="30" t="s">
        <v>8376</v>
      </c>
      <c r="P17" s="30" t="s">
        <v>809</v>
      </c>
      <c r="Q17" s="30" t="s">
        <v>8826</v>
      </c>
      <c r="R17" s="30" t="s">
        <v>809</v>
      </c>
      <c r="S17" s="30" t="s">
        <v>809</v>
      </c>
      <c r="T17" s="30" t="s">
        <v>809</v>
      </c>
      <c r="U17" s="30" t="s">
        <v>8827</v>
      </c>
      <c r="V17" s="6" t="s">
        <v>8831</v>
      </c>
      <c r="W17" s="20" t="s">
        <v>8829</v>
      </c>
      <c r="X17" s="32" t="n">
        <f aca="false">IF($O17="Active",SUMPRODUCT(($AH$5:$AH$73=$AH17)*1),0)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4313</v>
      </c>
      <c r="B18" s="245" t="s">
        <v>8832</v>
      </c>
      <c r="C18" s="255" t="n">
        <v>29</v>
      </c>
      <c r="D18" s="207"/>
      <c r="E18" s="207"/>
      <c r="F18" s="30" t="s">
        <v>4309</v>
      </c>
      <c r="G18" s="207" t="s">
        <v>8833</v>
      </c>
      <c r="H18" s="30" t="s">
        <v>8834</v>
      </c>
      <c r="I18" s="30" t="s">
        <v>8835</v>
      </c>
      <c r="J18" s="6" t="s">
        <v>8836</v>
      </c>
      <c r="K18" s="207" t="n">
        <v>1</v>
      </c>
      <c r="L18" s="207" t="s">
        <v>8373</v>
      </c>
      <c r="M18" s="245" t="s">
        <v>8837</v>
      </c>
      <c r="N18" s="207" t="s">
        <v>8375</v>
      </c>
      <c r="O18" s="30" t="s">
        <v>8376</v>
      </c>
      <c r="P18" s="30" t="s">
        <v>809</v>
      </c>
      <c r="Q18" s="30" t="s">
        <v>8838</v>
      </c>
      <c r="R18" s="30" t="s">
        <v>809</v>
      </c>
      <c r="S18" s="30" t="s">
        <v>809</v>
      </c>
      <c r="T18" s="30" t="s">
        <v>809</v>
      </c>
      <c r="U18" s="30" t="s">
        <v>8723</v>
      </c>
      <c r="V18" s="6" t="s">
        <v>8839</v>
      </c>
      <c r="W18" s="6" t="s">
        <v>8840</v>
      </c>
      <c r="X18" s="32" t="n">
        <f aca="false">IF($O18="Active",SUMPRODUCT(($AH$5:$AH$73=$AH18)*1),0)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6801</v>
      </c>
      <c r="B19" s="6" t="s">
        <v>8841</v>
      </c>
      <c r="C19" s="255" t="n">
        <v>3</v>
      </c>
      <c r="D19" s="207"/>
      <c r="E19" s="207"/>
      <c r="F19" s="207" t="s">
        <v>163</v>
      </c>
      <c r="G19" s="207" t="s">
        <v>8842</v>
      </c>
      <c r="H19" s="30" t="s">
        <v>8843</v>
      </c>
      <c r="I19" s="30" t="s">
        <v>8844</v>
      </c>
      <c r="J19" s="6" t="s">
        <v>8845</v>
      </c>
      <c r="K19" s="207" t="n">
        <v>1</v>
      </c>
      <c r="L19" s="207" t="s">
        <v>8373</v>
      </c>
      <c r="M19" s="245" t="s">
        <v>8846</v>
      </c>
      <c r="N19" s="207" t="s">
        <v>8375</v>
      </c>
      <c r="O19" s="30" t="s">
        <v>8376</v>
      </c>
      <c r="P19" s="30" t="s">
        <v>809</v>
      </c>
      <c r="Q19" s="30" t="s">
        <v>8847</v>
      </c>
      <c r="R19" s="30" t="s">
        <v>8848</v>
      </c>
      <c r="S19" s="30" t="s">
        <v>809</v>
      </c>
      <c r="T19" s="30" t="s">
        <v>809</v>
      </c>
      <c r="U19" s="30" t="s">
        <v>8723</v>
      </c>
      <c r="V19" s="6" t="s">
        <v>8849</v>
      </c>
      <c r="W19" s="6" t="s">
        <v>8850</v>
      </c>
      <c r="X19" s="32" t="n">
        <f aca="false">IF($O19="Active",SUMPRODUCT(($AH$5:$AH$73=$AH19)*1),0)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8848</v>
      </c>
      <c r="B20" s="6" t="s">
        <v>8851</v>
      </c>
      <c r="C20" s="255" t="n">
        <v>3</v>
      </c>
      <c r="D20" s="207"/>
      <c r="E20" s="207"/>
      <c r="F20" s="207" t="s">
        <v>163</v>
      </c>
      <c r="G20" s="207" t="s">
        <v>8852</v>
      </c>
      <c r="H20" s="30" t="s">
        <v>8853</v>
      </c>
      <c r="I20" s="30" t="s">
        <v>4626</v>
      </c>
      <c r="J20" s="6" t="s">
        <v>8854</v>
      </c>
      <c r="K20" s="207" t="n">
        <v>1</v>
      </c>
      <c r="L20" s="207" t="s">
        <v>8373</v>
      </c>
      <c r="M20" s="245" t="s">
        <v>8846</v>
      </c>
      <c r="N20" s="207" t="s">
        <v>8375</v>
      </c>
      <c r="O20" s="30" t="s">
        <v>8376</v>
      </c>
      <c r="P20" s="30" t="s">
        <v>809</v>
      </c>
      <c r="Q20" s="30" t="s">
        <v>8855</v>
      </c>
      <c r="R20" s="30" t="s">
        <v>6801</v>
      </c>
      <c r="S20" s="30" t="s">
        <v>809</v>
      </c>
      <c r="T20" s="30" t="s">
        <v>809</v>
      </c>
      <c r="U20" s="30" t="s">
        <v>8723</v>
      </c>
      <c r="V20" s="245" t="s">
        <v>8856</v>
      </c>
      <c r="W20" s="6" t="s">
        <v>8857</v>
      </c>
      <c r="X20" s="32" t="n">
        <f aca="false">IF($O20="Active",SUMPRODUCT(($AH$5:$AH$73=$AH20)*1),0)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6813</v>
      </c>
      <c r="B21" s="6" t="s">
        <v>8858</v>
      </c>
      <c r="C21" s="255" t="n">
        <v>0.038</v>
      </c>
      <c r="D21" s="207"/>
      <c r="E21" s="207"/>
      <c r="F21" s="30" t="s">
        <v>8859</v>
      </c>
      <c r="G21" s="207" t="s">
        <v>8860</v>
      </c>
      <c r="H21" s="30" t="s">
        <v>8861</v>
      </c>
      <c r="I21" s="30" t="s">
        <v>4626</v>
      </c>
      <c r="J21" s="6" t="s">
        <v>8862</v>
      </c>
      <c r="K21" s="207" t="n">
        <v>2</v>
      </c>
      <c r="L21" s="207" t="s">
        <v>8373</v>
      </c>
      <c r="M21" s="245" t="s">
        <v>8863</v>
      </c>
      <c r="N21" s="207" t="s">
        <v>8864</v>
      </c>
      <c r="O21" s="30" t="s">
        <v>8376</v>
      </c>
      <c r="P21" s="30" t="s">
        <v>809</v>
      </c>
      <c r="Q21" s="30" t="s">
        <v>8865</v>
      </c>
      <c r="R21" s="30" t="s">
        <v>809</v>
      </c>
      <c r="S21" s="30" t="s">
        <v>809</v>
      </c>
      <c r="T21" s="30" t="s">
        <v>809</v>
      </c>
      <c r="U21" s="30" t="s">
        <v>8723</v>
      </c>
      <c r="V21" s="245" t="s">
        <v>8866</v>
      </c>
      <c r="W21" s="6" t="s">
        <v>8867</v>
      </c>
      <c r="X21" s="32" t="n">
        <f aca="false">IF($O21="Active",SUMPRODUCT(($AH$5:$AH$73=$AH21)*1),0)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  <row r="22" customFormat="false" ht="57.75" hidden="false" customHeight="true" outlineLevel="0" collapsed="false">
      <c r="A22" s="30" t="s">
        <v>5246</v>
      </c>
      <c r="B22" s="6" t="s">
        <v>8868</v>
      </c>
      <c r="C22" s="255" t="n">
        <v>1.09</v>
      </c>
      <c r="D22" s="207"/>
      <c r="E22" s="207"/>
      <c r="F22" s="30" t="s">
        <v>131</v>
      </c>
      <c r="G22" s="207" t="s">
        <v>8869</v>
      </c>
      <c r="H22" s="30" t="s">
        <v>8870</v>
      </c>
      <c r="I22" s="30" t="s">
        <v>8215</v>
      </c>
      <c r="J22" s="6" t="s">
        <v>8871</v>
      </c>
      <c r="K22" s="207" t="n">
        <v>1</v>
      </c>
      <c r="L22" s="207" t="s">
        <v>8373</v>
      </c>
      <c r="M22" s="6" t="s">
        <v>8872</v>
      </c>
      <c r="N22" s="207" t="s">
        <v>8754</v>
      </c>
      <c r="O22" s="30" t="s">
        <v>8376</v>
      </c>
      <c r="P22" s="30" t="s">
        <v>809</v>
      </c>
      <c r="Q22" s="30" t="s">
        <v>8873</v>
      </c>
      <c r="R22" s="30" t="s">
        <v>8874</v>
      </c>
      <c r="S22" s="30" t="s">
        <v>809</v>
      </c>
      <c r="T22" s="30" t="s">
        <v>809</v>
      </c>
      <c r="U22" s="30" t="s">
        <v>8756</v>
      </c>
      <c r="V22" s="6" t="s">
        <v>8875</v>
      </c>
      <c r="W22" s="6" t="s">
        <v>8876</v>
      </c>
      <c r="X22" s="32" t="n">
        <f aca="false">IF($O22="Active",SUMPRODUCT(($AH$5:$AH$73=$AH22)*1),0)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Google 資料中心全機隊年均 PUE（2025 全年）¦全機隊年均（含非 AI 機房），營運商自報；2026 Q2 TTM 亦為 1.09¦Google 資料中心（超大規模全機隊）</v>
      </c>
    </row>
    <row r="23" customFormat="false" ht="74.25" hidden="false" customHeight="true" outlineLevel="0" collapsed="false">
      <c r="A23" s="30" t="s">
        <v>8874</v>
      </c>
      <c r="B23" s="6" t="s">
        <v>8877</v>
      </c>
      <c r="C23" s="255" t="n">
        <v>1.54</v>
      </c>
      <c r="D23" s="207"/>
      <c r="E23" s="207"/>
      <c r="F23" s="30" t="s">
        <v>131</v>
      </c>
      <c r="G23" s="207" t="s">
        <v>8878</v>
      </c>
      <c r="H23" s="207" t="s">
        <v>8879</v>
      </c>
      <c r="I23" s="30" t="s">
        <v>8215</v>
      </c>
      <c r="J23" s="6" t="s">
        <v>8880</v>
      </c>
      <c r="K23" s="207" t="n">
        <v>2</v>
      </c>
      <c r="L23" s="207" t="s">
        <v>8480</v>
      </c>
      <c r="M23" s="6" t="s">
        <v>8881</v>
      </c>
      <c r="N23" s="207" t="s">
        <v>8882</v>
      </c>
      <c r="O23" s="30" t="s">
        <v>8376</v>
      </c>
      <c r="P23" s="30" t="s">
        <v>809</v>
      </c>
      <c r="Q23" s="30" t="s">
        <v>8873</v>
      </c>
      <c r="R23" s="30" t="s">
        <v>5246</v>
      </c>
      <c r="S23" s="30" t="s">
        <v>809</v>
      </c>
      <c r="T23" s="30" t="s">
        <v>809</v>
      </c>
      <c r="U23" s="30" t="s">
        <v>8756</v>
      </c>
      <c r="V23" s="6" t="s">
        <v>8883</v>
      </c>
      <c r="W23" s="6" t="s">
        <v>8884</v>
      </c>
      <c r="X23" s="32" t="n">
        <f aca="false">IF($O23="Active",SUMPRODUCT(($AH$5:$AH$73=$AH23)*1),0)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Uptime Institute 全球資料中心平均 PUE（2025 年度調查）¦年度調查，營運商自填；超大規模 1.10–1.15、colo／企業 1.58–1.80（mgrid 轉述，原文標『待原文確認』）¦全球資料中心（調查樣本）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8885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29.25" hidden="false" customHeight="true" outlineLevel="0" collapsed="false">
      <c r="A5" s="30" t="s">
        <v>5625</v>
      </c>
      <c r="B5" s="6" t="s">
        <v>8886</v>
      </c>
      <c r="C5" s="255" t="n">
        <v>1600</v>
      </c>
      <c r="D5" s="253"/>
      <c r="E5" s="253"/>
      <c r="F5" s="30" t="s">
        <v>311</v>
      </c>
      <c r="G5" s="30" t="s">
        <v>809</v>
      </c>
      <c r="H5" s="30" t="s">
        <v>8887</v>
      </c>
      <c r="I5" s="30" t="s">
        <v>8383</v>
      </c>
      <c r="J5" s="6" t="s">
        <v>8888</v>
      </c>
      <c r="K5" s="253" t="n">
        <v>3</v>
      </c>
      <c r="L5" s="253" t="s">
        <v>8373</v>
      </c>
      <c r="M5" s="6" t="s">
        <v>8889</v>
      </c>
      <c r="N5" s="253" t="s">
        <v>8386</v>
      </c>
      <c r="O5" s="30" t="s">
        <v>8376</v>
      </c>
      <c r="P5" s="30" t="s">
        <v>809</v>
      </c>
      <c r="Q5" s="30" t="s">
        <v>8890</v>
      </c>
      <c r="R5" s="30" t="s">
        <v>809</v>
      </c>
      <c r="S5" s="30" t="s">
        <v>809</v>
      </c>
      <c r="T5" s="30" t="s">
        <v>809</v>
      </c>
      <c r="U5" s="30" t="s">
        <v>4867</v>
      </c>
      <c r="V5" s="6" t="s">
        <v>8891</v>
      </c>
      <c r="W5" s="20" t="s">
        <v>8892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5629</v>
      </c>
      <c r="B6" s="6" t="s">
        <v>8893</v>
      </c>
      <c r="C6" s="255" t="n">
        <v>49</v>
      </c>
      <c r="D6" s="253"/>
      <c r="E6" s="253"/>
      <c r="F6" s="30" t="s">
        <v>311</v>
      </c>
      <c r="G6" s="30" t="s">
        <v>809</v>
      </c>
      <c r="H6" s="30" t="s">
        <v>8887</v>
      </c>
      <c r="I6" s="30" t="s">
        <v>8383</v>
      </c>
      <c r="J6" s="6" t="s">
        <v>8888</v>
      </c>
      <c r="K6" s="253" t="n">
        <v>1</v>
      </c>
      <c r="L6" s="253" t="s">
        <v>8373</v>
      </c>
      <c r="M6" s="6" t="s">
        <v>8889</v>
      </c>
      <c r="N6" s="253" t="s">
        <v>8375</v>
      </c>
      <c r="O6" s="30" t="s">
        <v>8376</v>
      </c>
      <c r="P6" s="30" t="s">
        <v>809</v>
      </c>
      <c r="Q6" s="30" t="s">
        <v>8894</v>
      </c>
      <c r="R6" s="30" t="s">
        <v>809</v>
      </c>
      <c r="S6" s="30" t="s">
        <v>7466</v>
      </c>
      <c r="T6" s="30" t="s">
        <v>809</v>
      </c>
      <c r="U6" s="30" t="s">
        <v>4867</v>
      </c>
      <c r="V6" s="6" t="s">
        <v>8895</v>
      </c>
      <c r="W6" s="6" t="s">
        <v>8896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5633</v>
      </c>
      <c r="B7" s="6" t="s">
        <v>8897</v>
      </c>
      <c r="C7" s="255" t="n">
        <v>61</v>
      </c>
      <c r="D7" s="253"/>
      <c r="E7" s="253"/>
      <c r="F7" s="253" t="s">
        <v>316</v>
      </c>
      <c r="G7" s="30" t="s">
        <v>809</v>
      </c>
      <c r="H7" s="30" t="s">
        <v>8887</v>
      </c>
      <c r="I7" s="30" t="s">
        <v>8383</v>
      </c>
      <c r="J7" s="6" t="s">
        <v>8888</v>
      </c>
      <c r="K7" s="253" t="n">
        <v>3</v>
      </c>
      <c r="L7" s="253" t="s">
        <v>8373</v>
      </c>
      <c r="M7" s="6" t="s">
        <v>8889</v>
      </c>
      <c r="N7" s="253" t="s">
        <v>8386</v>
      </c>
      <c r="O7" s="30" t="s">
        <v>8376</v>
      </c>
      <c r="P7" s="30" t="s">
        <v>809</v>
      </c>
      <c r="Q7" s="30" t="s">
        <v>8890</v>
      </c>
      <c r="R7" s="30" t="s">
        <v>809</v>
      </c>
      <c r="S7" s="30" t="s">
        <v>809</v>
      </c>
      <c r="T7" s="30" t="s">
        <v>809</v>
      </c>
      <c r="U7" s="30" t="s">
        <v>4867</v>
      </c>
      <c r="V7" s="6" t="s">
        <v>8898</v>
      </c>
      <c r="W7" s="6" t="s">
        <v>809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5662</v>
      </c>
      <c r="B8" s="6" t="s">
        <v>8899</v>
      </c>
      <c r="C8" s="255" t="n">
        <v>7168</v>
      </c>
      <c r="D8" s="253"/>
      <c r="E8" s="253"/>
      <c r="F8" s="253" t="s">
        <v>8900</v>
      </c>
      <c r="G8" s="30" t="s">
        <v>809</v>
      </c>
      <c r="H8" s="30" t="s">
        <v>8887</v>
      </c>
      <c r="I8" s="30" t="s">
        <v>8383</v>
      </c>
      <c r="J8" s="6" t="s">
        <v>8888</v>
      </c>
      <c r="K8" s="253" t="n">
        <v>3</v>
      </c>
      <c r="L8" s="253" t="s">
        <v>8373</v>
      </c>
      <c r="M8" s="6" t="s">
        <v>8889</v>
      </c>
      <c r="N8" s="253" t="s">
        <v>8386</v>
      </c>
      <c r="O8" s="30" t="s">
        <v>8376</v>
      </c>
      <c r="P8" s="30" t="s">
        <v>809</v>
      </c>
      <c r="Q8" s="30" t="s">
        <v>8890</v>
      </c>
      <c r="R8" s="30" t="s">
        <v>809</v>
      </c>
      <c r="S8" s="30" t="s">
        <v>809</v>
      </c>
      <c r="T8" s="30" t="s">
        <v>809</v>
      </c>
      <c r="U8" s="30" t="s">
        <v>4867</v>
      </c>
      <c r="V8" s="6" t="s">
        <v>8901</v>
      </c>
      <c r="W8" s="6" t="s">
        <v>809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5623</v>
      </c>
      <c r="B9" s="6" t="s">
        <v>8902</v>
      </c>
      <c r="C9" s="255" t="n">
        <v>284</v>
      </c>
      <c r="D9" s="253"/>
      <c r="E9" s="253"/>
      <c r="F9" s="30" t="s">
        <v>311</v>
      </c>
      <c r="G9" s="30" t="s">
        <v>809</v>
      </c>
      <c r="H9" s="30" t="s">
        <v>8903</v>
      </c>
      <c r="I9" s="30" t="s">
        <v>8383</v>
      </c>
      <c r="J9" s="6" t="s">
        <v>8888</v>
      </c>
      <c r="K9" s="253" t="n">
        <v>3</v>
      </c>
      <c r="L9" s="253" t="s">
        <v>8373</v>
      </c>
      <c r="M9" s="6" t="s">
        <v>8889</v>
      </c>
      <c r="N9" s="253" t="s">
        <v>8386</v>
      </c>
      <c r="O9" s="30" t="s">
        <v>8376</v>
      </c>
      <c r="P9" s="30" t="s">
        <v>809</v>
      </c>
      <c r="Q9" s="30" t="s">
        <v>8890</v>
      </c>
      <c r="R9" s="30" t="s">
        <v>809</v>
      </c>
      <c r="S9" s="30" t="s">
        <v>809</v>
      </c>
      <c r="T9" s="30" t="s">
        <v>809</v>
      </c>
      <c r="U9" s="30" t="s">
        <v>4867</v>
      </c>
      <c r="V9" s="6" t="s">
        <v>8904</v>
      </c>
      <c r="W9" s="6" t="s">
        <v>809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5627</v>
      </c>
      <c r="B10" s="6" t="s">
        <v>8905</v>
      </c>
      <c r="C10" s="255" t="n">
        <v>13</v>
      </c>
      <c r="D10" s="253"/>
      <c r="E10" s="253"/>
      <c r="F10" s="30" t="s">
        <v>311</v>
      </c>
      <c r="G10" s="30" t="s">
        <v>809</v>
      </c>
      <c r="H10" s="30" t="s">
        <v>8903</v>
      </c>
      <c r="I10" s="30" t="s">
        <v>8383</v>
      </c>
      <c r="J10" s="6" t="s">
        <v>8888</v>
      </c>
      <c r="K10" s="253" t="n">
        <v>1</v>
      </c>
      <c r="L10" s="253" t="s">
        <v>8373</v>
      </c>
      <c r="M10" s="6" t="s">
        <v>8889</v>
      </c>
      <c r="N10" s="253" t="s">
        <v>8375</v>
      </c>
      <c r="O10" s="30" t="s">
        <v>8376</v>
      </c>
      <c r="P10" s="30" t="s">
        <v>809</v>
      </c>
      <c r="Q10" s="30" t="s">
        <v>8906</v>
      </c>
      <c r="R10" s="30" t="s">
        <v>809</v>
      </c>
      <c r="S10" s="30" t="s">
        <v>7466</v>
      </c>
      <c r="T10" s="30" t="s">
        <v>809</v>
      </c>
      <c r="U10" s="30" t="s">
        <v>4867</v>
      </c>
      <c r="V10" s="6" t="s">
        <v>8907</v>
      </c>
      <c r="W10" s="6" t="s">
        <v>8908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5631</v>
      </c>
      <c r="B11" s="6" t="s">
        <v>8909</v>
      </c>
      <c r="C11" s="255" t="n">
        <v>43</v>
      </c>
      <c r="D11" s="253"/>
      <c r="E11" s="253"/>
      <c r="F11" s="253" t="s">
        <v>316</v>
      </c>
      <c r="G11" s="253" t="s">
        <v>8386</v>
      </c>
      <c r="H11" s="30" t="s">
        <v>8910</v>
      </c>
      <c r="I11" s="30" t="s">
        <v>809</v>
      </c>
      <c r="J11" s="6" t="s">
        <v>8911</v>
      </c>
      <c r="K11" s="253" t="n">
        <v>1</v>
      </c>
      <c r="L11" s="253" t="s">
        <v>8373</v>
      </c>
      <c r="M11" s="6" t="s">
        <v>8912</v>
      </c>
      <c r="N11" s="253" t="s">
        <v>8375</v>
      </c>
      <c r="O11" s="30" t="s">
        <v>8376</v>
      </c>
      <c r="P11" s="30" t="s">
        <v>809</v>
      </c>
      <c r="Q11" s="30" t="s">
        <v>8913</v>
      </c>
      <c r="R11" s="30" t="s">
        <v>809</v>
      </c>
      <c r="S11" s="30" t="s">
        <v>7466</v>
      </c>
      <c r="T11" s="30" t="s">
        <v>809</v>
      </c>
      <c r="U11" s="30" t="s">
        <v>8914</v>
      </c>
      <c r="V11" s="6" t="s">
        <v>8915</v>
      </c>
      <c r="W11" s="6" t="s">
        <v>8916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5664</v>
      </c>
      <c r="B12" s="6" t="s">
        <v>8917</v>
      </c>
      <c r="C12" s="255" t="n">
        <v>128</v>
      </c>
      <c r="D12" s="253"/>
      <c r="E12" s="253"/>
      <c r="F12" s="253" t="s">
        <v>370</v>
      </c>
      <c r="G12" s="30" t="s">
        <v>809</v>
      </c>
      <c r="H12" s="30" t="s">
        <v>8918</v>
      </c>
      <c r="I12" s="30" t="s">
        <v>809</v>
      </c>
      <c r="J12" s="6" t="s">
        <v>8911</v>
      </c>
      <c r="K12" s="253" t="n">
        <v>3</v>
      </c>
      <c r="L12" s="253" t="s">
        <v>8373</v>
      </c>
      <c r="M12" s="6" t="s">
        <v>8912</v>
      </c>
      <c r="N12" s="253" t="s">
        <v>8511</v>
      </c>
      <c r="O12" s="30" t="s">
        <v>8376</v>
      </c>
      <c r="P12" s="30" t="s">
        <v>809</v>
      </c>
      <c r="Q12" s="30" t="s">
        <v>8919</v>
      </c>
      <c r="R12" s="30" t="s">
        <v>809</v>
      </c>
      <c r="S12" s="30" t="s">
        <v>809</v>
      </c>
      <c r="T12" s="30" t="s">
        <v>809</v>
      </c>
      <c r="U12" s="30" t="s">
        <v>8914</v>
      </c>
      <c r="V12" s="6" t="s">
        <v>8920</v>
      </c>
      <c r="W12" s="6" t="s">
        <v>8921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5635</v>
      </c>
      <c r="B13" s="6" t="s">
        <v>8922</v>
      </c>
      <c r="C13" s="255" t="n">
        <v>512</v>
      </c>
      <c r="D13" s="253"/>
      <c r="E13" s="253"/>
      <c r="F13" s="253" t="s">
        <v>8900</v>
      </c>
      <c r="G13" s="253" t="s">
        <v>8923</v>
      </c>
      <c r="H13" s="30" t="s">
        <v>8924</v>
      </c>
      <c r="I13" s="30" t="s">
        <v>809</v>
      </c>
      <c r="J13" s="6" t="s">
        <v>8911</v>
      </c>
      <c r="K13" s="253" t="n">
        <v>1</v>
      </c>
      <c r="L13" s="253" t="s">
        <v>8373</v>
      </c>
      <c r="M13" s="6" t="s">
        <v>8912</v>
      </c>
      <c r="N13" s="253" t="s">
        <v>8375</v>
      </c>
      <c r="O13" s="30" t="s">
        <v>8376</v>
      </c>
      <c r="P13" s="30" t="s">
        <v>809</v>
      </c>
      <c r="Q13" s="30" t="s">
        <v>8925</v>
      </c>
      <c r="R13" s="30" t="s">
        <v>809</v>
      </c>
      <c r="S13" s="30" t="s">
        <v>7466</v>
      </c>
      <c r="T13" s="30" t="s">
        <v>809</v>
      </c>
      <c r="U13" s="30" t="s">
        <v>8914</v>
      </c>
      <c r="V13" s="6" t="s">
        <v>8926</v>
      </c>
      <c r="W13" s="6" t="s">
        <v>8927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5638</v>
      </c>
      <c r="B14" s="6" t="s">
        <v>8928</v>
      </c>
      <c r="C14" s="255" t="n">
        <v>256</v>
      </c>
      <c r="D14" s="253"/>
      <c r="E14" s="253"/>
      <c r="F14" s="253" t="s">
        <v>370</v>
      </c>
      <c r="G14" s="30" t="s">
        <v>809</v>
      </c>
      <c r="H14" s="30" t="s">
        <v>8910</v>
      </c>
      <c r="I14" s="30" t="s">
        <v>809</v>
      </c>
      <c r="J14" s="6" t="s">
        <v>8911</v>
      </c>
      <c r="K14" s="253" t="n">
        <v>1</v>
      </c>
      <c r="L14" s="253" t="s">
        <v>8373</v>
      </c>
      <c r="M14" s="6" t="s">
        <v>8912</v>
      </c>
      <c r="N14" s="253" t="s">
        <v>8375</v>
      </c>
      <c r="O14" s="30" t="s">
        <v>8376</v>
      </c>
      <c r="P14" s="30" t="s">
        <v>809</v>
      </c>
      <c r="Q14" s="30" t="s">
        <v>8929</v>
      </c>
      <c r="R14" s="30" t="s">
        <v>809</v>
      </c>
      <c r="S14" s="30" t="s">
        <v>7466</v>
      </c>
      <c r="T14" s="30" t="s">
        <v>809</v>
      </c>
      <c r="U14" s="30" t="s">
        <v>8914</v>
      </c>
      <c r="V14" s="6" t="s">
        <v>8930</v>
      </c>
      <c r="W14" s="6" t="s">
        <v>8931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5640</v>
      </c>
      <c r="B15" s="6" t="s">
        <v>8932</v>
      </c>
      <c r="C15" s="255" t="n">
        <v>384</v>
      </c>
      <c r="D15" s="253"/>
      <c r="E15" s="253"/>
      <c r="F15" s="253" t="s">
        <v>370</v>
      </c>
      <c r="G15" s="30" t="s">
        <v>809</v>
      </c>
      <c r="H15" s="30" t="s">
        <v>8918</v>
      </c>
      <c r="I15" s="30" t="s">
        <v>809</v>
      </c>
      <c r="J15" s="6" t="s">
        <v>8911</v>
      </c>
      <c r="K15" s="253" t="n">
        <v>1</v>
      </c>
      <c r="L15" s="253" t="s">
        <v>8373</v>
      </c>
      <c r="M15" s="6" t="s">
        <v>8912</v>
      </c>
      <c r="N15" s="253" t="s">
        <v>8375</v>
      </c>
      <c r="O15" s="30" t="s">
        <v>8376</v>
      </c>
      <c r="P15" s="30" t="s">
        <v>809</v>
      </c>
      <c r="Q15" s="30" t="s">
        <v>8933</v>
      </c>
      <c r="R15" s="30" t="s">
        <v>809</v>
      </c>
      <c r="S15" s="30" t="s">
        <v>7466</v>
      </c>
      <c r="T15" s="30" t="s">
        <v>809</v>
      </c>
      <c r="U15" s="30" t="s">
        <v>8914</v>
      </c>
      <c r="V15" s="6" t="s">
        <v>8934</v>
      </c>
      <c r="W15" s="6" t="s">
        <v>8935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5643</v>
      </c>
      <c r="B16" s="6" t="s">
        <v>8936</v>
      </c>
      <c r="C16" s="255" t="n">
        <v>6</v>
      </c>
      <c r="D16" s="253"/>
      <c r="E16" s="253"/>
      <c r="F16" s="253" t="s">
        <v>370</v>
      </c>
      <c r="G16" s="30" t="s">
        <v>809</v>
      </c>
      <c r="H16" s="30" t="s">
        <v>8924</v>
      </c>
      <c r="I16" s="30" t="s">
        <v>809</v>
      </c>
      <c r="J16" s="6" t="s">
        <v>8911</v>
      </c>
      <c r="K16" s="253" t="n">
        <v>1</v>
      </c>
      <c r="L16" s="253" t="s">
        <v>8373</v>
      </c>
      <c r="M16" s="6" t="s">
        <v>8912</v>
      </c>
      <c r="N16" s="253" t="s">
        <v>8375</v>
      </c>
      <c r="O16" s="30" t="s">
        <v>8376</v>
      </c>
      <c r="P16" s="30" t="s">
        <v>809</v>
      </c>
      <c r="Q16" s="30" t="s">
        <v>8937</v>
      </c>
      <c r="R16" s="30" t="s">
        <v>809</v>
      </c>
      <c r="S16" s="30" t="s">
        <v>7466</v>
      </c>
      <c r="T16" s="30" t="s">
        <v>809</v>
      </c>
      <c r="U16" s="30" t="s">
        <v>8914</v>
      </c>
      <c r="V16" s="6" t="s">
        <v>8938</v>
      </c>
      <c r="W16" s="6" t="s">
        <v>8939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5646</v>
      </c>
      <c r="B17" s="6" t="s">
        <v>8940</v>
      </c>
      <c r="C17" s="255" t="n">
        <v>1</v>
      </c>
      <c r="D17" s="253"/>
      <c r="E17" s="253"/>
      <c r="F17" s="253" t="s">
        <v>370</v>
      </c>
      <c r="G17" s="30" t="s">
        <v>809</v>
      </c>
      <c r="H17" s="30" t="s">
        <v>8924</v>
      </c>
      <c r="I17" s="30" t="s">
        <v>809</v>
      </c>
      <c r="J17" s="6" t="s">
        <v>8911</v>
      </c>
      <c r="K17" s="253" t="n">
        <v>1</v>
      </c>
      <c r="L17" s="253" t="s">
        <v>8373</v>
      </c>
      <c r="M17" s="6" t="s">
        <v>8912</v>
      </c>
      <c r="N17" s="253" t="s">
        <v>8375</v>
      </c>
      <c r="O17" s="30" t="s">
        <v>8376</v>
      </c>
      <c r="P17" s="30" t="s">
        <v>809</v>
      </c>
      <c r="Q17" s="30" t="s">
        <v>8941</v>
      </c>
      <c r="R17" s="30" t="s">
        <v>809</v>
      </c>
      <c r="S17" s="30" t="s">
        <v>7466</v>
      </c>
      <c r="T17" s="30" t="s">
        <v>809</v>
      </c>
      <c r="U17" s="30" t="s">
        <v>8914</v>
      </c>
      <c r="V17" s="6" t="s">
        <v>8942</v>
      </c>
      <c r="W17" s="6" t="s">
        <v>8943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5649</v>
      </c>
      <c r="B18" s="6" t="s">
        <v>8944</v>
      </c>
      <c r="C18" s="255" t="n">
        <v>129280</v>
      </c>
      <c r="D18" s="253"/>
      <c r="E18" s="253"/>
      <c r="F18" s="30" t="s">
        <v>8945</v>
      </c>
      <c r="G18" s="30" t="s">
        <v>809</v>
      </c>
      <c r="H18" s="30" t="s">
        <v>8924</v>
      </c>
      <c r="I18" s="30" t="s">
        <v>809</v>
      </c>
      <c r="J18" s="6" t="s">
        <v>8911</v>
      </c>
      <c r="K18" s="253" t="n">
        <v>1</v>
      </c>
      <c r="L18" s="253" t="s">
        <v>8373</v>
      </c>
      <c r="M18" s="6" t="s">
        <v>8912</v>
      </c>
      <c r="N18" s="253" t="s">
        <v>8375</v>
      </c>
      <c r="O18" s="30" t="s">
        <v>8376</v>
      </c>
      <c r="P18" s="30" t="s">
        <v>809</v>
      </c>
      <c r="Q18" s="30" t="s">
        <v>8946</v>
      </c>
      <c r="R18" s="30" t="s">
        <v>809</v>
      </c>
      <c r="S18" s="30" t="s">
        <v>7466</v>
      </c>
      <c r="T18" s="30" t="s">
        <v>809</v>
      </c>
      <c r="U18" s="30" t="s">
        <v>8914</v>
      </c>
      <c r="V18" s="6" t="s">
        <v>8947</v>
      </c>
      <c r="W18" s="6" t="s">
        <v>8948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5653</v>
      </c>
      <c r="B19" s="6" t="s">
        <v>8949</v>
      </c>
      <c r="C19" s="255" t="n">
        <v>0.512</v>
      </c>
      <c r="D19" s="253"/>
      <c r="E19" s="253"/>
      <c r="F19" s="30" t="s">
        <v>127</v>
      </c>
      <c r="G19" s="253" t="s">
        <v>8950</v>
      </c>
      <c r="H19" s="30" t="s">
        <v>8910</v>
      </c>
      <c r="I19" s="30" t="s">
        <v>809</v>
      </c>
      <c r="J19" s="6" t="s">
        <v>8911</v>
      </c>
      <c r="K19" s="253" t="n">
        <v>1</v>
      </c>
      <c r="L19" s="253" t="s">
        <v>8373</v>
      </c>
      <c r="M19" s="6" t="s">
        <v>8912</v>
      </c>
      <c r="N19" s="253" t="s">
        <v>8375</v>
      </c>
      <c r="O19" s="30" t="s">
        <v>8376</v>
      </c>
      <c r="P19" s="30" t="s">
        <v>809</v>
      </c>
      <c r="Q19" s="30" t="s">
        <v>8951</v>
      </c>
      <c r="R19" s="30" t="s">
        <v>809</v>
      </c>
      <c r="S19" s="30" t="s">
        <v>7466</v>
      </c>
      <c r="T19" s="30" t="s">
        <v>809</v>
      </c>
      <c r="U19" s="30" t="s">
        <v>8914</v>
      </c>
      <c r="V19" s="6" t="s">
        <v>8952</v>
      </c>
      <c r="W19" s="6" t="s">
        <v>8953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5656</v>
      </c>
      <c r="B20" s="6" t="s">
        <v>8954</v>
      </c>
      <c r="C20" s="255" t="n">
        <v>128</v>
      </c>
      <c r="D20" s="253"/>
      <c r="E20" s="253"/>
      <c r="F20" s="30" t="s">
        <v>132</v>
      </c>
      <c r="G20" s="30" t="s">
        <v>809</v>
      </c>
      <c r="H20" s="30" t="s">
        <v>8924</v>
      </c>
      <c r="I20" s="30" t="s">
        <v>809</v>
      </c>
      <c r="J20" s="6" t="s">
        <v>8911</v>
      </c>
      <c r="K20" s="253" t="n">
        <v>1</v>
      </c>
      <c r="L20" s="253" t="s">
        <v>8373</v>
      </c>
      <c r="M20" s="6" t="s">
        <v>8912</v>
      </c>
      <c r="N20" s="253" t="s">
        <v>8375</v>
      </c>
      <c r="O20" s="30" t="s">
        <v>8376</v>
      </c>
      <c r="P20" s="30" t="s">
        <v>809</v>
      </c>
      <c r="Q20" s="30" t="s">
        <v>8955</v>
      </c>
      <c r="R20" s="30" t="s">
        <v>809</v>
      </c>
      <c r="S20" s="30" t="s">
        <v>7466</v>
      </c>
      <c r="T20" s="30" t="s">
        <v>809</v>
      </c>
      <c r="U20" s="30" t="s">
        <v>8914</v>
      </c>
      <c r="V20" s="6" t="s">
        <v>8956</v>
      </c>
      <c r="W20" s="6" t="s">
        <v>8957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5659</v>
      </c>
      <c r="B21" s="6" t="s">
        <v>8958</v>
      </c>
      <c r="C21" s="255" t="n">
        <v>128</v>
      </c>
      <c r="D21" s="253"/>
      <c r="E21" s="253"/>
      <c r="F21" s="30" t="s">
        <v>333</v>
      </c>
      <c r="G21" s="30" t="s">
        <v>809</v>
      </c>
      <c r="H21" s="30" t="s">
        <v>8924</v>
      </c>
      <c r="I21" s="30" t="s">
        <v>809</v>
      </c>
      <c r="J21" s="6" t="s">
        <v>8911</v>
      </c>
      <c r="K21" s="253" t="n">
        <v>1</v>
      </c>
      <c r="L21" s="253" t="s">
        <v>8373</v>
      </c>
      <c r="M21" s="6" t="s">
        <v>8912</v>
      </c>
      <c r="N21" s="253" t="s">
        <v>8375</v>
      </c>
      <c r="O21" s="30" t="s">
        <v>8376</v>
      </c>
      <c r="P21" s="30" t="s">
        <v>809</v>
      </c>
      <c r="Q21" s="30" t="s">
        <v>8959</v>
      </c>
      <c r="R21" s="30" t="s">
        <v>809</v>
      </c>
      <c r="S21" s="30" t="s">
        <v>7466</v>
      </c>
      <c r="T21" s="30" t="s">
        <v>809</v>
      </c>
      <c r="U21" s="30" t="s">
        <v>8914</v>
      </c>
      <c r="V21" s="6" t="s">
        <v>8960</v>
      </c>
      <c r="W21" s="6" t="s">
        <v>8961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5673</v>
      </c>
      <c r="B22" s="6" t="s">
        <v>8962</v>
      </c>
      <c r="C22" s="255" t="n">
        <v>1024</v>
      </c>
      <c r="D22" s="253"/>
      <c r="E22" s="253"/>
      <c r="F22" s="253" t="s">
        <v>8963</v>
      </c>
      <c r="G22" s="30" t="s">
        <v>809</v>
      </c>
      <c r="H22" s="30" t="s">
        <v>8924</v>
      </c>
      <c r="I22" s="30" t="s">
        <v>809</v>
      </c>
      <c r="J22" s="6" t="s">
        <v>8911</v>
      </c>
      <c r="K22" s="253" t="n">
        <v>3</v>
      </c>
      <c r="L22" s="253" t="s">
        <v>8373</v>
      </c>
      <c r="M22" s="6" t="s">
        <v>8912</v>
      </c>
      <c r="N22" s="253" t="s">
        <v>8511</v>
      </c>
      <c r="O22" s="30" t="s">
        <v>8376</v>
      </c>
      <c r="P22" s="30" t="s">
        <v>809</v>
      </c>
      <c r="Q22" s="30" t="s">
        <v>8919</v>
      </c>
      <c r="R22" s="30" t="s">
        <v>809</v>
      </c>
      <c r="S22" s="30" t="s">
        <v>809</v>
      </c>
      <c r="T22" s="30" t="s">
        <v>809</v>
      </c>
      <c r="U22" s="30" t="s">
        <v>8914</v>
      </c>
      <c r="V22" s="6" t="s">
        <v>8964</v>
      </c>
      <c r="W22" s="6" t="s">
        <v>8965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8966</v>
      </c>
      <c r="B23" s="6" t="s">
        <v>8967</v>
      </c>
      <c r="C23" s="255" t="n">
        <v>4</v>
      </c>
      <c r="D23" s="253"/>
      <c r="E23" s="253"/>
      <c r="F23" s="30" t="s">
        <v>8968</v>
      </c>
      <c r="G23" s="30" t="s">
        <v>809</v>
      </c>
      <c r="H23" s="30" t="s">
        <v>8924</v>
      </c>
      <c r="I23" s="30" t="s">
        <v>809</v>
      </c>
      <c r="J23" s="6" t="s">
        <v>8911</v>
      </c>
      <c r="K23" s="253" t="n">
        <v>3</v>
      </c>
      <c r="L23" s="253" t="s">
        <v>8373</v>
      </c>
      <c r="M23" s="6" t="s">
        <v>8912</v>
      </c>
      <c r="N23" s="253" t="s">
        <v>8511</v>
      </c>
      <c r="O23" s="30" t="s">
        <v>8376</v>
      </c>
      <c r="P23" s="30" t="s">
        <v>809</v>
      </c>
      <c r="Q23" s="30" t="s">
        <v>8919</v>
      </c>
      <c r="R23" s="30" t="s">
        <v>809</v>
      </c>
      <c r="S23" s="30" t="s">
        <v>809</v>
      </c>
      <c r="T23" s="30" t="s">
        <v>809</v>
      </c>
      <c r="U23" s="30" t="s">
        <v>8914</v>
      </c>
      <c r="V23" s="6" t="s">
        <v>8964</v>
      </c>
      <c r="W23" s="6" t="s">
        <v>809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5984</v>
      </c>
      <c r="B24" s="6" t="s">
        <v>8969</v>
      </c>
      <c r="C24" s="255" t="n">
        <v>671</v>
      </c>
      <c r="D24" s="253"/>
      <c r="E24" s="253"/>
      <c r="F24" s="30" t="s">
        <v>311</v>
      </c>
      <c r="G24" s="30" t="s">
        <v>809</v>
      </c>
      <c r="H24" s="30" t="s">
        <v>8970</v>
      </c>
      <c r="I24" s="30" t="s">
        <v>809</v>
      </c>
      <c r="J24" s="6" t="s">
        <v>8911</v>
      </c>
      <c r="K24" s="253" t="n">
        <v>3</v>
      </c>
      <c r="L24" s="253" t="s">
        <v>8373</v>
      </c>
      <c r="M24" s="6" t="s">
        <v>8912</v>
      </c>
      <c r="N24" s="253" t="s">
        <v>8511</v>
      </c>
      <c r="O24" s="30" t="s">
        <v>8376</v>
      </c>
      <c r="P24" s="30" t="s">
        <v>809</v>
      </c>
      <c r="Q24" s="30" t="s">
        <v>8919</v>
      </c>
      <c r="R24" s="30" t="s">
        <v>809</v>
      </c>
      <c r="S24" s="30" t="s">
        <v>809</v>
      </c>
      <c r="T24" s="30" t="s">
        <v>809</v>
      </c>
      <c r="U24" s="30" t="s">
        <v>8914</v>
      </c>
      <c r="V24" s="6" t="s">
        <v>8971</v>
      </c>
      <c r="W24" s="6" t="s">
        <v>809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5987</v>
      </c>
      <c r="B25" s="6" t="s">
        <v>8972</v>
      </c>
      <c r="C25" s="255" t="n">
        <v>37</v>
      </c>
      <c r="D25" s="253"/>
      <c r="E25" s="253"/>
      <c r="F25" s="30" t="s">
        <v>311</v>
      </c>
      <c r="G25" s="30" t="s">
        <v>809</v>
      </c>
      <c r="H25" s="30" t="s">
        <v>8970</v>
      </c>
      <c r="I25" s="30" t="s">
        <v>809</v>
      </c>
      <c r="J25" s="6" t="s">
        <v>8911</v>
      </c>
      <c r="K25" s="253" t="n">
        <v>3</v>
      </c>
      <c r="L25" s="253" t="s">
        <v>8373</v>
      </c>
      <c r="M25" s="6" t="s">
        <v>8912</v>
      </c>
      <c r="N25" s="253" t="s">
        <v>8511</v>
      </c>
      <c r="O25" s="30" t="s">
        <v>8376</v>
      </c>
      <c r="P25" s="30" t="s">
        <v>809</v>
      </c>
      <c r="Q25" s="30" t="s">
        <v>8919</v>
      </c>
      <c r="R25" s="30" t="s">
        <v>809</v>
      </c>
      <c r="S25" s="30" t="s">
        <v>809</v>
      </c>
      <c r="T25" s="30" t="s">
        <v>809</v>
      </c>
      <c r="U25" s="30" t="s">
        <v>8914</v>
      </c>
      <c r="V25" s="6" t="s">
        <v>8973</v>
      </c>
      <c r="W25" s="6" t="s">
        <v>809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5990</v>
      </c>
      <c r="B26" s="6" t="s">
        <v>8974</v>
      </c>
      <c r="C26" s="255" t="n">
        <v>61</v>
      </c>
      <c r="D26" s="253"/>
      <c r="E26" s="253"/>
      <c r="F26" s="253" t="s">
        <v>316</v>
      </c>
      <c r="G26" s="30" t="s">
        <v>809</v>
      </c>
      <c r="H26" s="30" t="s">
        <v>8970</v>
      </c>
      <c r="I26" s="30" t="s">
        <v>809</v>
      </c>
      <c r="J26" s="6" t="s">
        <v>8911</v>
      </c>
      <c r="K26" s="253" t="n">
        <v>3</v>
      </c>
      <c r="L26" s="253" t="s">
        <v>8373</v>
      </c>
      <c r="M26" s="6" t="s">
        <v>8912</v>
      </c>
      <c r="N26" s="253" t="s">
        <v>8511</v>
      </c>
      <c r="O26" s="30" t="s">
        <v>8376</v>
      </c>
      <c r="P26" s="30" t="s">
        <v>809</v>
      </c>
      <c r="Q26" s="30" t="s">
        <v>8919</v>
      </c>
      <c r="R26" s="30" t="s">
        <v>809</v>
      </c>
      <c r="S26" s="30" t="s">
        <v>809</v>
      </c>
      <c r="T26" s="30" t="s">
        <v>809</v>
      </c>
      <c r="U26" s="30" t="s">
        <v>8914</v>
      </c>
      <c r="V26" s="6" t="s">
        <v>8975</v>
      </c>
      <c r="W26" s="6" t="s">
        <v>809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5993</v>
      </c>
      <c r="B27" s="6" t="s">
        <v>8976</v>
      </c>
      <c r="C27" s="255" t="n">
        <v>7168</v>
      </c>
      <c r="D27" s="253"/>
      <c r="E27" s="253"/>
      <c r="F27" s="253" t="s">
        <v>8900</v>
      </c>
      <c r="G27" s="30" t="s">
        <v>809</v>
      </c>
      <c r="H27" s="30" t="s">
        <v>8970</v>
      </c>
      <c r="I27" s="30" t="s">
        <v>809</v>
      </c>
      <c r="J27" s="6" t="s">
        <v>8911</v>
      </c>
      <c r="K27" s="253" t="n">
        <v>3</v>
      </c>
      <c r="L27" s="253" t="s">
        <v>8373</v>
      </c>
      <c r="M27" s="6" t="s">
        <v>8912</v>
      </c>
      <c r="N27" s="253" t="s">
        <v>8511</v>
      </c>
      <c r="O27" s="30" t="s">
        <v>8376</v>
      </c>
      <c r="P27" s="30" t="s">
        <v>809</v>
      </c>
      <c r="Q27" s="30" t="s">
        <v>8919</v>
      </c>
      <c r="R27" s="30" t="s">
        <v>809</v>
      </c>
      <c r="S27" s="30" t="s">
        <v>809</v>
      </c>
      <c r="T27" s="30" t="s">
        <v>809</v>
      </c>
      <c r="U27" s="30" t="s">
        <v>8914</v>
      </c>
      <c r="V27" s="6" t="s">
        <v>8977</v>
      </c>
      <c r="W27" s="6" t="s">
        <v>809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5996</v>
      </c>
      <c r="B28" s="6" t="s">
        <v>8978</v>
      </c>
      <c r="C28" s="255" t="n">
        <v>256</v>
      </c>
      <c r="D28" s="253"/>
      <c r="E28" s="253"/>
      <c r="F28" s="253" t="s">
        <v>370</v>
      </c>
      <c r="G28" s="30" t="s">
        <v>809</v>
      </c>
      <c r="H28" s="30" t="s">
        <v>8970</v>
      </c>
      <c r="I28" s="30" t="s">
        <v>809</v>
      </c>
      <c r="J28" s="6" t="s">
        <v>8911</v>
      </c>
      <c r="K28" s="253" t="n">
        <v>3</v>
      </c>
      <c r="L28" s="253" t="s">
        <v>8373</v>
      </c>
      <c r="M28" s="6" t="s">
        <v>8912</v>
      </c>
      <c r="N28" s="253" t="s">
        <v>8511</v>
      </c>
      <c r="O28" s="30" t="s">
        <v>8376</v>
      </c>
      <c r="P28" s="30" t="s">
        <v>809</v>
      </c>
      <c r="Q28" s="30" t="s">
        <v>8919</v>
      </c>
      <c r="R28" s="30" t="s">
        <v>809</v>
      </c>
      <c r="S28" s="30" t="s">
        <v>809</v>
      </c>
      <c r="T28" s="30" t="s">
        <v>809</v>
      </c>
      <c r="U28" s="30" t="s">
        <v>8914</v>
      </c>
      <c r="V28" s="6" t="s">
        <v>8979</v>
      </c>
      <c r="W28" s="6" t="s">
        <v>809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6000</v>
      </c>
      <c r="B29" s="6" t="s">
        <v>8980</v>
      </c>
      <c r="C29" s="255" t="n">
        <v>8</v>
      </c>
      <c r="D29" s="253"/>
      <c r="E29" s="253"/>
      <c r="F29" s="253" t="s">
        <v>370</v>
      </c>
      <c r="G29" s="30" t="s">
        <v>809</v>
      </c>
      <c r="H29" s="30" t="s">
        <v>8970</v>
      </c>
      <c r="I29" s="30" t="s">
        <v>809</v>
      </c>
      <c r="J29" s="6" t="s">
        <v>8911</v>
      </c>
      <c r="K29" s="253" t="n">
        <v>3</v>
      </c>
      <c r="L29" s="253" t="s">
        <v>8373</v>
      </c>
      <c r="M29" s="6" t="s">
        <v>8912</v>
      </c>
      <c r="N29" s="253" t="s">
        <v>8511</v>
      </c>
      <c r="O29" s="30" t="s">
        <v>8376</v>
      </c>
      <c r="P29" s="30" t="s">
        <v>809</v>
      </c>
      <c r="Q29" s="30" t="s">
        <v>8919</v>
      </c>
      <c r="R29" s="30" t="s">
        <v>809</v>
      </c>
      <c r="S29" s="30" t="s">
        <v>809</v>
      </c>
      <c r="T29" s="30" t="s">
        <v>809</v>
      </c>
      <c r="U29" s="30" t="s">
        <v>8914</v>
      </c>
      <c r="V29" s="6" t="s">
        <v>8981</v>
      </c>
      <c r="W29" s="6" t="s">
        <v>809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6003</v>
      </c>
      <c r="B30" s="6" t="s">
        <v>8982</v>
      </c>
      <c r="C30" s="255" t="n">
        <v>1</v>
      </c>
      <c r="D30" s="253"/>
      <c r="E30" s="253"/>
      <c r="F30" s="253" t="s">
        <v>370</v>
      </c>
      <c r="G30" s="30" t="s">
        <v>809</v>
      </c>
      <c r="H30" s="30" t="s">
        <v>8970</v>
      </c>
      <c r="I30" s="30" t="s">
        <v>809</v>
      </c>
      <c r="J30" s="6" t="s">
        <v>8911</v>
      </c>
      <c r="K30" s="253" t="n">
        <v>3</v>
      </c>
      <c r="L30" s="253" t="s">
        <v>8373</v>
      </c>
      <c r="M30" s="6" t="s">
        <v>8912</v>
      </c>
      <c r="N30" s="253" t="s">
        <v>8511</v>
      </c>
      <c r="O30" s="30" t="s">
        <v>8376</v>
      </c>
      <c r="P30" s="30" t="s">
        <v>809</v>
      </c>
      <c r="Q30" s="30" t="s">
        <v>8919</v>
      </c>
      <c r="R30" s="30" t="s">
        <v>809</v>
      </c>
      <c r="S30" s="30" t="s">
        <v>809</v>
      </c>
      <c r="T30" s="30" t="s">
        <v>809</v>
      </c>
      <c r="U30" s="30" t="s">
        <v>8914</v>
      </c>
      <c r="V30" s="6" t="s">
        <v>8983</v>
      </c>
      <c r="W30" s="6" t="s">
        <v>809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6006</v>
      </c>
      <c r="B31" s="6" t="s">
        <v>8984</v>
      </c>
      <c r="C31" s="255" t="n">
        <v>129280</v>
      </c>
      <c r="D31" s="253"/>
      <c r="E31" s="253"/>
      <c r="F31" s="30" t="s">
        <v>8945</v>
      </c>
      <c r="G31" s="30" t="s">
        <v>809</v>
      </c>
      <c r="H31" s="30" t="s">
        <v>8970</v>
      </c>
      <c r="I31" s="30" t="s">
        <v>809</v>
      </c>
      <c r="J31" s="6" t="s">
        <v>8911</v>
      </c>
      <c r="K31" s="253" t="n">
        <v>3</v>
      </c>
      <c r="L31" s="253" t="s">
        <v>8373</v>
      </c>
      <c r="M31" s="6" t="s">
        <v>8912</v>
      </c>
      <c r="N31" s="253" t="s">
        <v>8511</v>
      </c>
      <c r="O31" s="30" t="s">
        <v>8376</v>
      </c>
      <c r="P31" s="30" t="s">
        <v>809</v>
      </c>
      <c r="Q31" s="30" t="s">
        <v>8919</v>
      </c>
      <c r="R31" s="30" t="s">
        <v>809</v>
      </c>
      <c r="S31" s="30" t="s">
        <v>809</v>
      </c>
      <c r="T31" s="30" t="s">
        <v>809</v>
      </c>
      <c r="U31" s="30" t="s">
        <v>8914</v>
      </c>
      <c r="V31" s="6" t="s">
        <v>8985</v>
      </c>
      <c r="W31" s="6" t="s">
        <v>809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6009</v>
      </c>
      <c r="B32" s="6" t="s">
        <v>8986</v>
      </c>
      <c r="C32" s="255" t="n">
        <v>576</v>
      </c>
      <c r="D32" s="253"/>
      <c r="E32" s="253"/>
      <c r="F32" s="253" t="s">
        <v>8900</v>
      </c>
      <c r="G32" s="30" t="s">
        <v>8987</v>
      </c>
      <c r="H32" s="30" t="s">
        <v>8970</v>
      </c>
      <c r="I32" s="30" t="s">
        <v>809</v>
      </c>
      <c r="J32" s="6" t="s">
        <v>8911</v>
      </c>
      <c r="K32" s="253" t="n">
        <v>3</v>
      </c>
      <c r="L32" s="253" t="s">
        <v>8373</v>
      </c>
      <c r="M32" s="6" t="s">
        <v>8912</v>
      </c>
      <c r="N32" s="253" t="s">
        <v>8511</v>
      </c>
      <c r="O32" s="30" t="s">
        <v>8376</v>
      </c>
      <c r="P32" s="30" t="s">
        <v>809</v>
      </c>
      <c r="Q32" s="30" t="s">
        <v>8919</v>
      </c>
      <c r="R32" s="30" t="s">
        <v>809</v>
      </c>
      <c r="S32" s="30" t="s">
        <v>809</v>
      </c>
      <c r="T32" s="30" t="s">
        <v>809</v>
      </c>
      <c r="U32" s="30" t="s">
        <v>8914</v>
      </c>
      <c r="V32" s="6" t="s">
        <v>8988</v>
      </c>
      <c r="W32" s="6" t="s">
        <v>8989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6142</v>
      </c>
      <c r="B33" s="6" t="s">
        <v>8990</v>
      </c>
      <c r="C33" s="255" t="n">
        <v>32</v>
      </c>
      <c r="D33" s="253"/>
      <c r="E33" s="253"/>
      <c r="F33" s="30" t="s">
        <v>1175</v>
      </c>
      <c r="G33" s="30" t="s">
        <v>809</v>
      </c>
      <c r="H33" s="30" t="s">
        <v>8903</v>
      </c>
      <c r="I33" s="30" t="s">
        <v>8397</v>
      </c>
      <c r="J33" s="6" t="s">
        <v>8991</v>
      </c>
      <c r="K33" s="253" t="n">
        <v>1</v>
      </c>
      <c r="L33" s="253" t="s">
        <v>8373</v>
      </c>
      <c r="M33" s="6" t="s">
        <v>8992</v>
      </c>
      <c r="N33" s="253" t="s">
        <v>8993</v>
      </c>
      <c r="O33" s="30" t="s">
        <v>8376</v>
      </c>
      <c r="P33" s="30" t="s">
        <v>809</v>
      </c>
      <c r="Q33" s="30" t="s">
        <v>8994</v>
      </c>
      <c r="R33" s="30" t="s">
        <v>809</v>
      </c>
      <c r="S33" s="30" t="s">
        <v>809</v>
      </c>
      <c r="T33" s="30" t="s">
        <v>809</v>
      </c>
      <c r="U33" s="30" t="s">
        <v>8995</v>
      </c>
      <c r="V33" s="6" t="s">
        <v>8996</v>
      </c>
      <c r="W33" s="6" t="s">
        <v>809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6144</v>
      </c>
      <c r="B34" s="6" t="s">
        <v>8997</v>
      </c>
      <c r="C34" s="255" t="n">
        <v>33</v>
      </c>
      <c r="D34" s="253"/>
      <c r="E34" s="253"/>
      <c r="F34" s="30" t="s">
        <v>1175</v>
      </c>
      <c r="G34" s="30" t="s">
        <v>809</v>
      </c>
      <c r="H34" s="30" t="s">
        <v>8887</v>
      </c>
      <c r="I34" s="30" t="s">
        <v>8397</v>
      </c>
      <c r="J34" s="6" t="s">
        <v>8991</v>
      </c>
      <c r="K34" s="253" t="n">
        <v>1</v>
      </c>
      <c r="L34" s="253" t="s">
        <v>8373</v>
      </c>
      <c r="M34" s="6" t="s">
        <v>8992</v>
      </c>
      <c r="N34" s="253" t="s">
        <v>8993</v>
      </c>
      <c r="O34" s="30" t="s">
        <v>8376</v>
      </c>
      <c r="P34" s="30" t="s">
        <v>809</v>
      </c>
      <c r="Q34" s="30" t="s">
        <v>8994</v>
      </c>
      <c r="R34" s="30" t="s">
        <v>809</v>
      </c>
      <c r="S34" s="30" t="s">
        <v>809</v>
      </c>
      <c r="T34" s="30" t="s">
        <v>809</v>
      </c>
      <c r="U34" s="30" t="s">
        <v>8995</v>
      </c>
      <c r="V34" s="6" t="s">
        <v>8998</v>
      </c>
      <c r="W34" s="6" t="s">
        <v>809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6147</v>
      </c>
      <c r="B35" s="6" t="s">
        <v>8999</v>
      </c>
      <c r="C35" s="255" t="n">
        <v>4096</v>
      </c>
      <c r="D35" s="253"/>
      <c r="E35" s="253"/>
      <c r="F35" s="30" t="s">
        <v>333</v>
      </c>
      <c r="G35" s="30" t="s">
        <v>9000</v>
      </c>
      <c r="H35" s="30" t="s">
        <v>8924</v>
      </c>
      <c r="I35" s="30" t="s">
        <v>8397</v>
      </c>
      <c r="J35" s="6" t="s">
        <v>8991</v>
      </c>
      <c r="K35" s="253" t="n">
        <v>1</v>
      </c>
      <c r="L35" s="253" t="s">
        <v>8373</v>
      </c>
      <c r="M35" s="6" t="s">
        <v>8992</v>
      </c>
      <c r="N35" s="253" t="s">
        <v>8993</v>
      </c>
      <c r="O35" s="30" t="s">
        <v>8376</v>
      </c>
      <c r="P35" s="30" t="s">
        <v>809</v>
      </c>
      <c r="Q35" s="30" t="s">
        <v>8994</v>
      </c>
      <c r="R35" s="30" t="s">
        <v>809</v>
      </c>
      <c r="S35" s="30" t="s">
        <v>809</v>
      </c>
      <c r="T35" s="30" t="s">
        <v>809</v>
      </c>
      <c r="U35" s="30" t="s">
        <v>8995</v>
      </c>
      <c r="V35" s="6" t="s">
        <v>9001</v>
      </c>
      <c r="W35" s="6" t="s">
        <v>809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9002</v>
      </c>
      <c r="B36" s="6" t="s">
        <v>9003</v>
      </c>
      <c r="C36" s="255" t="n">
        <v>16384</v>
      </c>
      <c r="D36" s="253"/>
      <c r="E36" s="253"/>
      <c r="F36" s="30" t="s">
        <v>333</v>
      </c>
      <c r="G36" s="253" t="s">
        <v>9004</v>
      </c>
      <c r="H36" s="30" t="s">
        <v>8924</v>
      </c>
      <c r="I36" s="30" t="s">
        <v>8397</v>
      </c>
      <c r="J36" s="6" t="s">
        <v>8991</v>
      </c>
      <c r="K36" s="253" t="n">
        <v>1</v>
      </c>
      <c r="L36" s="253" t="s">
        <v>8373</v>
      </c>
      <c r="M36" s="6" t="s">
        <v>8992</v>
      </c>
      <c r="N36" s="253" t="s">
        <v>8993</v>
      </c>
      <c r="O36" s="30" t="s">
        <v>8376</v>
      </c>
      <c r="P36" s="30" t="s">
        <v>809</v>
      </c>
      <c r="Q36" s="30" t="s">
        <v>8994</v>
      </c>
      <c r="R36" s="30" t="s">
        <v>809</v>
      </c>
      <c r="S36" s="30" t="s">
        <v>809</v>
      </c>
      <c r="T36" s="30" t="s">
        <v>809</v>
      </c>
      <c r="U36" s="30" t="s">
        <v>8995</v>
      </c>
      <c r="V36" s="6" t="s">
        <v>809</v>
      </c>
      <c r="W36" s="6" t="s">
        <v>809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6597</v>
      </c>
      <c r="B37" s="6" t="s">
        <v>9005</v>
      </c>
      <c r="C37" s="255" t="n">
        <v>4.6E+026</v>
      </c>
      <c r="D37" s="253"/>
      <c r="E37" s="253"/>
      <c r="F37" s="30" t="s">
        <v>355</v>
      </c>
      <c r="G37" s="253" t="s">
        <v>9006</v>
      </c>
      <c r="H37" s="30" t="s">
        <v>9007</v>
      </c>
      <c r="I37" s="30" t="s">
        <v>9008</v>
      </c>
      <c r="J37" s="6" t="s">
        <v>9009</v>
      </c>
      <c r="K37" s="253" t="n">
        <v>1</v>
      </c>
      <c r="L37" s="253" t="s">
        <v>8480</v>
      </c>
      <c r="M37" s="6" t="s">
        <v>9010</v>
      </c>
      <c r="N37" s="253" t="s">
        <v>9011</v>
      </c>
      <c r="O37" s="30" t="s">
        <v>8376</v>
      </c>
      <c r="P37" s="30" t="s">
        <v>809</v>
      </c>
      <c r="Q37" s="30" t="s">
        <v>9012</v>
      </c>
      <c r="R37" s="30" t="s">
        <v>809</v>
      </c>
      <c r="S37" s="30" t="s">
        <v>809</v>
      </c>
      <c r="T37" s="30" t="s">
        <v>809</v>
      </c>
      <c r="U37" s="30" t="s">
        <v>9013</v>
      </c>
      <c r="V37" s="6" t="s">
        <v>9014</v>
      </c>
      <c r="W37" s="20" t="s">
        <v>9015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3980</v>
      </c>
      <c r="B38" s="6" t="s">
        <v>9016</v>
      </c>
      <c r="C38" s="255" t="n">
        <v>0.147</v>
      </c>
      <c r="D38" s="253"/>
      <c r="E38" s="253"/>
      <c r="F38" s="30" t="s">
        <v>9017</v>
      </c>
      <c r="G38" s="30" t="s">
        <v>9018</v>
      </c>
      <c r="H38" s="30" t="s">
        <v>9019</v>
      </c>
      <c r="I38" s="30" t="s">
        <v>9020</v>
      </c>
      <c r="J38" s="6" t="s">
        <v>9021</v>
      </c>
      <c r="K38" s="253" t="n">
        <v>2</v>
      </c>
      <c r="L38" s="253" t="s">
        <v>8373</v>
      </c>
      <c r="M38" s="6" t="s">
        <v>9022</v>
      </c>
      <c r="N38" s="253" t="s">
        <v>8386</v>
      </c>
      <c r="O38" s="30" t="s">
        <v>8376</v>
      </c>
      <c r="P38" s="30" t="s">
        <v>809</v>
      </c>
      <c r="Q38" s="30" t="s">
        <v>9023</v>
      </c>
      <c r="R38" s="30" t="s">
        <v>809</v>
      </c>
      <c r="S38" s="30" t="s">
        <v>809</v>
      </c>
      <c r="T38" s="30" t="s">
        <v>809</v>
      </c>
      <c r="U38" s="30" t="s">
        <v>9024</v>
      </c>
      <c r="V38" s="6" t="s">
        <v>9025</v>
      </c>
      <c r="W38" s="6" t="s">
        <v>9026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9027</v>
      </c>
      <c r="B39" s="6" t="s">
        <v>9028</v>
      </c>
      <c r="C39" s="255" t="n">
        <v>0.14</v>
      </c>
      <c r="D39" s="253"/>
      <c r="E39" s="253"/>
      <c r="F39" s="30" t="s">
        <v>9029</v>
      </c>
      <c r="G39" s="253" t="s">
        <v>9030</v>
      </c>
      <c r="H39" s="30" t="s">
        <v>9031</v>
      </c>
      <c r="I39" s="30" t="s">
        <v>9032</v>
      </c>
      <c r="J39" s="6" t="s">
        <v>9033</v>
      </c>
      <c r="K39" s="253" t="n">
        <v>2</v>
      </c>
      <c r="L39" s="253" t="s">
        <v>8373</v>
      </c>
      <c r="M39" s="6" t="s">
        <v>9034</v>
      </c>
      <c r="N39" s="253" t="s">
        <v>8386</v>
      </c>
      <c r="O39" s="30" t="s">
        <v>8376</v>
      </c>
      <c r="P39" s="30" t="s">
        <v>809</v>
      </c>
      <c r="Q39" s="30" t="s">
        <v>9035</v>
      </c>
      <c r="R39" s="30" t="s">
        <v>809</v>
      </c>
      <c r="S39" s="30" t="s">
        <v>809</v>
      </c>
      <c r="T39" s="30" t="s">
        <v>809</v>
      </c>
      <c r="U39" s="30" t="s">
        <v>9036</v>
      </c>
      <c r="V39" s="6" t="s">
        <v>809</v>
      </c>
      <c r="W39" s="6" t="s">
        <v>809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3989</v>
      </c>
      <c r="B40" s="6" t="s">
        <v>9037</v>
      </c>
      <c r="C40" s="255" t="n">
        <v>1</v>
      </c>
      <c r="D40" s="253"/>
      <c r="E40" s="253"/>
      <c r="F40" s="30" t="s">
        <v>132</v>
      </c>
      <c r="G40" s="253" t="s">
        <v>9038</v>
      </c>
      <c r="H40" s="30" t="s">
        <v>9039</v>
      </c>
      <c r="I40" s="30" t="s">
        <v>9040</v>
      </c>
      <c r="J40" s="6" t="s">
        <v>9041</v>
      </c>
      <c r="K40" s="253" t="n">
        <v>1</v>
      </c>
      <c r="L40" s="253" t="s">
        <v>8373</v>
      </c>
      <c r="M40" s="6" t="s">
        <v>9042</v>
      </c>
      <c r="N40" s="253" t="s">
        <v>8993</v>
      </c>
      <c r="O40" s="30" t="s">
        <v>8376</v>
      </c>
      <c r="P40" s="30" t="s">
        <v>809</v>
      </c>
      <c r="Q40" s="30" t="s">
        <v>9043</v>
      </c>
      <c r="R40" s="30" t="s">
        <v>809</v>
      </c>
      <c r="S40" s="30" t="s">
        <v>809</v>
      </c>
      <c r="T40" s="30" t="s">
        <v>809</v>
      </c>
      <c r="U40" s="30" t="s">
        <v>9044</v>
      </c>
      <c r="V40" s="6" t="s">
        <v>9045</v>
      </c>
      <c r="W40" s="20" t="s">
        <v>9046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9047</v>
      </c>
      <c r="B41" s="6" t="s">
        <v>9048</v>
      </c>
      <c r="C41" s="255" t="n">
        <v>200000</v>
      </c>
      <c r="D41" s="253"/>
      <c r="E41" s="253"/>
      <c r="F41" s="30" t="s">
        <v>725</v>
      </c>
      <c r="G41" s="30" t="s">
        <v>809</v>
      </c>
      <c r="H41" s="30" t="s">
        <v>9039</v>
      </c>
      <c r="I41" s="30" t="s">
        <v>9040</v>
      </c>
      <c r="J41" s="6" t="s">
        <v>9041</v>
      </c>
      <c r="K41" s="253" t="n">
        <v>1</v>
      </c>
      <c r="L41" s="253" t="s">
        <v>8373</v>
      </c>
      <c r="M41" s="6" t="s">
        <v>9042</v>
      </c>
      <c r="N41" s="253" t="s">
        <v>8993</v>
      </c>
      <c r="O41" s="30" t="s">
        <v>8376</v>
      </c>
      <c r="P41" s="30" t="s">
        <v>809</v>
      </c>
      <c r="Q41" s="30" t="s">
        <v>9043</v>
      </c>
      <c r="R41" s="30" t="s">
        <v>809</v>
      </c>
      <c r="S41" s="30" t="s">
        <v>809</v>
      </c>
      <c r="T41" s="30" t="s">
        <v>809</v>
      </c>
      <c r="U41" s="30" t="s">
        <v>9044</v>
      </c>
      <c r="V41" s="6" t="s">
        <v>809</v>
      </c>
      <c r="W41" s="6" t="s">
        <v>809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9049</v>
      </c>
      <c r="B42" s="6" t="s">
        <v>9050</v>
      </c>
      <c r="C42" s="255" t="n">
        <v>10</v>
      </c>
      <c r="D42" s="253"/>
      <c r="E42" s="253"/>
      <c r="F42" s="30" t="s">
        <v>132</v>
      </c>
      <c r="G42" s="253" t="s">
        <v>9051</v>
      </c>
      <c r="H42" s="30" t="s">
        <v>9039</v>
      </c>
      <c r="I42" s="30" t="s">
        <v>9040</v>
      </c>
      <c r="J42" s="6" t="s">
        <v>9041</v>
      </c>
      <c r="K42" s="253" t="n">
        <v>1</v>
      </c>
      <c r="L42" s="253" t="s">
        <v>8373</v>
      </c>
      <c r="M42" s="6" t="s">
        <v>9042</v>
      </c>
      <c r="N42" s="253" t="s">
        <v>8993</v>
      </c>
      <c r="O42" s="30" t="s">
        <v>8376</v>
      </c>
      <c r="P42" s="30" t="s">
        <v>809</v>
      </c>
      <c r="Q42" s="30" t="s">
        <v>9043</v>
      </c>
      <c r="R42" s="30" t="s">
        <v>809</v>
      </c>
      <c r="S42" s="30" t="s">
        <v>809</v>
      </c>
      <c r="T42" s="30" t="s">
        <v>809</v>
      </c>
      <c r="U42" s="30" t="s">
        <v>9044</v>
      </c>
      <c r="V42" s="6" t="s">
        <v>809</v>
      </c>
      <c r="W42" s="6" t="s">
        <v>809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6150</v>
      </c>
      <c r="B43" s="6" t="s">
        <v>9052</v>
      </c>
      <c r="C43" s="255" t="n">
        <v>14.8</v>
      </c>
      <c r="D43" s="253"/>
      <c r="E43" s="253"/>
      <c r="F43" s="30" t="s">
        <v>1175</v>
      </c>
      <c r="G43" s="30" t="s">
        <v>809</v>
      </c>
      <c r="H43" s="30" t="s">
        <v>9053</v>
      </c>
      <c r="I43" s="30" t="s">
        <v>9054</v>
      </c>
      <c r="J43" s="6" t="s">
        <v>9055</v>
      </c>
      <c r="K43" s="253" t="n">
        <v>3</v>
      </c>
      <c r="L43" s="253" t="s">
        <v>8373</v>
      </c>
      <c r="M43" s="6" t="s">
        <v>9056</v>
      </c>
      <c r="N43" s="253" t="s">
        <v>8511</v>
      </c>
      <c r="O43" s="30" t="s">
        <v>8376</v>
      </c>
      <c r="P43" s="30" t="s">
        <v>809</v>
      </c>
      <c r="Q43" s="30" t="s">
        <v>9057</v>
      </c>
      <c r="R43" s="30" t="s">
        <v>809</v>
      </c>
      <c r="S43" s="30" t="s">
        <v>809</v>
      </c>
      <c r="T43" s="30" t="s">
        <v>809</v>
      </c>
      <c r="U43" s="30" t="s">
        <v>1206</v>
      </c>
      <c r="V43" s="6" t="s">
        <v>9058</v>
      </c>
      <c r="W43" s="6" t="s">
        <v>809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6152</v>
      </c>
      <c r="B44" s="6" t="s">
        <v>9059</v>
      </c>
      <c r="C44" s="255" t="n">
        <v>2.664</v>
      </c>
      <c r="D44" s="253"/>
      <c r="E44" s="253"/>
      <c r="F44" s="30" t="s">
        <v>9060</v>
      </c>
      <c r="G44" s="253" t="s">
        <v>9061</v>
      </c>
      <c r="H44" s="30" t="s">
        <v>9053</v>
      </c>
      <c r="I44" s="30" t="s">
        <v>9054</v>
      </c>
      <c r="J44" s="6" t="s">
        <v>9055</v>
      </c>
      <c r="K44" s="253" t="n">
        <v>3</v>
      </c>
      <c r="L44" s="253" t="s">
        <v>8373</v>
      </c>
      <c r="M44" s="6" t="s">
        <v>9056</v>
      </c>
      <c r="N44" s="253" t="s">
        <v>8511</v>
      </c>
      <c r="O44" s="30" t="s">
        <v>8376</v>
      </c>
      <c r="P44" s="30" t="s">
        <v>809</v>
      </c>
      <c r="Q44" s="30" t="s">
        <v>9057</v>
      </c>
      <c r="R44" s="30" t="s">
        <v>809</v>
      </c>
      <c r="S44" s="30" t="s">
        <v>809</v>
      </c>
      <c r="T44" s="30" t="s">
        <v>809</v>
      </c>
      <c r="U44" s="30" t="s">
        <v>1206</v>
      </c>
      <c r="V44" s="6" t="s">
        <v>9062</v>
      </c>
      <c r="W44" s="6" t="s">
        <v>809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9063</v>
      </c>
      <c r="B45" s="6" t="s">
        <v>9064</v>
      </c>
      <c r="C45" s="255" t="n">
        <v>2.788</v>
      </c>
      <c r="D45" s="253"/>
      <c r="E45" s="253"/>
      <c r="F45" s="30" t="s">
        <v>9060</v>
      </c>
      <c r="G45" s="253" t="s">
        <v>9065</v>
      </c>
      <c r="H45" s="30" t="s">
        <v>9053</v>
      </c>
      <c r="I45" s="30" t="s">
        <v>9054</v>
      </c>
      <c r="J45" s="6" t="s">
        <v>9055</v>
      </c>
      <c r="K45" s="253" t="n">
        <v>3</v>
      </c>
      <c r="L45" s="253" t="s">
        <v>8373</v>
      </c>
      <c r="M45" s="6" t="s">
        <v>9056</v>
      </c>
      <c r="N45" s="253" t="s">
        <v>8511</v>
      </c>
      <c r="O45" s="30" t="s">
        <v>8376</v>
      </c>
      <c r="P45" s="30" t="s">
        <v>809</v>
      </c>
      <c r="Q45" s="30" t="s">
        <v>9057</v>
      </c>
      <c r="R45" s="30" t="s">
        <v>809</v>
      </c>
      <c r="S45" s="30" t="s">
        <v>809</v>
      </c>
      <c r="T45" s="30" t="s">
        <v>809</v>
      </c>
      <c r="U45" s="30" t="s">
        <v>1206</v>
      </c>
      <c r="V45" s="6" t="s">
        <v>809</v>
      </c>
      <c r="W45" s="6" t="s">
        <v>809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6155</v>
      </c>
      <c r="B46" s="6" t="s">
        <v>9066</v>
      </c>
      <c r="C46" s="255" t="n">
        <v>4096</v>
      </c>
      <c r="D46" s="253"/>
      <c r="E46" s="253"/>
      <c r="F46" s="30" t="s">
        <v>333</v>
      </c>
      <c r="G46" s="30" t="s">
        <v>809</v>
      </c>
      <c r="H46" s="30" t="s">
        <v>9053</v>
      </c>
      <c r="I46" s="30" t="s">
        <v>9054</v>
      </c>
      <c r="J46" s="6" t="s">
        <v>9055</v>
      </c>
      <c r="K46" s="253" t="n">
        <v>3</v>
      </c>
      <c r="L46" s="253" t="s">
        <v>8373</v>
      </c>
      <c r="M46" s="6" t="s">
        <v>9056</v>
      </c>
      <c r="N46" s="253" t="s">
        <v>8511</v>
      </c>
      <c r="O46" s="30" t="s">
        <v>8376</v>
      </c>
      <c r="P46" s="30" t="s">
        <v>809</v>
      </c>
      <c r="Q46" s="30" t="s">
        <v>9057</v>
      </c>
      <c r="R46" s="30" t="s">
        <v>809</v>
      </c>
      <c r="S46" s="30" t="s">
        <v>809</v>
      </c>
      <c r="T46" s="30" t="s">
        <v>809</v>
      </c>
      <c r="U46" s="30" t="s">
        <v>1206</v>
      </c>
      <c r="V46" s="6" t="s">
        <v>9067</v>
      </c>
      <c r="W46" s="6" t="s">
        <v>809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6160</v>
      </c>
      <c r="B47" s="20" t="s">
        <v>9068</v>
      </c>
      <c r="C47" s="255" t="n">
        <v>1</v>
      </c>
      <c r="D47" s="253"/>
      <c r="E47" s="253"/>
      <c r="F47" s="30" t="s">
        <v>9069</v>
      </c>
      <c r="G47" s="253" t="s">
        <v>9070</v>
      </c>
      <c r="H47" s="30" t="s">
        <v>1521</v>
      </c>
      <c r="I47" s="30" t="s">
        <v>1511</v>
      </c>
      <c r="J47" s="6" t="s">
        <v>9071</v>
      </c>
      <c r="K47" s="253" t="n">
        <v>1</v>
      </c>
      <c r="L47" s="253" t="s">
        <v>8373</v>
      </c>
      <c r="M47" s="6" t="s">
        <v>8992</v>
      </c>
      <c r="N47" s="253" t="s">
        <v>8993</v>
      </c>
      <c r="O47" s="30" t="s">
        <v>8376</v>
      </c>
      <c r="P47" s="30" t="s">
        <v>809</v>
      </c>
      <c r="Q47" s="30" t="s">
        <v>9072</v>
      </c>
      <c r="R47" s="30" t="s">
        <v>809</v>
      </c>
      <c r="S47" s="30" t="s">
        <v>809</v>
      </c>
      <c r="T47" s="30" t="s">
        <v>809</v>
      </c>
      <c r="U47" s="30" t="s">
        <v>9073</v>
      </c>
      <c r="V47" s="6" t="s">
        <v>9074</v>
      </c>
      <c r="W47" s="6" t="s">
        <v>9075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9076</v>
      </c>
      <c r="B48" s="20" t="s">
        <v>9077</v>
      </c>
      <c r="C48" s="255" t="n">
        <v>1</v>
      </c>
      <c r="D48" s="253"/>
      <c r="E48" s="253"/>
      <c r="F48" s="30" t="s">
        <v>9069</v>
      </c>
      <c r="G48" s="253" t="s">
        <v>9070</v>
      </c>
      <c r="H48" s="30" t="s">
        <v>9078</v>
      </c>
      <c r="I48" s="30" t="s">
        <v>9079</v>
      </c>
      <c r="J48" s="6" t="s">
        <v>9080</v>
      </c>
      <c r="K48" s="253" t="n">
        <v>1</v>
      </c>
      <c r="L48" s="253" t="s">
        <v>8373</v>
      </c>
      <c r="M48" s="6" t="s">
        <v>9081</v>
      </c>
      <c r="N48" s="253" t="s">
        <v>8993</v>
      </c>
      <c r="O48" s="30" t="s">
        <v>8376</v>
      </c>
      <c r="P48" s="30" t="s">
        <v>809</v>
      </c>
      <c r="Q48" s="30" t="s">
        <v>9082</v>
      </c>
      <c r="R48" s="30" t="s">
        <v>809</v>
      </c>
      <c r="S48" s="30" t="s">
        <v>809</v>
      </c>
      <c r="T48" s="30" t="s">
        <v>809</v>
      </c>
      <c r="U48" s="30" t="s">
        <v>9083</v>
      </c>
      <c r="V48" s="6" t="s">
        <v>9074</v>
      </c>
      <c r="W48" s="6" t="s">
        <v>809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9084</v>
      </c>
      <c r="B49" s="20" t="s">
        <v>9085</v>
      </c>
      <c r="C49" s="255" t="n">
        <v>1</v>
      </c>
      <c r="D49" s="253"/>
      <c r="E49" s="253"/>
      <c r="F49" s="30" t="s">
        <v>9069</v>
      </c>
      <c r="G49" s="253" t="s">
        <v>9070</v>
      </c>
      <c r="H49" s="30" t="s">
        <v>1538</v>
      </c>
      <c r="I49" s="30" t="s">
        <v>9020</v>
      </c>
      <c r="J49" s="6" t="s">
        <v>9086</v>
      </c>
      <c r="K49" s="253" t="n">
        <v>2</v>
      </c>
      <c r="L49" s="253" t="s">
        <v>8373</v>
      </c>
      <c r="M49" s="6" t="s">
        <v>9086</v>
      </c>
      <c r="N49" s="253" t="s">
        <v>8386</v>
      </c>
      <c r="O49" s="30" t="s">
        <v>8376</v>
      </c>
      <c r="P49" s="30" t="s">
        <v>809</v>
      </c>
      <c r="Q49" s="30" t="s">
        <v>9087</v>
      </c>
      <c r="R49" s="30" t="s">
        <v>809</v>
      </c>
      <c r="S49" s="30" t="s">
        <v>809</v>
      </c>
      <c r="T49" s="30" t="s">
        <v>809</v>
      </c>
      <c r="U49" s="30" t="s">
        <v>9088</v>
      </c>
      <c r="V49" s="6" t="s">
        <v>9074</v>
      </c>
      <c r="W49" s="6" t="s">
        <v>809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6468</v>
      </c>
      <c r="B50" s="6" t="s">
        <v>9089</v>
      </c>
      <c r="C50" s="255" t="n">
        <v>1.5</v>
      </c>
      <c r="D50" s="253"/>
      <c r="E50" s="253"/>
      <c r="F50" s="30" t="s">
        <v>132</v>
      </c>
      <c r="G50" s="253" t="s">
        <v>9090</v>
      </c>
      <c r="H50" s="30" t="s">
        <v>1538</v>
      </c>
      <c r="I50" s="30" t="s">
        <v>9020</v>
      </c>
      <c r="J50" s="6" t="s">
        <v>9086</v>
      </c>
      <c r="K50" s="253" t="n">
        <v>2</v>
      </c>
      <c r="L50" s="253" t="s">
        <v>8373</v>
      </c>
      <c r="M50" s="6" t="s">
        <v>9086</v>
      </c>
      <c r="N50" s="253" t="s">
        <v>8386</v>
      </c>
      <c r="O50" s="30" t="s">
        <v>8376</v>
      </c>
      <c r="P50" s="30" t="s">
        <v>809</v>
      </c>
      <c r="Q50" s="30" t="s">
        <v>9087</v>
      </c>
      <c r="R50" s="30" t="s">
        <v>809</v>
      </c>
      <c r="S50" s="30" t="s">
        <v>809</v>
      </c>
      <c r="T50" s="30" t="s">
        <v>809</v>
      </c>
      <c r="U50" s="30" t="s">
        <v>9088</v>
      </c>
      <c r="V50" s="6" t="s">
        <v>809</v>
      </c>
      <c r="W50" s="6" t="s">
        <v>809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9091</v>
      </c>
      <c r="B51" s="20" t="s">
        <v>9092</v>
      </c>
      <c r="C51" s="255" t="n">
        <v>1</v>
      </c>
      <c r="D51" s="253"/>
      <c r="E51" s="253"/>
      <c r="F51" s="30" t="s">
        <v>9069</v>
      </c>
      <c r="G51" s="253" t="s">
        <v>9070</v>
      </c>
      <c r="H51" s="30" t="s">
        <v>9093</v>
      </c>
      <c r="I51" s="30" t="s">
        <v>9040</v>
      </c>
      <c r="J51" s="6" t="s">
        <v>9094</v>
      </c>
      <c r="K51" s="253" t="n">
        <v>1</v>
      </c>
      <c r="L51" s="253" t="s">
        <v>8373</v>
      </c>
      <c r="M51" s="6" t="s">
        <v>9095</v>
      </c>
      <c r="N51" s="253" t="s">
        <v>8993</v>
      </c>
      <c r="O51" s="30" t="s">
        <v>8376</v>
      </c>
      <c r="P51" s="30" t="s">
        <v>809</v>
      </c>
      <c r="Q51" s="30" t="s">
        <v>9096</v>
      </c>
      <c r="R51" s="30" t="s">
        <v>809</v>
      </c>
      <c r="S51" s="30" t="s">
        <v>809</v>
      </c>
      <c r="T51" s="30" t="s">
        <v>809</v>
      </c>
      <c r="U51" s="30" t="s">
        <v>9097</v>
      </c>
      <c r="V51" s="6" t="s">
        <v>9074</v>
      </c>
      <c r="W51" s="6" t="s">
        <v>809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9098</v>
      </c>
      <c r="B52" s="6" t="s">
        <v>9099</v>
      </c>
      <c r="C52" s="255" t="n">
        <v>10.7</v>
      </c>
      <c r="D52" s="253"/>
      <c r="E52" s="253"/>
      <c r="F52" s="30" t="s">
        <v>132</v>
      </c>
      <c r="G52" s="253" t="s">
        <v>9100</v>
      </c>
      <c r="H52" s="30" t="s">
        <v>9093</v>
      </c>
      <c r="I52" s="30" t="s">
        <v>9040</v>
      </c>
      <c r="J52" s="6" t="s">
        <v>9094</v>
      </c>
      <c r="K52" s="253" t="n">
        <v>1</v>
      </c>
      <c r="L52" s="253" t="s">
        <v>8373</v>
      </c>
      <c r="M52" s="6" t="s">
        <v>9095</v>
      </c>
      <c r="N52" s="253" t="s">
        <v>8993</v>
      </c>
      <c r="O52" s="30" t="s">
        <v>8376</v>
      </c>
      <c r="P52" s="30" t="s">
        <v>809</v>
      </c>
      <c r="Q52" s="30" t="s">
        <v>9096</v>
      </c>
      <c r="R52" s="30" t="s">
        <v>809</v>
      </c>
      <c r="S52" s="30" t="s">
        <v>809</v>
      </c>
      <c r="T52" s="30" t="s">
        <v>809</v>
      </c>
      <c r="U52" s="30" t="s">
        <v>9097</v>
      </c>
      <c r="V52" s="6" t="s">
        <v>809</v>
      </c>
      <c r="W52" s="6" t="s">
        <v>809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6013</v>
      </c>
      <c r="B53" s="6" t="s">
        <v>9101</v>
      </c>
      <c r="C53" s="255" t="n">
        <v>128</v>
      </c>
      <c r="D53" s="253"/>
      <c r="E53" s="253"/>
      <c r="F53" s="253" t="s">
        <v>370</v>
      </c>
      <c r="G53" s="30" t="s">
        <v>9102</v>
      </c>
      <c r="H53" s="30" t="s">
        <v>8970</v>
      </c>
      <c r="I53" s="30" t="s">
        <v>809</v>
      </c>
      <c r="J53" s="6" t="s">
        <v>8662</v>
      </c>
      <c r="K53" s="253" t="n">
        <v>3</v>
      </c>
      <c r="L53" s="253" t="s">
        <v>8373</v>
      </c>
      <c r="M53" s="6" t="s">
        <v>9103</v>
      </c>
      <c r="N53" s="253" t="s">
        <v>8511</v>
      </c>
      <c r="O53" s="30" t="s">
        <v>8376</v>
      </c>
      <c r="P53" s="30" t="s">
        <v>809</v>
      </c>
      <c r="Q53" s="30" t="s">
        <v>8671</v>
      </c>
      <c r="R53" s="30" t="s">
        <v>809</v>
      </c>
      <c r="S53" s="30" t="s">
        <v>809</v>
      </c>
      <c r="T53" s="30" t="s">
        <v>809</v>
      </c>
      <c r="U53" s="30" t="s">
        <v>8664</v>
      </c>
      <c r="V53" s="6" t="s">
        <v>809</v>
      </c>
      <c r="W53" s="6" t="s">
        <v>8675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9104</v>
      </c>
      <c r="B54" s="6" t="s">
        <v>9105</v>
      </c>
      <c r="C54" s="255" t="n">
        <v>192</v>
      </c>
      <c r="D54" s="253"/>
      <c r="E54" s="253"/>
      <c r="F54" s="253" t="s">
        <v>8900</v>
      </c>
      <c r="G54" s="30" t="s">
        <v>9102</v>
      </c>
      <c r="H54" s="30" t="s">
        <v>8970</v>
      </c>
      <c r="I54" s="30" t="s">
        <v>809</v>
      </c>
      <c r="J54" s="6" t="s">
        <v>8662</v>
      </c>
      <c r="K54" s="253" t="n">
        <v>3</v>
      </c>
      <c r="L54" s="253" t="s">
        <v>8373</v>
      </c>
      <c r="M54" s="6" t="s">
        <v>9103</v>
      </c>
      <c r="N54" s="253" t="s">
        <v>8511</v>
      </c>
      <c r="O54" s="30" t="s">
        <v>8376</v>
      </c>
      <c r="P54" s="30" t="s">
        <v>809</v>
      </c>
      <c r="Q54" s="30" t="s">
        <v>8671</v>
      </c>
      <c r="R54" s="30" t="s">
        <v>809</v>
      </c>
      <c r="S54" s="30" t="s">
        <v>809</v>
      </c>
      <c r="T54" s="30" t="s">
        <v>809</v>
      </c>
      <c r="U54" s="30" t="s">
        <v>8664</v>
      </c>
      <c r="V54" s="6" t="s">
        <v>809</v>
      </c>
      <c r="W54" s="6" t="s">
        <v>8675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9106</v>
      </c>
      <c r="B55" s="6" t="s">
        <v>9107</v>
      </c>
      <c r="C55" s="255" t="n">
        <v>128</v>
      </c>
      <c r="D55" s="253"/>
      <c r="E55" s="253"/>
      <c r="F55" s="253" t="s">
        <v>8900</v>
      </c>
      <c r="G55" s="30" t="s">
        <v>9102</v>
      </c>
      <c r="H55" s="30" t="s">
        <v>8970</v>
      </c>
      <c r="I55" s="30" t="s">
        <v>809</v>
      </c>
      <c r="J55" s="6" t="s">
        <v>8662</v>
      </c>
      <c r="K55" s="253" t="n">
        <v>3</v>
      </c>
      <c r="L55" s="253" t="s">
        <v>8373</v>
      </c>
      <c r="M55" s="6" t="s">
        <v>9103</v>
      </c>
      <c r="N55" s="253" t="s">
        <v>8511</v>
      </c>
      <c r="O55" s="30" t="s">
        <v>8376</v>
      </c>
      <c r="P55" s="30" t="s">
        <v>809</v>
      </c>
      <c r="Q55" s="30" t="s">
        <v>8671</v>
      </c>
      <c r="R55" s="30" t="s">
        <v>809</v>
      </c>
      <c r="S55" s="30" t="s">
        <v>809</v>
      </c>
      <c r="T55" s="30" t="s">
        <v>809</v>
      </c>
      <c r="U55" s="30" t="s">
        <v>8664</v>
      </c>
      <c r="V55" s="6" t="s">
        <v>809</v>
      </c>
      <c r="W55" s="6" t="s">
        <v>8675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5666</v>
      </c>
      <c r="B56" s="6" t="s">
        <v>9108</v>
      </c>
      <c r="C56" s="255" t="n">
        <v>4096</v>
      </c>
      <c r="D56" s="253"/>
      <c r="E56" s="253"/>
      <c r="F56" s="253" t="s">
        <v>8900</v>
      </c>
      <c r="G56" s="30" t="s">
        <v>9109</v>
      </c>
      <c r="H56" s="30" t="s">
        <v>8910</v>
      </c>
      <c r="I56" s="30" t="s">
        <v>8383</v>
      </c>
      <c r="J56" s="6" t="s">
        <v>9110</v>
      </c>
      <c r="K56" s="253" t="n">
        <v>1</v>
      </c>
      <c r="L56" s="253" t="s">
        <v>8373</v>
      </c>
      <c r="M56" s="6" t="s">
        <v>9111</v>
      </c>
      <c r="N56" s="253" t="s">
        <v>8993</v>
      </c>
      <c r="O56" s="30" t="s">
        <v>8376</v>
      </c>
      <c r="P56" s="30" t="s">
        <v>809</v>
      </c>
      <c r="Q56" s="30" t="s">
        <v>9112</v>
      </c>
      <c r="R56" s="30" t="s">
        <v>809</v>
      </c>
      <c r="S56" s="30" t="s">
        <v>809</v>
      </c>
      <c r="T56" s="30" t="s">
        <v>809</v>
      </c>
      <c r="U56" s="30" t="s">
        <v>9113</v>
      </c>
      <c r="V56" s="6" t="s">
        <v>9114</v>
      </c>
      <c r="W56" s="20" t="s">
        <v>9115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5669</v>
      </c>
      <c r="B57" s="6" t="s">
        <v>9116</v>
      </c>
      <c r="C57" s="255" t="n">
        <v>64</v>
      </c>
      <c r="D57" s="253"/>
      <c r="E57" s="253"/>
      <c r="F57" s="253" t="s">
        <v>370</v>
      </c>
      <c r="G57" s="30" t="s">
        <v>9117</v>
      </c>
      <c r="H57" s="30" t="s">
        <v>8910</v>
      </c>
      <c r="I57" s="30" t="s">
        <v>8383</v>
      </c>
      <c r="J57" s="6" t="s">
        <v>9110</v>
      </c>
      <c r="K57" s="253" t="n">
        <v>1</v>
      </c>
      <c r="L57" s="253" t="s">
        <v>8373</v>
      </c>
      <c r="M57" s="6" t="s">
        <v>9111</v>
      </c>
      <c r="N57" s="253" t="s">
        <v>8993</v>
      </c>
      <c r="O57" s="30" t="s">
        <v>8376</v>
      </c>
      <c r="P57" s="30" t="s">
        <v>809</v>
      </c>
      <c r="Q57" s="30" t="s">
        <v>9112</v>
      </c>
      <c r="R57" s="30" t="s">
        <v>809</v>
      </c>
      <c r="S57" s="30" t="s">
        <v>809</v>
      </c>
      <c r="T57" s="30" t="s">
        <v>809</v>
      </c>
      <c r="U57" s="30" t="s">
        <v>9113</v>
      </c>
      <c r="V57" s="6" t="s">
        <v>9118</v>
      </c>
      <c r="W57" s="20" t="s">
        <v>9119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9120</v>
      </c>
      <c r="B58" s="6" t="s">
        <v>9121</v>
      </c>
      <c r="C58" s="255" t="n">
        <v>0.492</v>
      </c>
      <c r="D58" s="253"/>
      <c r="E58" s="253"/>
      <c r="F58" s="30" t="s">
        <v>127</v>
      </c>
      <c r="G58" s="30" t="s">
        <v>9122</v>
      </c>
      <c r="H58" s="30" t="s">
        <v>8918</v>
      </c>
      <c r="I58" s="30" t="s">
        <v>8383</v>
      </c>
      <c r="J58" s="6" t="s">
        <v>9123</v>
      </c>
      <c r="K58" s="253" t="n">
        <v>1</v>
      </c>
      <c r="L58" s="253" t="s">
        <v>8373</v>
      </c>
      <c r="M58" s="6" t="s">
        <v>9124</v>
      </c>
      <c r="N58" s="253" t="s">
        <v>8375</v>
      </c>
      <c r="O58" s="30" t="s">
        <v>8376</v>
      </c>
      <c r="P58" s="30" t="s">
        <v>809</v>
      </c>
      <c r="Q58" s="30" t="s">
        <v>9125</v>
      </c>
      <c r="R58" s="30" t="s">
        <v>809</v>
      </c>
      <c r="S58" s="30" t="s">
        <v>809</v>
      </c>
      <c r="T58" s="30" t="s">
        <v>809</v>
      </c>
      <c r="U58" s="30" t="s">
        <v>8692</v>
      </c>
      <c r="V58" s="6" t="s">
        <v>9126</v>
      </c>
      <c r="W58" s="6" t="s">
        <v>9127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4024</v>
      </c>
      <c r="B59" s="6" t="s">
        <v>9128</v>
      </c>
      <c r="C59" s="255" t="n">
        <v>1.0001E+027</v>
      </c>
      <c r="D59" s="255" t="n">
        <v>5E+026</v>
      </c>
      <c r="E59" s="255" t="n">
        <v>2E+027</v>
      </c>
      <c r="F59" s="30" t="s">
        <v>355</v>
      </c>
      <c r="G59" s="207" t="s">
        <v>9129</v>
      </c>
      <c r="H59" s="30" t="s">
        <v>1506</v>
      </c>
      <c r="I59" s="30" t="s">
        <v>9130</v>
      </c>
      <c r="J59" s="6" t="s">
        <v>9131</v>
      </c>
      <c r="K59" s="207" t="n">
        <v>1</v>
      </c>
      <c r="L59" s="207" t="s">
        <v>8480</v>
      </c>
      <c r="M59" s="6" t="s">
        <v>9132</v>
      </c>
      <c r="N59" s="207" t="s">
        <v>8375</v>
      </c>
      <c r="O59" s="30" t="s">
        <v>8376</v>
      </c>
      <c r="P59" s="30" t="s">
        <v>809</v>
      </c>
      <c r="Q59" s="30" t="s">
        <v>9133</v>
      </c>
      <c r="R59" s="30" t="s">
        <v>809</v>
      </c>
      <c r="S59" s="30" t="s">
        <v>809</v>
      </c>
      <c r="T59" s="30" t="s">
        <v>809</v>
      </c>
      <c r="U59" s="30" t="s">
        <v>9134</v>
      </c>
      <c r="V59" s="6" t="s">
        <v>9135</v>
      </c>
      <c r="W59" s="6" t="s">
        <v>9136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9137</v>
      </c>
      <c r="B60" s="6" t="s">
        <v>9138</v>
      </c>
      <c r="C60" s="255" t="n">
        <v>2800</v>
      </c>
      <c r="D60" s="207"/>
      <c r="E60" s="207"/>
      <c r="F60" s="30" t="s">
        <v>311</v>
      </c>
      <c r="G60" s="207" t="s">
        <v>9139</v>
      </c>
      <c r="H60" s="30" t="s">
        <v>9140</v>
      </c>
      <c r="I60" s="30" t="s">
        <v>8383</v>
      </c>
      <c r="J60" s="6" t="s">
        <v>9141</v>
      </c>
      <c r="K60" s="207" t="n">
        <v>1</v>
      </c>
      <c r="L60" s="207" t="s">
        <v>8373</v>
      </c>
      <c r="M60" s="6" t="s">
        <v>9142</v>
      </c>
      <c r="N60" s="207" t="s">
        <v>8375</v>
      </c>
      <c r="O60" s="30" t="s">
        <v>8376</v>
      </c>
      <c r="P60" s="30" t="s">
        <v>809</v>
      </c>
      <c r="Q60" s="30" t="s">
        <v>9143</v>
      </c>
      <c r="R60" s="30" t="s">
        <v>809</v>
      </c>
      <c r="S60" s="30" t="s">
        <v>809</v>
      </c>
      <c r="T60" s="30" t="s">
        <v>809</v>
      </c>
      <c r="U60" s="30" t="s">
        <v>9144</v>
      </c>
      <c r="V60" s="6" t="s">
        <v>809</v>
      </c>
      <c r="W60" s="6" t="s">
        <v>9145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9146</v>
      </c>
      <c r="B61" s="6" t="s">
        <v>9147</v>
      </c>
      <c r="C61" s="255" t="n">
        <v>104</v>
      </c>
      <c r="D61" s="207"/>
      <c r="E61" s="207"/>
      <c r="F61" s="30" t="s">
        <v>311</v>
      </c>
      <c r="G61" s="207" t="s">
        <v>9139</v>
      </c>
      <c r="H61" s="30" t="s">
        <v>9140</v>
      </c>
      <c r="I61" s="30" t="s">
        <v>8383</v>
      </c>
      <c r="J61" s="6" t="s">
        <v>9141</v>
      </c>
      <c r="K61" s="207" t="n">
        <v>1</v>
      </c>
      <c r="L61" s="207" t="s">
        <v>8373</v>
      </c>
      <c r="M61" s="6" t="s">
        <v>9142</v>
      </c>
      <c r="N61" s="207" t="s">
        <v>8375</v>
      </c>
      <c r="O61" s="30" t="s">
        <v>8376</v>
      </c>
      <c r="P61" s="30" t="s">
        <v>809</v>
      </c>
      <c r="Q61" s="30" t="s">
        <v>9143</v>
      </c>
      <c r="R61" s="30" t="s">
        <v>809</v>
      </c>
      <c r="S61" s="30" t="s">
        <v>809</v>
      </c>
      <c r="T61" s="30" t="s">
        <v>809</v>
      </c>
      <c r="U61" s="30" t="s">
        <v>9144</v>
      </c>
      <c r="V61" s="6" t="s">
        <v>809</v>
      </c>
      <c r="W61" s="6" t="s">
        <v>9148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9149</v>
      </c>
      <c r="B62" s="6" t="s">
        <v>9150</v>
      </c>
      <c r="C62" s="255" t="n">
        <v>93</v>
      </c>
      <c r="D62" s="207"/>
      <c r="E62" s="207"/>
      <c r="F62" s="207" t="s">
        <v>316</v>
      </c>
      <c r="G62" s="30" t="s">
        <v>9151</v>
      </c>
      <c r="H62" s="30" t="s">
        <v>9140</v>
      </c>
      <c r="I62" s="30" t="s">
        <v>8383</v>
      </c>
      <c r="J62" s="6" t="s">
        <v>9141</v>
      </c>
      <c r="K62" s="207" t="n">
        <v>1</v>
      </c>
      <c r="L62" s="207" t="s">
        <v>8373</v>
      </c>
      <c r="M62" s="6" t="s">
        <v>9142</v>
      </c>
      <c r="N62" s="207" t="s">
        <v>8375</v>
      </c>
      <c r="O62" s="30" t="s">
        <v>8376</v>
      </c>
      <c r="P62" s="30" t="s">
        <v>809</v>
      </c>
      <c r="Q62" s="30" t="s">
        <v>9143</v>
      </c>
      <c r="R62" s="30" t="s">
        <v>809</v>
      </c>
      <c r="S62" s="30" t="s">
        <v>809</v>
      </c>
      <c r="T62" s="30" t="s">
        <v>809</v>
      </c>
      <c r="U62" s="30" t="s">
        <v>9144</v>
      </c>
      <c r="V62" s="6" t="s">
        <v>809</v>
      </c>
      <c r="W62" s="6" t="s">
        <v>9152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9153</v>
      </c>
      <c r="B63" s="6" t="s">
        <v>9154</v>
      </c>
      <c r="C63" s="255" t="n">
        <v>7168</v>
      </c>
      <c r="D63" s="207"/>
      <c r="E63" s="207"/>
      <c r="F63" s="207" t="s">
        <v>8900</v>
      </c>
      <c r="G63" s="30" t="s">
        <v>9155</v>
      </c>
      <c r="H63" s="30" t="s">
        <v>9140</v>
      </c>
      <c r="I63" s="30" t="s">
        <v>8383</v>
      </c>
      <c r="J63" s="6" t="s">
        <v>9141</v>
      </c>
      <c r="K63" s="207" t="n">
        <v>1</v>
      </c>
      <c r="L63" s="207" t="s">
        <v>8373</v>
      </c>
      <c r="M63" s="6" t="s">
        <v>9142</v>
      </c>
      <c r="N63" s="207" t="s">
        <v>8375</v>
      </c>
      <c r="O63" s="30" t="s">
        <v>8376</v>
      </c>
      <c r="P63" s="30" t="s">
        <v>809</v>
      </c>
      <c r="Q63" s="30" t="s">
        <v>9143</v>
      </c>
      <c r="R63" s="30" t="s">
        <v>809</v>
      </c>
      <c r="S63" s="30" t="s">
        <v>809</v>
      </c>
      <c r="T63" s="30" t="s">
        <v>809</v>
      </c>
      <c r="U63" s="30" t="s">
        <v>9144</v>
      </c>
      <c r="V63" s="6" t="s">
        <v>809</v>
      </c>
      <c r="W63" s="6" t="s">
        <v>9156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9157</v>
      </c>
      <c r="B64" s="6" t="s">
        <v>9158</v>
      </c>
      <c r="C64" s="255" t="n">
        <v>896</v>
      </c>
      <c r="D64" s="207"/>
      <c r="E64" s="207"/>
      <c r="F64" s="207" t="s">
        <v>370</v>
      </c>
      <c r="G64" s="30" t="s">
        <v>9159</v>
      </c>
      <c r="H64" s="30" t="s">
        <v>9140</v>
      </c>
      <c r="I64" s="30" t="s">
        <v>8383</v>
      </c>
      <c r="J64" s="6" t="s">
        <v>9141</v>
      </c>
      <c r="K64" s="207" t="n">
        <v>1</v>
      </c>
      <c r="L64" s="207" t="s">
        <v>8373</v>
      </c>
      <c r="M64" s="6" t="s">
        <v>9142</v>
      </c>
      <c r="N64" s="207" t="s">
        <v>8375</v>
      </c>
      <c r="O64" s="30" t="s">
        <v>8376</v>
      </c>
      <c r="P64" s="30" t="s">
        <v>809</v>
      </c>
      <c r="Q64" s="30" t="s">
        <v>9143</v>
      </c>
      <c r="R64" s="30" t="s">
        <v>809</v>
      </c>
      <c r="S64" s="30" t="s">
        <v>809</v>
      </c>
      <c r="T64" s="30" t="s">
        <v>809</v>
      </c>
      <c r="U64" s="30" t="s">
        <v>9144</v>
      </c>
      <c r="V64" s="6" t="s">
        <v>809</v>
      </c>
      <c r="W64" s="6" t="s">
        <v>9160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9161</v>
      </c>
      <c r="B65" s="6" t="s">
        <v>9162</v>
      </c>
      <c r="C65" s="255" t="n">
        <v>16</v>
      </c>
      <c r="D65" s="207"/>
      <c r="E65" s="207"/>
      <c r="F65" s="207" t="s">
        <v>370</v>
      </c>
      <c r="G65" s="30" t="s">
        <v>9163</v>
      </c>
      <c r="H65" s="30" t="s">
        <v>9140</v>
      </c>
      <c r="I65" s="30" t="s">
        <v>8383</v>
      </c>
      <c r="J65" s="6" t="s">
        <v>9141</v>
      </c>
      <c r="K65" s="207" t="n">
        <v>1</v>
      </c>
      <c r="L65" s="207" t="s">
        <v>8373</v>
      </c>
      <c r="M65" s="6" t="s">
        <v>9142</v>
      </c>
      <c r="N65" s="207" t="s">
        <v>8375</v>
      </c>
      <c r="O65" s="30" t="s">
        <v>8376</v>
      </c>
      <c r="P65" s="30" t="s">
        <v>809</v>
      </c>
      <c r="Q65" s="30" t="s">
        <v>9143</v>
      </c>
      <c r="R65" s="30" t="s">
        <v>809</v>
      </c>
      <c r="S65" s="30" t="s">
        <v>809</v>
      </c>
      <c r="T65" s="30" t="s">
        <v>809</v>
      </c>
      <c r="U65" s="30" t="s">
        <v>9144</v>
      </c>
      <c r="V65" s="6" t="s">
        <v>809</v>
      </c>
      <c r="W65" s="6" t="s">
        <v>9164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9165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A4" s="252" t="s">
        <v>9166</v>
      </c>
      <c r="AB4" s="252" t="s">
        <v>497</v>
      </c>
      <c r="AC4" s="85" t="s">
        <v>506</v>
      </c>
      <c r="AD4" s="85" t="s">
        <v>508</v>
      </c>
      <c r="AE4" s="252" t="s">
        <v>9167</v>
      </c>
      <c r="AF4" s="85" t="s">
        <v>9168</v>
      </c>
      <c r="AG4" s="85" t="s">
        <v>9169</v>
      </c>
      <c r="AH4" s="84" t="s">
        <v>8366</v>
      </c>
    </row>
    <row r="5" customFormat="false" ht="29.25" hidden="false" customHeight="true" outlineLevel="0" collapsed="false">
      <c r="A5" s="30" t="s">
        <v>5910</v>
      </c>
      <c r="B5" s="6" t="s">
        <v>9170</v>
      </c>
      <c r="C5" s="255" t="n">
        <v>6182</v>
      </c>
      <c r="D5" s="253"/>
      <c r="E5" s="253"/>
      <c r="F5" s="30" t="s">
        <v>9171</v>
      </c>
      <c r="G5" s="30" t="s">
        <v>9172</v>
      </c>
      <c r="H5" s="30" t="s">
        <v>203</v>
      </c>
      <c r="I5" s="30" t="s">
        <v>9173</v>
      </c>
      <c r="J5" s="6" t="s">
        <v>9174</v>
      </c>
      <c r="K5" s="253" t="n">
        <v>1</v>
      </c>
      <c r="L5" s="253" t="s">
        <v>8373</v>
      </c>
      <c r="M5" s="6" t="s">
        <v>9175</v>
      </c>
      <c r="N5" s="253" t="s">
        <v>8993</v>
      </c>
      <c r="O5" s="30" t="s">
        <v>8376</v>
      </c>
      <c r="P5" s="30" t="s">
        <v>809</v>
      </c>
      <c r="Q5" s="30" t="s">
        <v>9176</v>
      </c>
      <c r="R5" s="30" t="s">
        <v>809</v>
      </c>
      <c r="S5" s="30" t="s">
        <v>809</v>
      </c>
      <c r="T5" s="30" t="s">
        <v>809</v>
      </c>
      <c r="U5" s="30" t="s">
        <v>515</v>
      </c>
      <c r="V5" s="6" t="s">
        <v>9177</v>
      </c>
      <c r="W5" s="20" t="s">
        <v>9178</v>
      </c>
      <c r="X5" s="32" t="n">
        <f aca="false">IF($O5="Active",SUMPRODUCT(($AH$5:$AH$137=$AH5)*1),0)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9179</v>
      </c>
      <c r="AB5" s="30" t="s">
        <v>9180</v>
      </c>
      <c r="AC5" s="255" t="n">
        <v>8192</v>
      </c>
      <c r="AD5" s="255" t="n">
        <v>1024</v>
      </c>
      <c r="AE5" s="255" t="n">
        <v>27</v>
      </c>
      <c r="AF5" s="255" t="n">
        <v>0</v>
      </c>
      <c r="AG5" s="253" t="s">
        <v>9181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5916</v>
      </c>
      <c r="B6" s="6" t="s">
        <v>9182</v>
      </c>
      <c r="C6" s="255" t="n">
        <v>2189</v>
      </c>
      <c r="D6" s="253"/>
      <c r="E6" s="253"/>
      <c r="F6" s="30" t="s">
        <v>9171</v>
      </c>
      <c r="G6" s="30" t="s">
        <v>9172</v>
      </c>
      <c r="H6" s="30" t="s">
        <v>202</v>
      </c>
      <c r="I6" s="30" t="s">
        <v>9173</v>
      </c>
      <c r="J6" s="6" t="s">
        <v>9174</v>
      </c>
      <c r="K6" s="253" t="n">
        <v>1</v>
      </c>
      <c r="L6" s="253" t="s">
        <v>8373</v>
      </c>
      <c r="M6" s="6" t="s">
        <v>9175</v>
      </c>
      <c r="N6" s="253" t="s">
        <v>8993</v>
      </c>
      <c r="O6" s="30" t="s">
        <v>8376</v>
      </c>
      <c r="P6" s="30" t="s">
        <v>809</v>
      </c>
      <c r="Q6" s="30" t="s">
        <v>9176</v>
      </c>
      <c r="R6" s="30" t="s">
        <v>809</v>
      </c>
      <c r="S6" s="30" t="s">
        <v>809</v>
      </c>
      <c r="T6" s="30" t="s">
        <v>809</v>
      </c>
      <c r="U6" s="30" t="s">
        <v>515</v>
      </c>
      <c r="V6" s="6" t="s">
        <v>9183</v>
      </c>
      <c r="W6" s="20" t="s">
        <v>9184</v>
      </c>
      <c r="X6" s="32" t="n">
        <f aca="false">IF($O6="Active",SUMPRODUCT(($AH$5:$AH$137=$AH6)*1),0)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9179</v>
      </c>
      <c r="AB6" s="30" t="s">
        <v>9180</v>
      </c>
      <c r="AC6" s="255" t="n">
        <v>8192</v>
      </c>
      <c r="AD6" s="255" t="n">
        <v>1024</v>
      </c>
      <c r="AE6" s="255" t="n">
        <v>27</v>
      </c>
      <c r="AF6" s="255" t="n">
        <v>0</v>
      </c>
      <c r="AG6" s="253" t="s">
        <v>9181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9185</v>
      </c>
      <c r="B7" s="6" t="s">
        <v>9186</v>
      </c>
      <c r="C7" s="255" t="n">
        <v>11056</v>
      </c>
      <c r="D7" s="253"/>
      <c r="E7" s="253"/>
      <c r="F7" s="30" t="s">
        <v>683</v>
      </c>
      <c r="G7" s="30" t="s">
        <v>809</v>
      </c>
      <c r="H7" s="30" t="s">
        <v>203</v>
      </c>
      <c r="I7" s="30" t="s">
        <v>9173</v>
      </c>
      <c r="J7" s="6" t="s">
        <v>9174</v>
      </c>
      <c r="K7" s="253" t="n">
        <v>1</v>
      </c>
      <c r="L7" s="253" t="s">
        <v>8373</v>
      </c>
      <c r="M7" s="6" t="s">
        <v>9175</v>
      </c>
      <c r="N7" s="253" t="s">
        <v>8993</v>
      </c>
      <c r="O7" s="30" t="s">
        <v>8376</v>
      </c>
      <c r="P7" s="30" t="s">
        <v>809</v>
      </c>
      <c r="Q7" s="30" t="s">
        <v>9176</v>
      </c>
      <c r="R7" s="30" t="s">
        <v>809</v>
      </c>
      <c r="S7" s="30" t="s">
        <v>809</v>
      </c>
      <c r="T7" s="30" t="s">
        <v>809</v>
      </c>
      <c r="U7" s="30" t="s">
        <v>515</v>
      </c>
      <c r="V7" s="6" t="s">
        <v>809</v>
      </c>
      <c r="W7" s="6" t="s">
        <v>809</v>
      </c>
      <c r="X7" s="32" t="n">
        <f aca="false">IF($O7="Active",SUMPRODUCT(($AH$5:$AH$137=$AH7)*1),0)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5904</v>
      </c>
      <c r="B8" s="6" t="s">
        <v>9187</v>
      </c>
      <c r="C8" s="255" t="n">
        <v>11200</v>
      </c>
      <c r="D8" s="253"/>
      <c r="E8" s="253"/>
      <c r="F8" s="30" t="s">
        <v>9171</v>
      </c>
      <c r="G8" s="30" t="s">
        <v>9172</v>
      </c>
      <c r="H8" s="30" t="s">
        <v>203</v>
      </c>
      <c r="I8" s="30" t="s">
        <v>9188</v>
      </c>
      <c r="J8" s="6" t="s">
        <v>9189</v>
      </c>
      <c r="K8" s="253" t="n">
        <v>1</v>
      </c>
      <c r="L8" s="253" t="s">
        <v>8373</v>
      </c>
      <c r="M8" s="6" t="s">
        <v>9190</v>
      </c>
      <c r="N8" s="253" t="s">
        <v>8993</v>
      </c>
      <c r="O8" s="30" t="s">
        <v>8376</v>
      </c>
      <c r="P8" s="30" t="s">
        <v>809</v>
      </c>
      <c r="Q8" s="30" t="s">
        <v>9191</v>
      </c>
      <c r="R8" s="30" t="s">
        <v>809</v>
      </c>
      <c r="S8" s="30" t="s">
        <v>809</v>
      </c>
      <c r="T8" s="30" t="s">
        <v>809</v>
      </c>
      <c r="U8" s="30" t="s">
        <v>514</v>
      </c>
      <c r="V8" s="6" t="s">
        <v>9192</v>
      </c>
      <c r="W8" s="6" t="s">
        <v>809</v>
      </c>
      <c r="X8" s="32" t="n">
        <f aca="false">IF($O8="Active",SUMPRODUCT(($AH$5:$AH$137=$AH8)*1),0)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9179</v>
      </c>
      <c r="AB8" s="30" t="s">
        <v>9193</v>
      </c>
      <c r="AC8" s="255" t="n">
        <v>8192</v>
      </c>
      <c r="AD8" s="255" t="n">
        <v>1024</v>
      </c>
      <c r="AE8" s="255" t="n">
        <v>50</v>
      </c>
      <c r="AF8" s="255" t="n">
        <v>1</v>
      </c>
      <c r="AG8" s="253" t="s">
        <v>9181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5727</v>
      </c>
      <c r="B9" s="6" t="s">
        <v>9194</v>
      </c>
      <c r="C9" s="255" t="n">
        <v>0.7</v>
      </c>
      <c r="D9" s="253"/>
      <c r="E9" s="253"/>
      <c r="F9" s="30" t="s">
        <v>127</v>
      </c>
      <c r="G9" s="30" t="s">
        <v>9195</v>
      </c>
      <c r="H9" s="30" t="s">
        <v>8924</v>
      </c>
      <c r="I9" s="30" t="s">
        <v>9188</v>
      </c>
      <c r="J9" s="6" t="s">
        <v>9189</v>
      </c>
      <c r="K9" s="253" t="n">
        <v>1</v>
      </c>
      <c r="L9" s="253" t="s">
        <v>8373</v>
      </c>
      <c r="M9" s="6" t="s">
        <v>9190</v>
      </c>
      <c r="N9" s="253" t="s">
        <v>8993</v>
      </c>
      <c r="O9" s="30" t="s">
        <v>8376</v>
      </c>
      <c r="P9" s="30" t="s">
        <v>809</v>
      </c>
      <c r="Q9" s="30" t="s">
        <v>9191</v>
      </c>
      <c r="R9" s="30" t="s">
        <v>809</v>
      </c>
      <c r="S9" s="30" t="s">
        <v>809</v>
      </c>
      <c r="T9" s="30" t="s">
        <v>809</v>
      </c>
      <c r="U9" s="30" t="s">
        <v>514</v>
      </c>
      <c r="V9" s="6" t="s">
        <v>9196</v>
      </c>
      <c r="W9" s="20" t="s">
        <v>9197</v>
      </c>
      <c r="X9" s="32" t="n">
        <f aca="false">IF($O9="Active",SUMPRODUCT(($AH$5:$AH$137=$AH9)*1),0)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9198</v>
      </c>
      <c r="B10" s="6" t="s">
        <v>9199</v>
      </c>
      <c r="C10" s="255" t="n">
        <v>0.57</v>
      </c>
      <c r="D10" s="253"/>
      <c r="E10" s="253"/>
      <c r="F10" s="30" t="s">
        <v>127</v>
      </c>
      <c r="G10" s="30" t="s">
        <v>9200</v>
      </c>
      <c r="H10" s="30" t="s">
        <v>8924</v>
      </c>
      <c r="I10" s="30" t="s">
        <v>9188</v>
      </c>
      <c r="J10" s="6" t="s">
        <v>9189</v>
      </c>
      <c r="K10" s="253" t="n">
        <v>1</v>
      </c>
      <c r="L10" s="253" t="s">
        <v>8373</v>
      </c>
      <c r="M10" s="6" t="s">
        <v>9190</v>
      </c>
      <c r="N10" s="253" t="s">
        <v>8993</v>
      </c>
      <c r="O10" s="30" t="s">
        <v>8463</v>
      </c>
      <c r="P10" s="30" t="s">
        <v>809</v>
      </c>
      <c r="Q10" s="30" t="s">
        <v>9191</v>
      </c>
      <c r="R10" s="30" t="s">
        <v>809</v>
      </c>
      <c r="S10" s="30" t="s">
        <v>809</v>
      </c>
      <c r="T10" s="30" t="s">
        <v>809</v>
      </c>
      <c r="U10" s="30" t="s">
        <v>514</v>
      </c>
      <c r="V10" s="6" t="s">
        <v>809</v>
      </c>
      <c r="W10" s="20" t="s">
        <v>9201</v>
      </c>
      <c r="X10" s="32" t="n">
        <f aca="false">IF($O10="Active",SUMPRODUCT(($AH$5:$AH$137=$AH10)*1),0)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5555</v>
      </c>
      <c r="B11" s="6" t="s">
        <v>9202</v>
      </c>
      <c r="C11" s="255" t="n">
        <v>4</v>
      </c>
      <c r="D11" s="253"/>
      <c r="E11" s="253"/>
      <c r="F11" s="30" t="s">
        <v>725</v>
      </c>
      <c r="G11" s="30" t="s">
        <v>9203</v>
      </c>
      <c r="H11" s="30" t="s">
        <v>203</v>
      </c>
      <c r="I11" s="30" t="s">
        <v>9188</v>
      </c>
      <c r="J11" s="6" t="s">
        <v>9189</v>
      </c>
      <c r="K11" s="253" t="n">
        <v>1</v>
      </c>
      <c r="L11" s="253" t="s">
        <v>8373</v>
      </c>
      <c r="M11" s="6" t="s">
        <v>9190</v>
      </c>
      <c r="N11" s="253" t="s">
        <v>8993</v>
      </c>
      <c r="O11" s="30" t="s">
        <v>8376</v>
      </c>
      <c r="P11" s="30" t="s">
        <v>809</v>
      </c>
      <c r="Q11" s="30" t="s">
        <v>9191</v>
      </c>
      <c r="R11" s="30" t="s">
        <v>809</v>
      </c>
      <c r="S11" s="30" t="s">
        <v>809</v>
      </c>
      <c r="T11" s="30" t="s">
        <v>809</v>
      </c>
      <c r="U11" s="30" t="s">
        <v>514</v>
      </c>
      <c r="V11" s="6" t="s">
        <v>9204</v>
      </c>
      <c r="W11" s="6" t="s">
        <v>9205</v>
      </c>
      <c r="X11" s="32" t="n">
        <f aca="false">IF($O11="Active",SUMPRODUCT(($AH$5:$AH$137=$AH11)*1),0)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5524</v>
      </c>
      <c r="B12" s="6" t="s">
        <v>9206</v>
      </c>
      <c r="C12" s="255" t="n">
        <v>32</v>
      </c>
      <c r="D12" s="253"/>
      <c r="E12" s="253"/>
      <c r="F12" s="30" t="s">
        <v>725</v>
      </c>
      <c r="G12" s="30" t="s">
        <v>9207</v>
      </c>
      <c r="H12" s="30" t="s">
        <v>203</v>
      </c>
      <c r="I12" s="30" t="s">
        <v>9188</v>
      </c>
      <c r="J12" s="6" t="s">
        <v>9189</v>
      </c>
      <c r="K12" s="253" t="n">
        <v>1</v>
      </c>
      <c r="L12" s="253" t="s">
        <v>8373</v>
      </c>
      <c r="M12" s="6" t="s">
        <v>9190</v>
      </c>
      <c r="N12" s="253" t="s">
        <v>8993</v>
      </c>
      <c r="O12" s="30" t="s">
        <v>8376</v>
      </c>
      <c r="P12" s="30" t="s">
        <v>809</v>
      </c>
      <c r="Q12" s="30" t="s">
        <v>9191</v>
      </c>
      <c r="R12" s="30" t="s">
        <v>809</v>
      </c>
      <c r="S12" s="30" t="s">
        <v>809</v>
      </c>
      <c r="T12" s="30" t="s">
        <v>809</v>
      </c>
      <c r="U12" s="30" t="s">
        <v>514</v>
      </c>
      <c r="V12" s="6" t="s">
        <v>9208</v>
      </c>
      <c r="W12" s="6" t="s">
        <v>9205</v>
      </c>
      <c r="X12" s="32" t="n">
        <f aca="false">IF($O12="Active",SUMPRODUCT(($AH$5:$AH$137=$AH12)*1),0)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5887</v>
      </c>
      <c r="B13" s="6" t="s">
        <v>9209</v>
      </c>
      <c r="C13" s="255" t="n">
        <v>9342.1</v>
      </c>
      <c r="D13" s="253"/>
      <c r="E13" s="253"/>
      <c r="F13" s="30" t="s">
        <v>9171</v>
      </c>
      <c r="G13" s="30" t="s">
        <v>9210</v>
      </c>
      <c r="H13" s="30" t="s">
        <v>203</v>
      </c>
      <c r="I13" s="253" t="s">
        <v>9211</v>
      </c>
      <c r="J13" s="6" t="s">
        <v>9212</v>
      </c>
      <c r="K13" s="253" t="n">
        <v>2</v>
      </c>
      <c r="L13" s="253" t="s">
        <v>8373</v>
      </c>
      <c r="M13" s="6" t="s">
        <v>9213</v>
      </c>
      <c r="N13" s="253" t="s">
        <v>8375</v>
      </c>
      <c r="O13" s="30" t="s">
        <v>8376</v>
      </c>
      <c r="P13" s="30" t="s">
        <v>809</v>
      </c>
      <c r="Q13" s="30" t="s">
        <v>9214</v>
      </c>
      <c r="R13" s="30" t="s">
        <v>809</v>
      </c>
      <c r="S13" s="30" t="s">
        <v>7466</v>
      </c>
      <c r="T13" s="30" t="s">
        <v>809</v>
      </c>
      <c r="U13" s="30" t="s">
        <v>513</v>
      </c>
      <c r="V13" s="6" t="s">
        <v>9215</v>
      </c>
      <c r="W13" s="20" t="s">
        <v>9216</v>
      </c>
      <c r="X13" s="32" t="n">
        <f aca="false">IF($O13="Active",SUMPRODUCT(($AH$5:$AH$137=$AH13)*1),0)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9179</v>
      </c>
      <c r="AB13" s="30" t="s">
        <v>9217</v>
      </c>
      <c r="AC13" s="255" t="n">
        <v>8192</v>
      </c>
      <c r="AD13" s="255" t="n">
        <v>1024</v>
      </c>
      <c r="AE13" s="255" t="n">
        <v>72</v>
      </c>
      <c r="AF13" s="255" t="n">
        <v>1</v>
      </c>
      <c r="AG13" s="253" t="s">
        <v>9181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5896</v>
      </c>
      <c r="B14" s="6" t="s">
        <v>9218</v>
      </c>
      <c r="C14" s="255" t="n">
        <v>3405.2</v>
      </c>
      <c r="D14" s="253"/>
      <c r="E14" s="253"/>
      <c r="F14" s="30" t="s">
        <v>9171</v>
      </c>
      <c r="G14" s="30" t="s">
        <v>9210</v>
      </c>
      <c r="H14" s="30" t="s">
        <v>203</v>
      </c>
      <c r="I14" s="253" t="s">
        <v>9211</v>
      </c>
      <c r="J14" s="6" t="s">
        <v>9212</v>
      </c>
      <c r="K14" s="253" t="n">
        <v>2</v>
      </c>
      <c r="L14" s="253" t="s">
        <v>8373</v>
      </c>
      <c r="M14" s="6" t="s">
        <v>9213</v>
      </c>
      <c r="N14" s="253" t="s">
        <v>8375</v>
      </c>
      <c r="O14" s="30" t="s">
        <v>8376</v>
      </c>
      <c r="P14" s="30" t="s">
        <v>809</v>
      </c>
      <c r="Q14" s="30" t="s">
        <v>9219</v>
      </c>
      <c r="R14" s="30" t="s">
        <v>809</v>
      </c>
      <c r="S14" s="30" t="s">
        <v>7466</v>
      </c>
      <c r="T14" s="30" t="s">
        <v>809</v>
      </c>
      <c r="U14" s="30" t="s">
        <v>513</v>
      </c>
      <c r="V14" s="6" t="s">
        <v>9220</v>
      </c>
      <c r="W14" s="20" t="s">
        <v>9221</v>
      </c>
      <c r="X14" s="32" t="n">
        <f aca="false">IF($O14="Active",SUMPRODUCT(($AH$5:$AH$137=$AH14)*1),0)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9179</v>
      </c>
      <c r="AB14" s="30" t="s">
        <v>9217</v>
      </c>
      <c r="AC14" s="255" t="n">
        <v>8192</v>
      </c>
      <c r="AD14" s="255" t="n">
        <v>1024</v>
      </c>
      <c r="AE14" s="255" t="n">
        <v>130</v>
      </c>
      <c r="AF14" s="255" t="n">
        <v>1</v>
      </c>
      <c r="AG14" s="253" t="s">
        <v>9181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3936</v>
      </c>
      <c r="B15" s="6" t="s">
        <v>9222</v>
      </c>
      <c r="C15" s="255" t="n">
        <v>0.078</v>
      </c>
      <c r="D15" s="253"/>
      <c r="E15" s="253"/>
      <c r="F15" s="30" t="s">
        <v>9223</v>
      </c>
      <c r="G15" s="30" t="s">
        <v>9224</v>
      </c>
      <c r="H15" s="30" t="s">
        <v>203</v>
      </c>
      <c r="I15" s="253" t="s">
        <v>9211</v>
      </c>
      <c r="J15" s="6" t="s">
        <v>9212</v>
      </c>
      <c r="K15" s="253" t="n">
        <v>3</v>
      </c>
      <c r="L15" s="253" t="s">
        <v>8373</v>
      </c>
      <c r="M15" s="6" t="s">
        <v>9213</v>
      </c>
      <c r="N15" s="253" t="s">
        <v>9225</v>
      </c>
      <c r="O15" s="30" t="s">
        <v>8376</v>
      </c>
      <c r="P15" s="30" t="s">
        <v>809</v>
      </c>
      <c r="Q15" s="30" t="s">
        <v>9226</v>
      </c>
      <c r="R15" s="30" t="s">
        <v>809</v>
      </c>
      <c r="S15" s="30" t="s">
        <v>809</v>
      </c>
      <c r="T15" s="30" t="s">
        <v>809</v>
      </c>
      <c r="U15" s="30" t="s">
        <v>513</v>
      </c>
      <c r="V15" s="6" t="s">
        <v>9227</v>
      </c>
      <c r="W15" s="6" t="s">
        <v>809</v>
      </c>
      <c r="X15" s="32" t="n">
        <f aca="false">IF($O15="Active",SUMPRODUCT(($AH$5:$AH$137=$AH15)*1),0)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9228</v>
      </c>
      <c r="B16" s="6" t="s">
        <v>9229</v>
      </c>
      <c r="C16" s="255" t="n">
        <v>0.216</v>
      </c>
      <c r="D16" s="253"/>
      <c r="E16" s="253"/>
      <c r="F16" s="30" t="s">
        <v>9223</v>
      </c>
      <c r="G16" s="30" t="s">
        <v>9224</v>
      </c>
      <c r="H16" s="30" t="s">
        <v>203</v>
      </c>
      <c r="I16" s="253" t="s">
        <v>9211</v>
      </c>
      <c r="J16" s="6" t="s">
        <v>9212</v>
      </c>
      <c r="K16" s="253" t="n">
        <v>3</v>
      </c>
      <c r="L16" s="253" t="s">
        <v>8373</v>
      </c>
      <c r="M16" s="6" t="s">
        <v>9213</v>
      </c>
      <c r="N16" s="253" t="s">
        <v>9225</v>
      </c>
      <c r="O16" s="30" t="s">
        <v>8376</v>
      </c>
      <c r="P16" s="30" t="s">
        <v>809</v>
      </c>
      <c r="Q16" s="30" t="s">
        <v>9226</v>
      </c>
      <c r="R16" s="30" t="s">
        <v>809</v>
      </c>
      <c r="S16" s="30" t="s">
        <v>809</v>
      </c>
      <c r="T16" s="30" t="s">
        <v>809</v>
      </c>
      <c r="U16" s="30" t="s">
        <v>513</v>
      </c>
      <c r="V16" s="6" t="s">
        <v>809</v>
      </c>
      <c r="W16" s="6" t="s">
        <v>809</v>
      </c>
      <c r="X16" s="32" t="n">
        <f aca="false">IF($O16="Active",SUMPRODUCT(($AH$5:$AH$137=$AH16)*1),0)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9230</v>
      </c>
      <c r="B17" s="6" t="s">
        <v>9231</v>
      </c>
      <c r="C17" s="255" t="n">
        <v>1.436</v>
      </c>
      <c r="D17" s="253"/>
      <c r="E17" s="253"/>
      <c r="F17" s="30" t="s">
        <v>9223</v>
      </c>
      <c r="G17" s="30" t="s">
        <v>9224</v>
      </c>
      <c r="H17" s="30" t="s">
        <v>203</v>
      </c>
      <c r="I17" s="253" t="s">
        <v>9211</v>
      </c>
      <c r="J17" s="6" t="s">
        <v>9212</v>
      </c>
      <c r="K17" s="253" t="n">
        <v>3</v>
      </c>
      <c r="L17" s="253" t="s">
        <v>8373</v>
      </c>
      <c r="M17" s="6" t="s">
        <v>9213</v>
      </c>
      <c r="N17" s="253" t="s">
        <v>9225</v>
      </c>
      <c r="O17" s="30" t="s">
        <v>8376</v>
      </c>
      <c r="P17" s="30" t="s">
        <v>809</v>
      </c>
      <c r="Q17" s="30" t="s">
        <v>9226</v>
      </c>
      <c r="R17" s="30" t="s">
        <v>809</v>
      </c>
      <c r="S17" s="30" t="s">
        <v>809</v>
      </c>
      <c r="T17" s="30" t="s">
        <v>809</v>
      </c>
      <c r="U17" s="30" t="s">
        <v>513</v>
      </c>
      <c r="V17" s="6" t="s">
        <v>809</v>
      </c>
      <c r="W17" s="6" t="s">
        <v>809</v>
      </c>
      <c r="X17" s="32" t="n">
        <f aca="false">IF($O17="Active",SUMPRODUCT(($AH$5:$AH$137=$AH17)*1),0)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5923</v>
      </c>
      <c r="B18" s="6" t="s">
        <v>9232</v>
      </c>
      <c r="C18" s="255" t="n">
        <v>3795.5</v>
      </c>
      <c r="D18" s="253"/>
      <c r="E18" s="253"/>
      <c r="F18" s="30" t="s">
        <v>683</v>
      </c>
      <c r="G18" s="253" t="s">
        <v>9233</v>
      </c>
      <c r="H18" s="30" t="s">
        <v>202</v>
      </c>
      <c r="I18" s="30" t="s">
        <v>9234</v>
      </c>
      <c r="J18" s="6" t="s">
        <v>9235</v>
      </c>
      <c r="K18" s="253" t="n">
        <v>1</v>
      </c>
      <c r="L18" s="253" t="s">
        <v>8373</v>
      </c>
      <c r="M18" s="6" t="s">
        <v>9236</v>
      </c>
      <c r="N18" s="253" t="s">
        <v>8993</v>
      </c>
      <c r="O18" s="30" t="s">
        <v>8376</v>
      </c>
      <c r="P18" s="30" t="s">
        <v>809</v>
      </c>
      <c r="Q18" s="30" t="s">
        <v>9237</v>
      </c>
      <c r="R18" s="30" t="s">
        <v>809</v>
      </c>
      <c r="S18" s="30" t="s">
        <v>809</v>
      </c>
      <c r="T18" s="30" t="s">
        <v>809</v>
      </c>
      <c r="U18" s="30" t="s">
        <v>516</v>
      </c>
      <c r="V18" s="6" t="s">
        <v>9238</v>
      </c>
      <c r="W18" s="20" t="s">
        <v>4834</v>
      </c>
      <c r="X18" s="32" t="n">
        <f aca="false">IF($O18="Active",SUMPRODUCT(($AH$5:$AH$137=$AH18)*1),0)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9179</v>
      </c>
      <c r="AB18" s="30" t="s">
        <v>9239</v>
      </c>
      <c r="AC18" s="255" t="n">
        <v>8192</v>
      </c>
      <c r="AD18" s="255" t="n">
        <v>1024</v>
      </c>
      <c r="AE18" s="255" t="n">
        <v>110</v>
      </c>
      <c r="AF18" s="255" t="n">
        <v>1</v>
      </c>
      <c r="AG18" s="253" t="s">
        <v>9181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5931</v>
      </c>
      <c r="B19" s="6" t="s">
        <v>9240</v>
      </c>
      <c r="C19" s="255" t="n">
        <v>6522.4</v>
      </c>
      <c r="D19" s="253"/>
      <c r="E19" s="253"/>
      <c r="F19" s="30" t="s">
        <v>683</v>
      </c>
      <c r="G19" s="253" t="s">
        <v>154</v>
      </c>
      <c r="H19" s="30" t="s">
        <v>203</v>
      </c>
      <c r="I19" s="30" t="s">
        <v>9234</v>
      </c>
      <c r="J19" s="6" t="s">
        <v>9235</v>
      </c>
      <c r="K19" s="253" t="n">
        <v>1</v>
      </c>
      <c r="L19" s="253" t="s">
        <v>8373</v>
      </c>
      <c r="M19" s="6" t="s">
        <v>9236</v>
      </c>
      <c r="N19" s="253" t="s">
        <v>8993</v>
      </c>
      <c r="O19" s="30" t="s">
        <v>8376</v>
      </c>
      <c r="P19" s="30" t="s">
        <v>809</v>
      </c>
      <c r="Q19" s="30" t="s">
        <v>9237</v>
      </c>
      <c r="R19" s="30" t="s">
        <v>809</v>
      </c>
      <c r="S19" s="30" t="s">
        <v>809</v>
      </c>
      <c r="T19" s="30" t="s">
        <v>809</v>
      </c>
      <c r="U19" s="30" t="s">
        <v>516</v>
      </c>
      <c r="V19" s="6" t="s">
        <v>9241</v>
      </c>
      <c r="W19" s="20" t="s">
        <v>4834</v>
      </c>
      <c r="X19" s="32" t="n">
        <f aca="false">IF($O19="Active",SUMPRODUCT(($AH$5:$AH$137=$AH19)*1),0)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9179</v>
      </c>
      <c r="AB19" s="30" t="s">
        <v>9239</v>
      </c>
      <c r="AC19" s="255" t="n">
        <v>8192</v>
      </c>
      <c r="AD19" s="255" t="n">
        <v>1024</v>
      </c>
      <c r="AE19" s="255" t="n">
        <v>110</v>
      </c>
      <c r="AF19" s="255" t="n">
        <v>1</v>
      </c>
      <c r="AG19" s="253" t="s">
        <v>9181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9242</v>
      </c>
      <c r="B20" s="6" t="s">
        <v>9243</v>
      </c>
      <c r="C20" s="255" t="n">
        <v>4036</v>
      </c>
      <c r="D20" s="253"/>
      <c r="E20" s="253"/>
      <c r="F20" s="30" t="s">
        <v>683</v>
      </c>
      <c r="G20" s="253" t="s">
        <v>4834</v>
      </c>
      <c r="H20" s="30" t="s">
        <v>9244</v>
      </c>
      <c r="I20" s="30" t="s">
        <v>1514</v>
      </c>
      <c r="J20" s="6" t="s">
        <v>9245</v>
      </c>
      <c r="K20" s="253" t="n">
        <v>1</v>
      </c>
      <c r="L20" s="253" t="s">
        <v>8373</v>
      </c>
      <c r="M20" s="6" t="s">
        <v>9246</v>
      </c>
      <c r="N20" s="253" t="s">
        <v>8993</v>
      </c>
      <c r="O20" s="30" t="s">
        <v>8376</v>
      </c>
      <c r="P20" s="30" t="s">
        <v>809</v>
      </c>
      <c r="Q20" s="30" t="s">
        <v>9247</v>
      </c>
      <c r="R20" s="30" t="s">
        <v>809</v>
      </c>
      <c r="S20" s="30" t="s">
        <v>809</v>
      </c>
      <c r="T20" s="30" t="s">
        <v>809</v>
      </c>
      <c r="U20" s="30" t="s">
        <v>9248</v>
      </c>
      <c r="V20" s="6" t="s">
        <v>809</v>
      </c>
      <c r="W20" s="20" t="s">
        <v>9249</v>
      </c>
      <c r="X20" s="32" t="n">
        <f aca="false">IF($O20="Active",SUMPRODUCT(($AH$5:$AH$137=$AH20)*1),0)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9250</v>
      </c>
      <c r="B21" s="6" t="s">
        <v>9251</v>
      </c>
      <c r="C21" s="255" t="n">
        <v>3102</v>
      </c>
      <c r="D21" s="253"/>
      <c r="E21" s="253"/>
      <c r="F21" s="30" t="s">
        <v>683</v>
      </c>
      <c r="G21" s="253" t="s">
        <v>4834</v>
      </c>
      <c r="H21" s="30" t="s">
        <v>9244</v>
      </c>
      <c r="I21" s="30" t="s">
        <v>1514</v>
      </c>
      <c r="J21" s="6" t="s">
        <v>9245</v>
      </c>
      <c r="K21" s="253" t="n">
        <v>1</v>
      </c>
      <c r="L21" s="253" t="s">
        <v>8373</v>
      </c>
      <c r="M21" s="6" t="s">
        <v>9246</v>
      </c>
      <c r="N21" s="253" t="s">
        <v>8993</v>
      </c>
      <c r="O21" s="30" t="s">
        <v>8376</v>
      </c>
      <c r="P21" s="30" t="s">
        <v>809</v>
      </c>
      <c r="Q21" s="30" t="s">
        <v>9247</v>
      </c>
      <c r="R21" s="30" t="s">
        <v>809</v>
      </c>
      <c r="S21" s="30" t="s">
        <v>809</v>
      </c>
      <c r="T21" s="30" t="s">
        <v>809</v>
      </c>
      <c r="U21" s="30" t="s">
        <v>9248</v>
      </c>
      <c r="V21" s="6" t="s">
        <v>809</v>
      </c>
      <c r="W21" s="20" t="s">
        <v>9249</v>
      </c>
      <c r="X21" s="32" t="n">
        <f aca="false">IF($O21="Active",SUMPRODUCT(($AH$5:$AH$137=$AH21)*1),0)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9252</v>
      </c>
      <c r="B22" s="20" t="s">
        <v>9253</v>
      </c>
      <c r="C22" s="255" t="n">
        <v>120</v>
      </c>
      <c r="D22" s="253"/>
      <c r="E22" s="253"/>
      <c r="F22" s="30" t="s">
        <v>9254</v>
      </c>
      <c r="G22" s="253" t="s">
        <v>9255</v>
      </c>
      <c r="H22" s="30" t="s">
        <v>9256</v>
      </c>
      <c r="I22" s="30" t="s">
        <v>1511</v>
      </c>
      <c r="J22" s="6" t="s">
        <v>9257</v>
      </c>
      <c r="K22" s="253" t="n">
        <v>1</v>
      </c>
      <c r="L22" s="253" t="s">
        <v>8480</v>
      </c>
      <c r="M22" s="6" t="s">
        <v>9258</v>
      </c>
      <c r="N22" s="253" t="s">
        <v>8993</v>
      </c>
      <c r="O22" s="30" t="s">
        <v>8376</v>
      </c>
      <c r="P22" s="30" t="s">
        <v>809</v>
      </c>
      <c r="Q22" s="30" t="s">
        <v>9259</v>
      </c>
      <c r="R22" s="30" t="s">
        <v>809</v>
      </c>
      <c r="S22" s="30" t="s">
        <v>809</v>
      </c>
      <c r="T22" s="30" t="s">
        <v>809</v>
      </c>
      <c r="U22" s="30" t="s">
        <v>9260</v>
      </c>
      <c r="V22" s="6" t="s">
        <v>9261</v>
      </c>
      <c r="W22" s="6" t="s">
        <v>9262</v>
      </c>
      <c r="X22" s="32" t="n">
        <f aca="false">IF($O22="Active",SUMPRODUCT(($AH$5:$AH$137=$AH22)*1),0)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9263</v>
      </c>
      <c r="B23" s="20" t="s">
        <v>9264</v>
      </c>
      <c r="C23" s="255" t="n">
        <v>68</v>
      </c>
      <c r="D23" s="253"/>
      <c r="E23" s="253"/>
      <c r="F23" s="30" t="s">
        <v>9254</v>
      </c>
      <c r="G23" s="253" t="s">
        <v>9255</v>
      </c>
      <c r="H23" s="30" t="s">
        <v>9265</v>
      </c>
      <c r="I23" s="30" t="s">
        <v>1511</v>
      </c>
      <c r="J23" s="6" t="s">
        <v>9257</v>
      </c>
      <c r="K23" s="253" t="n">
        <v>1</v>
      </c>
      <c r="L23" s="253" t="s">
        <v>8480</v>
      </c>
      <c r="M23" s="6" t="s">
        <v>9258</v>
      </c>
      <c r="N23" s="253" t="s">
        <v>8993</v>
      </c>
      <c r="O23" s="30" t="s">
        <v>8376</v>
      </c>
      <c r="P23" s="30" t="s">
        <v>809</v>
      </c>
      <c r="Q23" s="30" t="s">
        <v>9259</v>
      </c>
      <c r="R23" s="30" t="s">
        <v>809</v>
      </c>
      <c r="S23" s="30" t="s">
        <v>809</v>
      </c>
      <c r="T23" s="30" t="s">
        <v>809</v>
      </c>
      <c r="U23" s="30" t="s">
        <v>9260</v>
      </c>
      <c r="V23" s="6" t="s">
        <v>9266</v>
      </c>
      <c r="W23" s="6" t="s">
        <v>9267</v>
      </c>
      <c r="X23" s="32" t="n">
        <f aca="false">IF($O23="Active",SUMPRODUCT(($AH$5:$AH$137=$AH23)*1),0)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9268</v>
      </c>
      <c r="B24" s="20" t="s">
        <v>9269</v>
      </c>
      <c r="C24" s="253"/>
      <c r="D24" s="255" t="n">
        <v>52</v>
      </c>
      <c r="E24" s="255" t="n">
        <v>56</v>
      </c>
      <c r="F24" s="30" t="s">
        <v>9254</v>
      </c>
      <c r="G24" s="253" t="s">
        <v>9255</v>
      </c>
      <c r="H24" s="30" t="s">
        <v>1506</v>
      </c>
      <c r="I24" s="30" t="s">
        <v>1511</v>
      </c>
      <c r="J24" s="6" t="s">
        <v>9257</v>
      </c>
      <c r="K24" s="253" t="n">
        <v>1</v>
      </c>
      <c r="L24" s="253" t="s">
        <v>8480</v>
      </c>
      <c r="M24" s="6" t="s">
        <v>9258</v>
      </c>
      <c r="N24" s="253" t="s">
        <v>8993</v>
      </c>
      <c r="O24" s="30" t="s">
        <v>8376</v>
      </c>
      <c r="P24" s="30" t="s">
        <v>809</v>
      </c>
      <c r="Q24" s="30" t="s">
        <v>9259</v>
      </c>
      <c r="R24" s="30" t="s">
        <v>809</v>
      </c>
      <c r="S24" s="30" t="s">
        <v>809</v>
      </c>
      <c r="T24" s="30" t="s">
        <v>809</v>
      </c>
      <c r="U24" s="30" t="s">
        <v>9260</v>
      </c>
      <c r="V24" s="6" t="s">
        <v>9270</v>
      </c>
      <c r="W24" s="6" t="s">
        <v>9271</v>
      </c>
      <c r="X24" s="32" t="n">
        <f aca="false">IF($O24="Active",SUMPRODUCT(($AH$5:$AH$137=$AH24)*1),0)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9272</v>
      </c>
      <c r="B25" s="20" t="s">
        <v>9273</v>
      </c>
      <c r="C25" s="255" t="n">
        <v>54</v>
      </c>
      <c r="D25" s="253"/>
      <c r="E25" s="253"/>
      <c r="F25" s="30" t="s">
        <v>9254</v>
      </c>
      <c r="G25" s="253" t="s">
        <v>9255</v>
      </c>
      <c r="H25" s="30" t="s">
        <v>1513</v>
      </c>
      <c r="I25" s="30" t="s">
        <v>1511</v>
      </c>
      <c r="J25" s="6" t="s">
        <v>9257</v>
      </c>
      <c r="K25" s="253" t="n">
        <v>1</v>
      </c>
      <c r="L25" s="253" t="s">
        <v>8480</v>
      </c>
      <c r="M25" s="6" t="s">
        <v>9258</v>
      </c>
      <c r="N25" s="253" t="s">
        <v>8993</v>
      </c>
      <c r="O25" s="30" t="s">
        <v>8376</v>
      </c>
      <c r="P25" s="30" t="s">
        <v>809</v>
      </c>
      <c r="Q25" s="30" t="s">
        <v>9259</v>
      </c>
      <c r="R25" s="30" t="s">
        <v>809</v>
      </c>
      <c r="S25" s="30" t="s">
        <v>809</v>
      </c>
      <c r="T25" s="30" t="s">
        <v>809</v>
      </c>
      <c r="U25" s="30" t="s">
        <v>9260</v>
      </c>
      <c r="V25" s="6" t="s">
        <v>809</v>
      </c>
      <c r="W25" s="6" t="s">
        <v>809</v>
      </c>
      <c r="X25" s="32" t="n">
        <f aca="false">IF($O25="Active",SUMPRODUCT(($AH$5:$AH$137=$AH25)*1),0)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9274</v>
      </c>
      <c r="B26" s="20" t="s">
        <v>9275</v>
      </c>
      <c r="C26" s="253"/>
      <c r="D26" s="255" t="n">
        <v>290</v>
      </c>
      <c r="E26" s="255" t="n">
        <v>350</v>
      </c>
      <c r="F26" s="30" t="s">
        <v>9254</v>
      </c>
      <c r="G26" s="253" t="s">
        <v>9255</v>
      </c>
      <c r="H26" s="30" t="s">
        <v>9276</v>
      </c>
      <c r="I26" s="30" t="s">
        <v>1511</v>
      </c>
      <c r="J26" s="6" t="s">
        <v>9257</v>
      </c>
      <c r="K26" s="253" t="n">
        <v>1</v>
      </c>
      <c r="L26" s="253" t="s">
        <v>8480</v>
      </c>
      <c r="M26" s="6" t="s">
        <v>9258</v>
      </c>
      <c r="N26" s="253" t="s">
        <v>8993</v>
      </c>
      <c r="O26" s="30" t="s">
        <v>8376</v>
      </c>
      <c r="P26" s="30" t="s">
        <v>809</v>
      </c>
      <c r="Q26" s="30" t="s">
        <v>9259</v>
      </c>
      <c r="R26" s="30" t="s">
        <v>809</v>
      </c>
      <c r="S26" s="30" t="s">
        <v>809</v>
      </c>
      <c r="T26" s="30" t="s">
        <v>809</v>
      </c>
      <c r="U26" s="30" t="s">
        <v>9260</v>
      </c>
      <c r="V26" s="6" t="s">
        <v>809</v>
      </c>
      <c r="W26" s="6" t="s">
        <v>809</v>
      </c>
      <c r="X26" s="32" t="n">
        <f aca="false">IF($O26="Active",SUMPRODUCT(($AH$5:$AH$137=$AH26)*1),0)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9277</v>
      </c>
      <c r="B27" s="6" t="s">
        <v>9278</v>
      </c>
      <c r="C27" s="255" t="n">
        <v>20</v>
      </c>
      <c r="D27" s="253"/>
      <c r="E27" s="253"/>
      <c r="F27" s="30" t="s">
        <v>9254</v>
      </c>
      <c r="G27" s="253" t="s">
        <v>9279</v>
      </c>
      <c r="H27" s="30" t="s">
        <v>9280</v>
      </c>
      <c r="I27" s="30" t="s">
        <v>9281</v>
      </c>
      <c r="J27" s="6" t="s">
        <v>9282</v>
      </c>
      <c r="K27" s="253" t="n">
        <v>3</v>
      </c>
      <c r="L27" s="253" t="s">
        <v>8373</v>
      </c>
      <c r="M27" s="6" t="s">
        <v>9283</v>
      </c>
      <c r="N27" s="253" t="s">
        <v>8511</v>
      </c>
      <c r="O27" s="30" t="s">
        <v>8376</v>
      </c>
      <c r="P27" s="30" t="s">
        <v>809</v>
      </c>
      <c r="Q27" s="30" t="s">
        <v>9284</v>
      </c>
      <c r="R27" s="30" t="s">
        <v>809</v>
      </c>
      <c r="S27" s="30" t="s">
        <v>809</v>
      </c>
      <c r="T27" s="30" t="s">
        <v>809</v>
      </c>
      <c r="U27" s="30" t="s">
        <v>9285</v>
      </c>
      <c r="V27" s="6" t="s">
        <v>809</v>
      </c>
      <c r="W27" s="20" t="s">
        <v>9286</v>
      </c>
      <c r="X27" s="32" t="n">
        <f aca="false">IF($O27="Active",SUMPRODUCT(($AH$5:$AH$137=$AH27)*1),0)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9287</v>
      </c>
      <c r="B28" s="6" t="s">
        <v>9288</v>
      </c>
      <c r="C28" s="255" t="n">
        <v>250634</v>
      </c>
      <c r="D28" s="253"/>
      <c r="E28" s="253"/>
      <c r="F28" s="30" t="s">
        <v>9289</v>
      </c>
      <c r="G28" s="30" t="s">
        <v>9290</v>
      </c>
      <c r="H28" s="30" t="s">
        <v>203</v>
      </c>
      <c r="I28" s="30" t="s">
        <v>9291</v>
      </c>
      <c r="J28" s="6" t="s">
        <v>9292</v>
      </c>
      <c r="K28" s="253" t="n">
        <v>2</v>
      </c>
      <c r="L28" s="253" t="s">
        <v>8373</v>
      </c>
      <c r="M28" s="6" t="s">
        <v>9293</v>
      </c>
      <c r="N28" s="253" t="s">
        <v>9294</v>
      </c>
      <c r="O28" s="30" t="s">
        <v>8376</v>
      </c>
      <c r="P28" s="30" t="s">
        <v>809</v>
      </c>
      <c r="Q28" s="30" t="s">
        <v>9295</v>
      </c>
      <c r="R28" s="30" t="s">
        <v>809</v>
      </c>
      <c r="S28" s="30" t="s">
        <v>809</v>
      </c>
      <c r="T28" s="30" t="s">
        <v>809</v>
      </c>
      <c r="U28" s="30" t="s">
        <v>9296</v>
      </c>
      <c r="V28" s="6" t="s">
        <v>809</v>
      </c>
      <c r="W28" s="20" t="s">
        <v>9297</v>
      </c>
      <c r="X28" s="32" t="n">
        <f aca="false">IF($O28="Active",SUMPRODUCT(($AH$5:$AH$137=$AH28)*1),0)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6054</v>
      </c>
      <c r="B29" s="6" t="s">
        <v>9298</v>
      </c>
      <c r="C29" s="255" t="n">
        <v>240318</v>
      </c>
      <c r="D29" s="253"/>
      <c r="E29" s="253"/>
      <c r="F29" s="30" t="s">
        <v>9289</v>
      </c>
      <c r="G29" s="30" t="s">
        <v>9290</v>
      </c>
      <c r="H29" s="30" t="s">
        <v>202</v>
      </c>
      <c r="I29" s="30" t="s">
        <v>9291</v>
      </c>
      <c r="J29" s="6" t="s">
        <v>9292</v>
      </c>
      <c r="K29" s="253" t="n">
        <v>2</v>
      </c>
      <c r="L29" s="253" t="s">
        <v>8373</v>
      </c>
      <c r="M29" s="6" t="s">
        <v>9293</v>
      </c>
      <c r="N29" s="253" t="s">
        <v>9294</v>
      </c>
      <c r="O29" s="30" t="s">
        <v>8376</v>
      </c>
      <c r="P29" s="30" t="s">
        <v>809</v>
      </c>
      <c r="Q29" s="30" t="s">
        <v>9295</v>
      </c>
      <c r="R29" s="30" t="s">
        <v>809</v>
      </c>
      <c r="S29" s="30" t="s">
        <v>809</v>
      </c>
      <c r="T29" s="30" t="s">
        <v>809</v>
      </c>
      <c r="U29" s="30" t="s">
        <v>9296</v>
      </c>
      <c r="V29" s="6" t="s">
        <v>9299</v>
      </c>
      <c r="W29" s="20" t="s">
        <v>9300</v>
      </c>
      <c r="X29" s="32" t="n">
        <f aca="false">IF($O29="Active",SUMPRODUCT(($AH$5:$AH$137=$AH29)*1),0)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9301</v>
      </c>
      <c r="B30" s="6" t="s">
        <v>9302</v>
      </c>
      <c r="C30" s="255" t="n">
        <v>8064</v>
      </c>
      <c r="D30" s="253"/>
      <c r="E30" s="253"/>
      <c r="F30" s="30" t="s">
        <v>9303</v>
      </c>
      <c r="G30" s="30" t="s">
        <v>9304</v>
      </c>
      <c r="H30" s="30" t="s">
        <v>203</v>
      </c>
      <c r="I30" s="30" t="s">
        <v>9291</v>
      </c>
      <c r="J30" s="6" t="s">
        <v>9292</v>
      </c>
      <c r="K30" s="253" t="n">
        <v>2</v>
      </c>
      <c r="L30" s="253" t="s">
        <v>8373</v>
      </c>
      <c r="M30" s="6" t="s">
        <v>9293</v>
      </c>
      <c r="N30" s="253" t="s">
        <v>9294</v>
      </c>
      <c r="O30" s="30" t="s">
        <v>8376</v>
      </c>
      <c r="P30" s="30" t="s">
        <v>809</v>
      </c>
      <c r="Q30" s="30" t="s">
        <v>9295</v>
      </c>
      <c r="R30" s="30" t="s">
        <v>809</v>
      </c>
      <c r="S30" s="30" t="s">
        <v>809</v>
      </c>
      <c r="T30" s="30" t="s">
        <v>809</v>
      </c>
      <c r="U30" s="30" t="s">
        <v>9296</v>
      </c>
      <c r="V30" s="6" t="s">
        <v>9305</v>
      </c>
      <c r="W30" s="6" t="s">
        <v>809</v>
      </c>
      <c r="X30" s="32" t="n">
        <f aca="false">IF($O30="Active",SUMPRODUCT(($AH$5:$AH$137=$AH30)*1),0)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6057</v>
      </c>
      <c r="B31" s="6" t="s">
        <v>9306</v>
      </c>
      <c r="C31" s="255" t="n">
        <v>652750</v>
      </c>
      <c r="D31" s="253"/>
      <c r="E31" s="253"/>
      <c r="F31" s="30" t="s">
        <v>9289</v>
      </c>
      <c r="G31" s="30" t="s">
        <v>9307</v>
      </c>
      <c r="H31" s="30" t="s">
        <v>204</v>
      </c>
      <c r="I31" s="30" t="s">
        <v>9308</v>
      </c>
      <c r="J31" s="6" t="s">
        <v>9309</v>
      </c>
      <c r="K31" s="253" t="n">
        <v>1</v>
      </c>
      <c r="L31" s="253" t="s">
        <v>8373</v>
      </c>
      <c r="M31" s="6" t="s">
        <v>9310</v>
      </c>
      <c r="N31" s="253" t="s">
        <v>8375</v>
      </c>
      <c r="O31" s="30" t="s">
        <v>8376</v>
      </c>
      <c r="P31" s="30" t="s">
        <v>809</v>
      </c>
      <c r="Q31" s="30" t="s">
        <v>9311</v>
      </c>
      <c r="R31" s="30" t="s">
        <v>809</v>
      </c>
      <c r="S31" s="30" t="s">
        <v>7486</v>
      </c>
      <c r="T31" s="30" t="s">
        <v>809</v>
      </c>
      <c r="U31" s="30" t="s">
        <v>4853</v>
      </c>
      <c r="V31" s="6" t="s">
        <v>9312</v>
      </c>
      <c r="W31" s="20" t="s">
        <v>9313</v>
      </c>
      <c r="X31" s="32" t="n">
        <f aca="false">IF($O31="Active",SUMPRODUCT(($AH$5:$AH$137=$AH31)*1),0)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6051</v>
      </c>
      <c r="B32" s="6" t="s">
        <v>9314</v>
      </c>
      <c r="C32" s="255" t="n">
        <v>253506</v>
      </c>
      <c r="D32" s="253"/>
      <c r="E32" s="253"/>
      <c r="F32" s="30" t="s">
        <v>9289</v>
      </c>
      <c r="G32" s="30" t="s">
        <v>9290</v>
      </c>
      <c r="H32" s="30" t="s">
        <v>203</v>
      </c>
      <c r="I32" s="30" t="s">
        <v>9308</v>
      </c>
      <c r="J32" s="6" t="s">
        <v>9309</v>
      </c>
      <c r="K32" s="253" t="n">
        <v>1</v>
      </c>
      <c r="L32" s="253" t="s">
        <v>8373</v>
      </c>
      <c r="M32" s="6" t="s">
        <v>9310</v>
      </c>
      <c r="N32" s="253" t="s">
        <v>8375</v>
      </c>
      <c r="O32" s="30" t="s">
        <v>8376</v>
      </c>
      <c r="P32" s="30" t="s">
        <v>809</v>
      </c>
      <c r="Q32" s="30" t="s">
        <v>9311</v>
      </c>
      <c r="R32" s="30" t="s">
        <v>809</v>
      </c>
      <c r="S32" s="30" t="s">
        <v>7486</v>
      </c>
      <c r="T32" s="30" t="s">
        <v>809</v>
      </c>
      <c r="U32" s="30" t="s">
        <v>4853</v>
      </c>
      <c r="V32" s="6" t="s">
        <v>9315</v>
      </c>
      <c r="W32" s="20" t="s">
        <v>9316</v>
      </c>
      <c r="X32" s="32" t="n">
        <f aca="false">IF($O32="Active",SUMPRODUCT(($AH$5:$AH$137=$AH32)*1),0)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6017</v>
      </c>
      <c r="B33" s="6" t="s">
        <v>9317</v>
      </c>
      <c r="C33" s="255" t="n">
        <v>800</v>
      </c>
      <c r="D33" s="253"/>
      <c r="E33" s="253"/>
      <c r="F33" s="30" t="s">
        <v>333</v>
      </c>
      <c r="G33" s="253" t="s">
        <v>9318</v>
      </c>
      <c r="H33" s="30" t="s">
        <v>9319</v>
      </c>
      <c r="I33" s="30" t="s">
        <v>9320</v>
      </c>
      <c r="J33" s="6" t="s">
        <v>9321</v>
      </c>
      <c r="K33" s="253" t="n">
        <v>1</v>
      </c>
      <c r="L33" s="253" t="s">
        <v>8480</v>
      </c>
      <c r="M33" s="6" t="s">
        <v>9322</v>
      </c>
      <c r="N33" s="253" t="s">
        <v>8993</v>
      </c>
      <c r="O33" s="30" t="s">
        <v>8376</v>
      </c>
      <c r="P33" s="30" t="s">
        <v>809</v>
      </c>
      <c r="Q33" s="30" t="s">
        <v>9323</v>
      </c>
      <c r="R33" s="30" t="s">
        <v>809</v>
      </c>
      <c r="S33" s="30" t="s">
        <v>809</v>
      </c>
      <c r="T33" s="30" t="s">
        <v>809</v>
      </c>
      <c r="U33" s="30" t="s">
        <v>9324</v>
      </c>
      <c r="V33" s="6" t="s">
        <v>9325</v>
      </c>
      <c r="W33" s="6" t="s">
        <v>809</v>
      </c>
      <c r="X33" s="32" t="n">
        <f aca="false">IF($O33="Active",SUMPRODUCT(($AH$5:$AH$137=$AH33)*1),0)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6021</v>
      </c>
      <c r="B34" s="6" t="s">
        <v>9326</v>
      </c>
      <c r="C34" s="255" t="n">
        <v>3880</v>
      </c>
      <c r="D34" s="253"/>
      <c r="E34" s="253"/>
      <c r="F34" s="30" t="s">
        <v>333</v>
      </c>
      <c r="G34" s="253" t="s">
        <v>9318</v>
      </c>
      <c r="H34" s="30" t="s">
        <v>9319</v>
      </c>
      <c r="I34" s="30" t="s">
        <v>9320</v>
      </c>
      <c r="J34" s="6" t="s">
        <v>9321</v>
      </c>
      <c r="K34" s="253" t="n">
        <v>1</v>
      </c>
      <c r="L34" s="253" t="s">
        <v>8480</v>
      </c>
      <c r="M34" s="6" t="s">
        <v>9322</v>
      </c>
      <c r="N34" s="253" t="s">
        <v>8993</v>
      </c>
      <c r="O34" s="30" t="s">
        <v>8376</v>
      </c>
      <c r="P34" s="30" t="s">
        <v>809</v>
      </c>
      <c r="Q34" s="30" t="s">
        <v>9323</v>
      </c>
      <c r="R34" s="30" t="s">
        <v>809</v>
      </c>
      <c r="S34" s="30" t="s">
        <v>809</v>
      </c>
      <c r="T34" s="30" t="s">
        <v>809</v>
      </c>
      <c r="U34" s="30" t="s">
        <v>9324</v>
      </c>
      <c r="V34" s="6" t="s">
        <v>9327</v>
      </c>
      <c r="W34" s="6" t="s">
        <v>809</v>
      </c>
      <c r="X34" s="32" t="n">
        <f aca="false">IF($O34="Active",SUMPRODUCT(($AH$5:$AH$137=$AH34)*1),0)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6028</v>
      </c>
      <c r="B35" s="6" t="s">
        <v>9328</v>
      </c>
      <c r="C35" s="255" t="n">
        <v>15</v>
      </c>
      <c r="D35" s="253"/>
      <c r="E35" s="253"/>
      <c r="F35" s="30" t="s">
        <v>589</v>
      </c>
      <c r="G35" s="30" t="s">
        <v>9290</v>
      </c>
      <c r="H35" s="30" t="s">
        <v>9319</v>
      </c>
      <c r="I35" s="30" t="s">
        <v>8413</v>
      </c>
      <c r="J35" s="6" t="s">
        <v>9321</v>
      </c>
      <c r="K35" s="253" t="n">
        <v>1</v>
      </c>
      <c r="L35" s="253" t="s">
        <v>8480</v>
      </c>
      <c r="M35" s="6" t="s">
        <v>9322</v>
      </c>
      <c r="N35" s="253" t="s">
        <v>8993</v>
      </c>
      <c r="O35" s="30" t="s">
        <v>8376</v>
      </c>
      <c r="P35" s="30" t="s">
        <v>809</v>
      </c>
      <c r="Q35" s="30" t="s">
        <v>9323</v>
      </c>
      <c r="R35" s="30" t="s">
        <v>809</v>
      </c>
      <c r="S35" s="30" t="s">
        <v>809</v>
      </c>
      <c r="T35" s="30" t="s">
        <v>809</v>
      </c>
      <c r="U35" s="30" t="s">
        <v>9324</v>
      </c>
      <c r="V35" s="6" t="s">
        <v>9329</v>
      </c>
      <c r="W35" s="20" t="s">
        <v>9330</v>
      </c>
      <c r="X35" s="32" t="n">
        <f aca="false">IF($O35="Active",SUMPRODUCT(($AH$5:$AH$137=$AH35)*1),0)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6035</v>
      </c>
      <c r="B36" s="6" t="s">
        <v>9331</v>
      </c>
      <c r="C36" s="255" t="n">
        <v>80</v>
      </c>
      <c r="D36" s="253"/>
      <c r="E36" s="253"/>
      <c r="F36" s="30" t="s">
        <v>589</v>
      </c>
      <c r="G36" s="30" t="s">
        <v>9304</v>
      </c>
      <c r="H36" s="30" t="s">
        <v>9319</v>
      </c>
      <c r="I36" s="30" t="s">
        <v>8413</v>
      </c>
      <c r="J36" s="6" t="s">
        <v>9321</v>
      </c>
      <c r="K36" s="253" t="n">
        <v>1</v>
      </c>
      <c r="L36" s="253" t="s">
        <v>8480</v>
      </c>
      <c r="M36" s="6" t="s">
        <v>9322</v>
      </c>
      <c r="N36" s="253" t="s">
        <v>8993</v>
      </c>
      <c r="O36" s="30" t="s">
        <v>8376</v>
      </c>
      <c r="P36" s="30" t="s">
        <v>809</v>
      </c>
      <c r="Q36" s="30" t="s">
        <v>9323</v>
      </c>
      <c r="R36" s="30" t="s">
        <v>809</v>
      </c>
      <c r="S36" s="30" t="s">
        <v>809</v>
      </c>
      <c r="T36" s="30" t="s">
        <v>809</v>
      </c>
      <c r="U36" s="30" t="s">
        <v>9324</v>
      </c>
      <c r="V36" s="6" t="s">
        <v>9332</v>
      </c>
      <c r="W36" s="20" t="s">
        <v>9333</v>
      </c>
      <c r="X36" s="32" t="n">
        <f aca="false">IF($O36="Active",SUMPRODUCT(($AH$5:$AH$137=$AH36)*1),0)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9334</v>
      </c>
      <c r="B37" s="6" t="s">
        <v>9335</v>
      </c>
      <c r="C37" s="255" t="n">
        <v>1.5</v>
      </c>
      <c r="D37" s="253"/>
      <c r="E37" s="253"/>
      <c r="F37" s="30" t="s">
        <v>417</v>
      </c>
      <c r="G37" s="30" t="s">
        <v>9290</v>
      </c>
      <c r="H37" s="30" t="s">
        <v>9319</v>
      </c>
      <c r="I37" s="30" t="s">
        <v>8413</v>
      </c>
      <c r="J37" s="6" t="s">
        <v>9321</v>
      </c>
      <c r="K37" s="253" t="n">
        <v>1</v>
      </c>
      <c r="L37" s="253" t="s">
        <v>8480</v>
      </c>
      <c r="M37" s="6" t="s">
        <v>9322</v>
      </c>
      <c r="N37" s="253" t="s">
        <v>8993</v>
      </c>
      <c r="O37" s="30" t="s">
        <v>8376</v>
      </c>
      <c r="P37" s="30" t="s">
        <v>809</v>
      </c>
      <c r="Q37" s="30" t="s">
        <v>9323</v>
      </c>
      <c r="R37" s="30" t="s">
        <v>809</v>
      </c>
      <c r="S37" s="30" t="s">
        <v>809</v>
      </c>
      <c r="T37" s="30" t="s">
        <v>809</v>
      </c>
      <c r="U37" s="30" t="s">
        <v>9324</v>
      </c>
      <c r="V37" s="6" t="s">
        <v>809</v>
      </c>
      <c r="W37" s="6" t="s">
        <v>809</v>
      </c>
      <c r="X37" s="32" t="n">
        <f aca="false">IF($O37="Active",SUMPRODUCT(($AH$5:$AH$137=$AH37)*1),0)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9336</v>
      </c>
      <c r="B38" s="6" t="s">
        <v>9337</v>
      </c>
      <c r="C38" s="255" t="n">
        <v>2</v>
      </c>
      <c r="D38" s="253"/>
      <c r="E38" s="253"/>
      <c r="F38" s="30" t="s">
        <v>417</v>
      </c>
      <c r="G38" s="30" t="s">
        <v>9304</v>
      </c>
      <c r="H38" s="30" t="s">
        <v>9319</v>
      </c>
      <c r="I38" s="30" t="s">
        <v>8413</v>
      </c>
      <c r="J38" s="6" t="s">
        <v>9321</v>
      </c>
      <c r="K38" s="253" t="n">
        <v>1</v>
      </c>
      <c r="L38" s="253" t="s">
        <v>8480</v>
      </c>
      <c r="M38" s="6" t="s">
        <v>9322</v>
      </c>
      <c r="N38" s="253" t="s">
        <v>8993</v>
      </c>
      <c r="O38" s="30" t="s">
        <v>8376</v>
      </c>
      <c r="P38" s="30" t="s">
        <v>809</v>
      </c>
      <c r="Q38" s="30" t="s">
        <v>9323</v>
      </c>
      <c r="R38" s="30" t="s">
        <v>809</v>
      </c>
      <c r="S38" s="30" t="s">
        <v>809</v>
      </c>
      <c r="T38" s="30" t="s">
        <v>809</v>
      </c>
      <c r="U38" s="30" t="s">
        <v>9324</v>
      </c>
      <c r="V38" s="6" t="s">
        <v>809</v>
      </c>
      <c r="W38" s="6" t="s">
        <v>809</v>
      </c>
      <c r="X38" s="32" t="n">
        <f aca="false">IF($O38="Active",SUMPRODUCT(($AH$5:$AH$137=$AH38)*1),0)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5722</v>
      </c>
      <c r="B39" s="6" t="s">
        <v>9338</v>
      </c>
      <c r="C39" s="255" t="n">
        <v>3</v>
      </c>
      <c r="D39" s="253"/>
      <c r="E39" s="253"/>
      <c r="F39" s="253" t="s">
        <v>9339</v>
      </c>
      <c r="G39" s="30" t="s">
        <v>9340</v>
      </c>
      <c r="H39" s="30" t="s">
        <v>9319</v>
      </c>
      <c r="I39" s="30" t="s">
        <v>8413</v>
      </c>
      <c r="J39" s="6" t="s">
        <v>9321</v>
      </c>
      <c r="K39" s="253" t="n">
        <v>1</v>
      </c>
      <c r="L39" s="253" t="s">
        <v>8480</v>
      </c>
      <c r="M39" s="6" t="s">
        <v>9322</v>
      </c>
      <c r="N39" s="253" t="s">
        <v>8993</v>
      </c>
      <c r="O39" s="30" t="s">
        <v>8376</v>
      </c>
      <c r="P39" s="30" t="s">
        <v>809</v>
      </c>
      <c r="Q39" s="30" t="s">
        <v>9323</v>
      </c>
      <c r="R39" s="30" t="s">
        <v>809</v>
      </c>
      <c r="S39" s="30" t="s">
        <v>809</v>
      </c>
      <c r="T39" s="30" t="s">
        <v>809</v>
      </c>
      <c r="U39" s="30" t="s">
        <v>9324</v>
      </c>
      <c r="V39" s="6" t="s">
        <v>9341</v>
      </c>
      <c r="W39" s="20" t="s">
        <v>9342</v>
      </c>
      <c r="X39" s="32" t="n">
        <f aca="false">IF($O39="Active",SUMPRODUCT(($AH$5:$AH$137=$AH39)*1),0)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6498</v>
      </c>
      <c r="B40" s="6" t="s">
        <v>9343</v>
      </c>
      <c r="C40" s="253"/>
      <c r="D40" s="255" t="n">
        <v>0.38</v>
      </c>
      <c r="E40" s="255" t="n">
        <v>0.43</v>
      </c>
      <c r="F40" s="30" t="s">
        <v>127</v>
      </c>
      <c r="G40" s="30" t="s">
        <v>9344</v>
      </c>
      <c r="H40" s="30" t="s">
        <v>9345</v>
      </c>
      <c r="I40" s="30" t="s">
        <v>9346</v>
      </c>
      <c r="J40" s="6" t="s">
        <v>9347</v>
      </c>
      <c r="K40" s="253" t="n">
        <v>1</v>
      </c>
      <c r="L40" s="253" t="s">
        <v>8373</v>
      </c>
      <c r="M40" s="6" t="s">
        <v>9348</v>
      </c>
      <c r="N40" s="253" t="s">
        <v>8375</v>
      </c>
      <c r="O40" s="30" t="s">
        <v>8376</v>
      </c>
      <c r="P40" s="30" t="s">
        <v>809</v>
      </c>
      <c r="Q40" s="30" t="s">
        <v>9349</v>
      </c>
      <c r="R40" s="30" t="s">
        <v>809</v>
      </c>
      <c r="S40" s="30" t="s">
        <v>7466</v>
      </c>
      <c r="T40" s="30" t="s">
        <v>809</v>
      </c>
      <c r="U40" s="30" t="s">
        <v>9350</v>
      </c>
      <c r="V40" s="6" t="s">
        <v>809</v>
      </c>
      <c r="W40" s="6" t="s">
        <v>9351</v>
      </c>
      <c r="X40" s="32" t="n">
        <f aca="false">IF($O40="Active",SUMPRODUCT(($AH$5:$AH$137=$AH40)*1),0)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6503</v>
      </c>
      <c r="B41" s="6" t="s">
        <v>9352</v>
      </c>
      <c r="C41" s="255" t="n">
        <v>0.9</v>
      </c>
      <c r="D41" s="253"/>
      <c r="E41" s="253"/>
      <c r="F41" s="30" t="s">
        <v>127</v>
      </c>
      <c r="G41" s="253" t="s">
        <v>9353</v>
      </c>
      <c r="H41" s="30" t="s">
        <v>9345</v>
      </c>
      <c r="I41" s="30" t="s">
        <v>9346</v>
      </c>
      <c r="J41" s="6" t="s">
        <v>9347</v>
      </c>
      <c r="K41" s="253" t="n">
        <v>1</v>
      </c>
      <c r="L41" s="253" t="s">
        <v>8373</v>
      </c>
      <c r="M41" s="6" t="s">
        <v>9348</v>
      </c>
      <c r="N41" s="253" t="s">
        <v>8375</v>
      </c>
      <c r="O41" s="30" t="s">
        <v>8376</v>
      </c>
      <c r="P41" s="30" t="s">
        <v>809</v>
      </c>
      <c r="Q41" s="30" t="s">
        <v>9354</v>
      </c>
      <c r="R41" s="30" t="s">
        <v>809</v>
      </c>
      <c r="S41" s="30" t="s">
        <v>7466</v>
      </c>
      <c r="T41" s="30" t="s">
        <v>809</v>
      </c>
      <c r="U41" s="30" t="s">
        <v>9350</v>
      </c>
      <c r="V41" s="6" t="s">
        <v>9355</v>
      </c>
      <c r="W41" s="20" t="s">
        <v>9356</v>
      </c>
      <c r="X41" s="32" t="n">
        <f aca="false">IF($O41="Active",SUMPRODUCT(($AH$5:$AH$137=$AH41)*1),0)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9357</v>
      </c>
      <c r="B42" s="6" t="s">
        <v>9358</v>
      </c>
      <c r="C42" s="255" t="n">
        <v>2.24</v>
      </c>
      <c r="D42" s="253"/>
      <c r="E42" s="253"/>
      <c r="F42" s="30" t="s">
        <v>132</v>
      </c>
      <c r="G42" s="253" t="s">
        <v>9359</v>
      </c>
      <c r="H42" s="30" t="s">
        <v>9360</v>
      </c>
      <c r="I42" s="30" t="s">
        <v>8508</v>
      </c>
      <c r="J42" s="6" t="s">
        <v>9361</v>
      </c>
      <c r="K42" s="253" t="n">
        <v>1</v>
      </c>
      <c r="L42" s="253" t="s">
        <v>8373</v>
      </c>
      <c r="M42" s="20" t="s">
        <v>9362</v>
      </c>
      <c r="N42" s="253" t="s">
        <v>8993</v>
      </c>
      <c r="O42" s="30" t="s">
        <v>8376</v>
      </c>
      <c r="P42" s="30" t="s">
        <v>809</v>
      </c>
      <c r="Q42" s="30" t="s">
        <v>9363</v>
      </c>
      <c r="R42" s="30" t="s">
        <v>809</v>
      </c>
      <c r="S42" s="30" t="s">
        <v>809</v>
      </c>
      <c r="T42" s="30" t="s">
        <v>809</v>
      </c>
      <c r="U42" s="30" t="s">
        <v>9364</v>
      </c>
      <c r="V42" s="6" t="s">
        <v>809</v>
      </c>
      <c r="W42" s="20" t="s">
        <v>9365</v>
      </c>
      <c r="X42" s="32" t="n">
        <f aca="false">IF($O42="Active",SUMPRODUCT(($AH$5:$AH$137=$AH42)*1),0)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9366</v>
      </c>
      <c r="B43" s="6" t="s">
        <v>9367</v>
      </c>
      <c r="C43" s="255" t="n">
        <v>2.72</v>
      </c>
      <c r="D43" s="253"/>
      <c r="E43" s="253"/>
      <c r="F43" s="30" t="s">
        <v>132</v>
      </c>
      <c r="G43" s="253" t="s">
        <v>9359</v>
      </c>
      <c r="H43" s="30" t="s">
        <v>9360</v>
      </c>
      <c r="I43" s="30" t="s">
        <v>8508</v>
      </c>
      <c r="J43" s="6" t="s">
        <v>9361</v>
      </c>
      <c r="K43" s="253" t="n">
        <v>1</v>
      </c>
      <c r="L43" s="253" t="s">
        <v>8373</v>
      </c>
      <c r="M43" s="20" t="s">
        <v>9362</v>
      </c>
      <c r="N43" s="253" t="s">
        <v>8993</v>
      </c>
      <c r="O43" s="30" t="s">
        <v>8376</v>
      </c>
      <c r="P43" s="30" t="s">
        <v>809</v>
      </c>
      <c r="Q43" s="30" t="s">
        <v>9363</v>
      </c>
      <c r="R43" s="30" t="s">
        <v>809</v>
      </c>
      <c r="S43" s="30" t="s">
        <v>809</v>
      </c>
      <c r="T43" s="30" t="s">
        <v>809</v>
      </c>
      <c r="U43" s="30" t="s">
        <v>9364</v>
      </c>
      <c r="V43" s="6" t="s">
        <v>809</v>
      </c>
      <c r="W43" s="6" t="s">
        <v>809</v>
      </c>
      <c r="X43" s="32" t="n">
        <f aca="false">IF($O43="Active",SUMPRODUCT(($AH$5:$AH$137=$AH43)*1),0)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9368</v>
      </c>
      <c r="B44" s="6" t="s">
        <v>9369</v>
      </c>
      <c r="C44" s="255" t="n">
        <v>2</v>
      </c>
      <c r="D44" s="253"/>
      <c r="E44" s="253"/>
      <c r="F44" s="30" t="s">
        <v>132</v>
      </c>
      <c r="G44" s="253" t="s">
        <v>8461</v>
      </c>
      <c r="H44" s="30" t="s">
        <v>9370</v>
      </c>
      <c r="I44" s="30" t="s">
        <v>8508</v>
      </c>
      <c r="J44" s="6" t="s">
        <v>9361</v>
      </c>
      <c r="K44" s="253" t="n">
        <v>1</v>
      </c>
      <c r="L44" s="253" t="s">
        <v>8373</v>
      </c>
      <c r="M44" s="20" t="s">
        <v>9362</v>
      </c>
      <c r="N44" s="253" t="s">
        <v>8993</v>
      </c>
      <c r="O44" s="30" t="s">
        <v>8376</v>
      </c>
      <c r="P44" s="30" t="s">
        <v>809</v>
      </c>
      <c r="Q44" s="30" t="s">
        <v>9363</v>
      </c>
      <c r="R44" s="30" t="s">
        <v>809</v>
      </c>
      <c r="S44" s="30" t="s">
        <v>809</v>
      </c>
      <c r="T44" s="30" t="s">
        <v>809</v>
      </c>
      <c r="U44" s="30" t="s">
        <v>9364</v>
      </c>
      <c r="V44" s="6" t="s">
        <v>809</v>
      </c>
      <c r="W44" s="6" t="s">
        <v>809</v>
      </c>
      <c r="X44" s="32" t="n">
        <f aca="false">IF($O44="Active",SUMPRODUCT(($AH$5:$AH$137=$AH44)*1),0)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5877</v>
      </c>
      <c r="B45" s="6" t="s">
        <v>9371</v>
      </c>
      <c r="C45" s="255" t="n">
        <v>73700</v>
      </c>
      <c r="D45" s="253"/>
      <c r="E45" s="253"/>
      <c r="F45" s="30" t="s">
        <v>9372</v>
      </c>
      <c r="G45" s="30" t="s">
        <v>9373</v>
      </c>
      <c r="H45" s="30" t="s">
        <v>9374</v>
      </c>
      <c r="I45" s="30" t="s">
        <v>9375</v>
      </c>
      <c r="J45" s="6" t="s">
        <v>9376</v>
      </c>
      <c r="K45" s="253" t="n">
        <v>1</v>
      </c>
      <c r="L45" s="253" t="s">
        <v>8373</v>
      </c>
      <c r="M45" s="6" t="s">
        <v>9377</v>
      </c>
      <c r="N45" s="253" t="s">
        <v>8993</v>
      </c>
      <c r="O45" s="30" t="s">
        <v>8376</v>
      </c>
      <c r="P45" s="30" t="s">
        <v>809</v>
      </c>
      <c r="Q45" s="30" t="s">
        <v>9378</v>
      </c>
      <c r="R45" s="30" t="s">
        <v>809</v>
      </c>
      <c r="S45" s="30" t="s">
        <v>809</v>
      </c>
      <c r="T45" s="30" t="s">
        <v>809</v>
      </c>
      <c r="U45" s="30" t="s">
        <v>9285</v>
      </c>
      <c r="V45" s="20" t="s">
        <v>9379</v>
      </c>
      <c r="W45" s="20" t="s">
        <v>9380</v>
      </c>
      <c r="X45" s="32" t="n">
        <f aca="false">IF($O45="Active",SUMPRODUCT(($AH$5:$AH$137=$AH45)*1),0)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9381</v>
      </c>
      <c r="AB45" s="30" t="s">
        <v>9382</v>
      </c>
      <c r="AG45" s="253" t="s">
        <v>9383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5941</v>
      </c>
      <c r="B46" s="6" t="s">
        <v>9384</v>
      </c>
      <c r="C46" s="255" t="n">
        <v>14800</v>
      </c>
      <c r="D46" s="253"/>
      <c r="E46" s="253"/>
      <c r="F46" s="30" t="s">
        <v>9372</v>
      </c>
      <c r="G46" s="30" t="s">
        <v>9385</v>
      </c>
      <c r="H46" s="30" t="s">
        <v>9374</v>
      </c>
      <c r="I46" s="30" t="s">
        <v>9375</v>
      </c>
      <c r="J46" s="6" t="s">
        <v>9376</v>
      </c>
      <c r="K46" s="253" t="n">
        <v>1</v>
      </c>
      <c r="L46" s="253" t="s">
        <v>8373</v>
      </c>
      <c r="M46" s="6" t="s">
        <v>9377</v>
      </c>
      <c r="N46" s="253" t="s">
        <v>8993</v>
      </c>
      <c r="O46" s="30" t="s">
        <v>8376</v>
      </c>
      <c r="P46" s="30" t="s">
        <v>809</v>
      </c>
      <c r="Q46" s="30" t="s">
        <v>9378</v>
      </c>
      <c r="R46" s="30" t="s">
        <v>809</v>
      </c>
      <c r="S46" s="30" t="s">
        <v>809</v>
      </c>
      <c r="T46" s="30" t="s">
        <v>809</v>
      </c>
      <c r="U46" s="30" t="s">
        <v>9285</v>
      </c>
      <c r="V46" s="20" t="s">
        <v>9386</v>
      </c>
      <c r="W46" s="20" t="s">
        <v>9387</v>
      </c>
      <c r="X46" s="32" t="n">
        <f aca="false">IF($O46="Active",SUMPRODUCT(($AH$5:$AH$137=$AH46)*1),0)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9381</v>
      </c>
      <c r="AB46" s="30" t="s">
        <v>9382</v>
      </c>
      <c r="AG46" s="253" t="s">
        <v>9388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9389</v>
      </c>
      <c r="B47" s="6" t="s">
        <v>9390</v>
      </c>
      <c r="C47" s="255" t="n">
        <v>608</v>
      </c>
      <c r="D47" s="253"/>
      <c r="E47" s="253"/>
      <c r="F47" s="30" t="s">
        <v>9391</v>
      </c>
      <c r="G47" s="30" t="s">
        <v>9392</v>
      </c>
      <c r="H47" s="30" t="s">
        <v>9374</v>
      </c>
      <c r="I47" s="30" t="s">
        <v>9375</v>
      </c>
      <c r="J47" s="6" t="s">
        <v>9376</v>
      </c>
      <c r="K47" s="253" t="n">
        <v>1</v>
      </c>
      <c r="L47" s="253" t="s">
        <v>8373</v>
      </c>
      <c r="M47" s="6" t="s">
        <v>9377</v>
      </c>
      <c r="N47" s="253" t="s">
        <v>8993</v>
      </c>
      <c r="O47" s="30" t="s">
        <v>8376</v>
      </c>
      <c r="P47" s="30" t="s">
        <v>809</v>
      </c>
      <c r="Q47" s="30" t="s">
        <v>9378</v>
      </c>
      <c r="R47" s="30" t="s">
        <v>809</v>
      </c>
      <c r="S47" s="30" t="s">
        <v>809</v>
      </c>
      <c r="T47" s="30" t="s">
        <v>809</v>
      </c>
      <c r="U47" s="30" t="s">
        <v>9285</v>
      </c>
      <c r="V47" s="6" t="s">
        <v>809</v>
      </c>
      <c r="W47" s="6" t="s">
        <v>809</v>
      </c>
      <c r="X47" s="32" t="n">
        <f aca="false">IF($O47="Active",SUMPRODUCT(($AH$5:$AH$137=$AH47)*1),0)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9393</v>
      </c>
      <c r="B48" s="6" t="s">
        <v>9394</v>
      </c>
      <c r="C48" s="255" t="n">
        <v>0.563</v>
      </c>
      <c r="D48" s="253"/>
      <c r="E48" s="253"/>
      <c r="F48" s="30" t="s">
        <v>127</v>
      </c>
      <c r="G48" s="30" t="s">
        <v>9395</v>
      </c>
      <c r="H48" s="30" t="s">
        <v>9374</v>
      </c>
      <c r="I48" s="30" t="s">
        <v>9375</v>
      </c>
      <c r="J48" s="6" t="s">
        <v>9376</v>
      </c>
      <c r="K48" s="253" t="n">
        <v>1</v>
      </c>
      <c r="L48" s="253" t="s">
        <v>8373</v>
      </c>
      <c r="M48" s="6" t="s">
        <v>9377</v>
      </c>
      <c r="N48" s="253" t="s">
        <v>8993</v>
      </c>
      <c r="O48" s="30" t="s">
        <v>8376</v>
      </c>
      <c r="P48" s="30" t="s">
        <v>809</v>
      </c>
      <c r="Q48" s="30" t="s">
        <v>9378</v>
      </c>
      <c r="R48" s="30" t="s">
        <v>809</v>
      </c>
      <c r="S48" s="30" t="s">
        <v>809</v>
      </c>
      <c r="T48" s="30" t="s">
        <v>809</v>
      </c>
      <c r="U48" s="30" t="s">
        <v>9285</v>
      </c>
      <c r="V48" s="20" t="s">
        <v>9396</v>
      </c>
      <c r="W48" s="20" t="s">
        <v>9397</v>
      </c>
      <c r="X48" s="32" t="n">
        <f aca="false">IF($O48="Active",SUMPRODUCT(($AH$5:$AH$137=$AH48)*1),0)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9398</v>
      </c>
      <c r="B49" s="6" t="s">
        <v>9399</v>
      </c>
      <c r="C49" s="255" t="n">
        <v>168</v>
      </c>
      <c r="D49" s="253"/>
      <c r="E49" s="253"/>
      <c r="F49" s="30" t="s">
        <v>9391</v>
      </c>
      <c r="G49" s="30" t="s">
        <v>9392</v>
      </c>
      <c r="H49" s="30" t="s">
        <v>9374</v>
      </c>
      <c r="I49" s="30" t="s">
        <v>9375</v>
      </c>
      <c r="J49" s="6" t="s">
        <v>9376</v>
      </c>
      <c r="K49" s="253" t="n">
        <v>1</v>
      </c>
      <c r="L49" s="253" t="s">
        <v>8373</v>
      </c>
      <c r="M49" s="6" t="s">
        <v>9377</v>
      </c>
      <c r="N49" s="253" t="s">
        <v>8993</v>
      </c>
      <c r="O49" s="30" t="s">
        <v>8376</v>
      </c>
      <c r="P49" s="30" t="s">
        <v>809</v>
      </c>
      <c r="Q49" s="30" t="s">
        <v>9378</v>
      </c>
      <c r="R49" s="30" t="s">
        <v>809</v>
      </c>
      <c r="S49" s="30" t="s">
        <v>809</v>
      </c>
      <c r="T49" s="30" t="s">
        <v>809</v>
      </c>
      <c r="U49" s="30" t="s">
        <v>9285</v>
      </c>
      <c r="V49" s="6" t="s">
        <v>809</v>
      </c>
      <c r="W49" s="6" t="s">
        <v>809</v>
      </c>
      <c r="X49" s="32" t="n">
        <f aca="false">IF($O49="Active",SUMPRODUCT(($AH$5:$AH$137=$AH49)*1),0)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9400</v>
      </c>
      <c r="B50" s="6" t="s">
        <v>9401</v>
      </c>
      <c r="C50" s="253"/>
      <c r="D50" s="255" t="n">
        <v>20</v>
      </c>
      <c r="E50" s="255" t="n">
        <v>22</v>
      </c>
      <c r="F50" s="30" t="s">
        <v>414</v>
      </c>
      <c r="G50" s="30" t="s">
        <v>9392</v>
      </c>
      <c r="H50" s="30" t="s">
        <v>9374</v>
      </c>
      <c r="I50" s="30" t="s">
        <v>9375</v>
      </c>
      <c r="J50" s="6" t="s">
        <v>9376</v>
      </c>
      <c r="K50" s="253" t="n">
        <v>1</v>
      </c>
      <c r="L50" s="253" t="s">
        <v>8373</v>
      </c>
      <c r="M50" s="6" t="s">
        <v>9377</v>
      </c>
      <c r="N50" s="253" t="s">
        <v>8993</v>
      </c>
      <c r="O50" s="30" t="s">
        <v>8376</v>
      </c>
      <c r="P50" s="30" t="s">
        <v>809</v>
      </c>
      <c r="Q50" s="30" t="s">
        <v>9378</v>
      </c>
      <c r="R50" s="30" t="s">
        <v>809</v>
      </c>
      <c r="S50" s="30" t="s">
        <v>809</v>
      </c>
      <c r="T50" s="30" t="s">
        <v>809</v>
      </c>
      <c r="U50" s="30" t="s">
        <v>9285</v>
      </c>
      <c r="V50" s="20" t="s">
        <v>9402</v>
      </c>
      <c r="W50" s="20" t="s">
        <v>9403</v>
      </c>
      <c r="X50" s="32" t="n">
        <f aca="false">IF($O50="Active",SUMPRODUCT(($AH$5:$AH$137=$AH50)*1),0)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9404</v>
      </c>
      <c r="B51" s="6" t="s">
        <v>9405</v>
      </c>
      <c r="C51" s="255" t="n">
        <v>4989</v>
      </c>
      <c r="D51" s="253"/>
      <c r="E51" s="253"/>
      <c r="F51" s="30" t="s">
        <v>333</v>
      </c>
      <c r="G51" s="30" t="s">
        <v>9392</v>
      </c>
      <c r="H51" s="30" t="s">
        <v>9374</v>
      </c>
      <c r="I51" s="30" t="s">
        <v>9375</v>
      </c>
      <c r="J51" s="6" t="s">
        <v>9376</v>
      </c>
      <c r="K51" s="253" t="n">
        <v>1</v>
      </c>
      <c r="L51" s="253" t="s">
        <v>8373</v>
      </c>
      <c r="M51" s="6" t="s">
        <v>9377</v>
      </c>
      <c r="N51" s="253" t="s">
        <v>8993</v>
      </c>
      <c r="O51" s="30" t="s">
        <v>8376</v>
      </c>
      <c r="P51" s="30" t="s">
        <v>809</v>
      </c>
      <c r="Q51" s="30" t="s">
        <v>9378</v>
      </c>
      <c r="R51" s="30" t="s">
        <v>809</v>
      </c>
      <c r="S51" s="30" t="s">
        <v>809</v>
      </c>
      <c r="T51" s="30" t="s">
        <v>809</v>
      </c>
      <c r="U51" s="30" t="s">
        <v>9285</v>
      </c>
      <c r="V51" s="6" t="s">
        <v>809</v>
      </c>
      <c r="W51" s="6" t="s">
        <v>809</v>
      </c>
      <c r="X51" s="32" t="n">
        <f aca="false">IF($O51="Active",SUMPRODUCT(($AH$5:$AH$137=$AH51)*1),0)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9406</v>
      </c>
      <c r="B52" s="6" t="s">
        <v>9407</v>
      </c>
      <c r="C52" s="255" t="n">
        <v>278</v>
      </c>
      <c r="D52" s="253"/>
      <c r="E52" s="253"/>
      <c r="F52" s="253" t="s">
        <v>9408</v>
      </c>
      <c r="G52" s="30" t="s">
        <v>9409</v>
      </c>
      <c r="H52" s="30" t="s">
        <v>9374</v>
      </c>
      <c r="I52" s="30" t="s">
        <v>9375</v>
      </c>
      <c r="J52" s="6" t="s">
        <v>9376</v>
      </c>
      <c r="K52" s="253" t="n">
        <v>1</v>
      </c>
      <c r="L52" s="253" t="s">
        <v>8373</v>
      </c>
      <c r="M52" s="6" t="s">
        <v>9377</v>
      </c>
      <c r="N52" s="253" t="s">
        <v>8993</v>
      </c>
      <c r="O52" s="30" t="s">
        <v>8376</v>
      </c>
      <c r="P52" s="30" t="s">
        <v>809</v>
      </c>
      <c r="Q52" s="30" t="s">
        <v>9378</v>
      </c>
      <c r="R52" s="30" t="s">
        <v>809</v>
      </c>
      <c r="S52" s="30" t="s">
        <v>809</v>
      </c>
      <c r="T52" s="30" t="s">
        <v>809</v>
      </c>
      <c r="U52" s="30" t="s">
        <v>9285</v>
      </c>
      <c r="V52" s="6" t="s">
        <v>809</v>
      </c>
      <c r="W52" s="20" t="s">
        <v>9410</v>
      </c>
      <c r="X52" s="32" t="n">
        <f aca="false">IF($O52="Active",SUMPRODUCT(($AH$5:$AH$137=$AH52)*1),0)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9411</v>
      </c>
      <c r="B53" s="6" t="s">
        <v>9412</v>
      </c>
      <c r="C53" s="255" t="n">
        <v>226.75</v>
      </c>
      <c r="D53" s="253"/>
      <c r="E53" s="253"/>
      <c r="F53" s="253" t="s">
        <v>9408</v>
      </c>
      <c r="G53" s="30" t="s">
        <v>9409</v>
      </c>
      <c r="H53" s="30" t="s">
        <v>9374</v>
      </c>
      <c r="I53" s="30" t="s">
        <v>9375</v>
      </c>
      <c r="J53" s="6" t="s">
        <v>9376</v>
      </c>
      <c r="K53" s="253" t="n">
        <v>1</v>
      </c>
      <c r="L53" s="253" t="s">
        <v>8373</v>
      </c>
      <c r="M53" s="6" t="s">
        <v>9377</v>
      </c>
      <c r="N53" s="253" t="s">
        <v>8993</v>
      </c>
      <c r="O53" s="30" t="s">
        <v>8376</v>
      </c>
      <c r="P53" s="30" t="s">
        <v>809</v>
      </c>
      <c r="Q53" s="30" t="s">
        <v>9378</v>
      </c>
      <c r="R53" s="30" t="s">
        <v>809</v>
      </c>
      <c r="S53" s="30" t="s">
        <v>809</v>
      </c>
      <c r="T53" s="30" t="s">
        <v>809</v>
      </c>
      <c r="U53" s="30" t="s">
        <v>9285</v>
      </c>
      <c r="V53" s="6" t="s">
        <v>809</v>
      </c>
      <c r="W53" s="6" t="s">
        <v>809</v>
      </c>
      <c r="X53" s="32" t="n">
        <f aca="false">IF($O53="Active",SUMPRODUCT(($AH$5:$AH$137=$AH53)*1),0)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9413</v>
      </c>
      <c r="B54" s="6" t="s">
        <v>9414</v>
      </c>
      <c r="C54" s="255" t="n">
        <v>4</v>
      </c>
      <c r="D54" s="253"/>
      <c r="E54" s="253"/>
      <c r="F54" s="253" t="s">
        <v>9408</v>
      </c>
      <c r="G54" s="30" t="s">
        <v>9415</v>
      </c>
      <c r="H54" s="30" t="s">
        <v>9374</v>
      </c>
      <c r="I54" s="30" t="s">
        <v>9375</v>
      </c>
      <c r="J54" s="6" t="s">
        <v>9376</v>
      </c>
      <c r="K54" s="253" t="n">
        <v>1</v>
      </c>
      <c r="L54" s="253" t="s">
        <v>8373</v>
      </c>
      <c r="M54" s="6" t="s">
        <v>9377</v>
      </c>
      <c r="N54" s="253" t="s">
        <v>8993</v>
      </c>
      <c r="O54" s="30" t="s">
        <v>8376</v>
      </c>
      <c r="P54" s="30" t="s">
        <v>809</v>
      </c>
      <c r="Q54" s="30" t="s">
        <v>9378</v>
      </c>
      <c r="R54" s="30" t="s">
        <v>809</v>
      </c>
      <c r="S54" s="30" t="s">
        <v>809</v>
      </c>
      <c r="T54" s="30" t="s">
        <v>809</v>
      </c>
      <c r="U54" s="30" t="s">
        <v>9285</v>
      </c>
      <c r="V54" s="20" t="s">
        <v>9416</v>
      </c>
      <c r="W54" s="20" t="s">
        <v>9417</v>
      </c>
      <c r="X54" s="32" t="n">
        <f aca="false">IF($O54="Active",SUMPRODUCT(($AH$5:$AH$137=$AH54)*1),0)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5519</v>
      </c>
      <c r="B55" s="6" t="s">
        <v>9418</v>
      </c>
      <c r="C55" s="255" t="n">
        <v>18</v>
      </c>
      <c r="D55" s="253"/>
      <c r="E55" s="253"/>
      <c r="F55" s="253" t="s">
        <v>9408</v>
      </c>
      <c r="G55" s="30" t="s">
        <v>9419</v>
      </c>
      <c r="H55" s="30" t="s">
        <v>9374</v>
      </c>
      <c r="I55" s="30" t="s">
        <v>9375</v>
      </c>
      <c r="J55" s="6" t="s">
        <v>9376</v>
      </c>
      <c r="K55" s="253" t="n">
        <v>1</v>
      </c>
      <c r="L55" s="253" t="s">
        <v>8373</v>
      </c>
      <c r="M55" s="6" t="s">
        <v>9377</v>
      </c>
      <c r="N55" s="253" t="s">
        <v>8993</v>
      </c>
      <c r="O55" s="30" t="s">
        <v>8376</v>
      </c>
      <c r="P55" s="30" t="s">
        <v>809</v>
      </c>
      <c r="Q55" s="30" t="s">
        <v>9378</v>
      </c>
      <c r="R55" s="30" t="s">
        <v>809</v>
      </c>
      <c r="S55" s="30" t="s">
        <v>809</v>
      </c>
      <c r="T55" s="30" t="s">
        <v>809</v>
      </c>
      <c r="U55" s="30" t="s">
        <v>9285</v>
      </c>
      <c r="V55" s="20" t="s">
        <v>9420</v>
      </c>
      <c r="W55" s="20" t="s">
        <v>9421</v>
      </c>
      <c r="X55" s="32" t="n">
        <f aca="false">IF($O55="Active",SUMPRODUCT(($AH$5:$AH$137=$AH55)*1),0)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9422</v>
      </c>
      <c r="B56" s="6" t="s">
        <v>9423</v>
      </c>
      <c r="C56" s="255" t="n">
        <v>558802.8</v>
      </c>
      <c r="D56" s="253"/>
      <c r="E56" s="253"/>
      <c r="F56" s="30" t="s">
        <v>9424</v>
      </c>
      <c r="G56" s="30" t="s">
        <v>9425</v>
      </c>
      <c r="H56" s="30" t="s">
        <v>9426</v>
      </c>
      <c r="I56" s="30" t="s">
        <v>9427</v>
      </c>
      <c r="J56" s="6" t="s">
        <v>9309</v>
      </c>
      <c r="K56" s="253" t="n">
        <v>1</v>
      </c>
      <c r="L56" s="253" t="s">
        <v>8373</v>
      </c>
      <c r="M56" s="6" t="s">
        <v>9428</v>
      </c>
      <c r="N56" s="253" t="s">
        <v>8375</v>
      </c>
      <c r="O56" s="30" t="s">
        <v>8376</v>
      </c>
      <c r="P56" s="30" t="s">
        <v>809</v>
      </c>
      <c r="Q56" s="30" t="s">
        <v>9429</v>
      </c>
      <c r="R56" s="30" t="s">
        <v>6773</v>
      </c>
      <c r="S56" s="30" t="s">
        <v>809</v>
      </c>
      <c r="T56" s="30" t="s">
        <v>809</v>
      </c>
      <c r="U56" s="30" t="s">
        <v>9430</v>
      </c>
      <c r="V56" s="6" t="s">
        <v>809</v>
      </c>
      <c r="W56" s="6" t="s">
        <v>9431</v>
      </c>
      <c r="X56" s="32" t="n">
        <f aca="false">IF($O56="Active",SUMPRODUCT(($AH$5:$AH$137=$AH56)*1),0)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9432</v>
      </c>
      <c r="B57" s="6" t="s">
        <v>9433</v>
      </c>
      <c r="C57" s="255" t="n">
        <v>591368.3</v>
      </c>
      <c r="D57" s="253"/>
      <c r="E57" s="253"/>
      <c r="F57" s="30" t="s">
        <v>9424</v>
      </c>
      <c r="G57" s="30" t="s">
        <v>9434</v>
      </c>
      <c r="H57" s="30" t="s">
        <v>9426</v>
      </c>
      <c r="I57" s="30" t="s">
        <v>9427</v>
      </c>
      <c r="J57" s="6" t="s">
        <v>9309</v>
      </c>
      <c r="K57" s="253" t="n">
        <v>1</v>
      </c>
      <c r="L57" s="253" t="s">
        <v>8373</v>
      </c>
      <c r="M57" s="6" t="s">
        <v>9428</v>
      </c>
      <c r="N57" s="253" t="s">
        <v>8375</v>
      </c>
      <c r="O57" s="30" t="s">
        <v>8376</v>
      </c>
      <c r="P57" s="30" t="s">
        <v>809</v>
      </c>
      <c r="Q57" s="30" t="s">
        <v>9429</v>
      </c>
      <c r="R57" s="30" t="s">
        <v>9435</v>
      </c>
      <c r="S57" s="30" t="s">
        <v>809</v>
      </c>
      <c r="T57" s="30" t="s">
        <v>809</v>
      </c>
      <c r="U57" s="30" t="s">
        <v>9430</v>
      </c>
      <c r="V57" s="6" t="s">
        <v>809</v>
      </c>
      <c r="W57" s="6" t="s">
        <v>9431</v>
      </c>
      <c r="X57" s="32" t="n">
        <f aca="false">IF($O57="Active",SUMPRODUCT(($AH$5:$AH$137=$AH57)*1),0)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9436</v>
      </c>
      <c r="B58" s="6" t="s">
        <v>9437</v>
      </c>
      <c r="C58" s="255" t="n">
        <v>689961</v>
      </c>
      <c r="D58" s="253"/>
      <c r="E58" s="253"/>
      <c r="F58" s="30" t="s">
        <v>9289</v>
      </c>
      <c r="G58" s="30" t="s">
        <v>9438</v>
      </c>
      <c r="H58" s="30" t="s">
        <v>9439</v>
      </c>
      <c r="I58" s="30" t="s">
        <v>9427</v>
      </c>
      <c r="J58" s="6" t="s">
        <v>9309</v>
      </c>
      <c r="K58" s="253" t="n">
        <v>1</v>
      </c>
      <c r="L58" s="253" t="s">
        <v>8373</v>
      </c>
      <c r="M58" s="6" t="s">
        <v>9440</v>
      </c>
      <c r="N58" s="253" t="s">
        <v>8375</v>
      </c>
      <c r="O58" s="30" t="s">
        <v>8376</v>
      </c>
      <c r="P58" s="30" t="s">
        <v>809</v>
      </c>
      <c r="Q58" s="30" t="s">
        <v>9429</v>
      </c>
      <c r="R58" s="30" t="s">
        <v>9441</v>
      </c>
      <c r="S58" s="30" t="s">
        <v>809</v>
      </c>
      <c r="T58" s="30" t="s">
        <v>809</v>
      </c>
      <c r="U58" s="30" t="s">
        <v>9430</v>
      </c>
      <c r="V58" s="6" t="s">
        <v>809</v>
      </c>
      <c r="W58" s="6" t="s">
        <v>9442</v>
      </c>
      <c r="X58" s="32" t="n">
        <f aca="false">IF($O58="Active",SUMPRODUCT(($AH$5:$AH$137=$AH58)*1),0)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9443</v>
      </c>
      <c r="B59" s="6" t="s">
        <v>9444</v>
      </c>
      <c r="C59" s="255" t="n">
        <v>603023</v>
      </c>
      <c r="D59" s="253"/>
      <c r="E59" s="253"/>
      <c r="F59" s="30" t="s">
        <v>9289</v>
      </c>
      <c r="G59" s="30" t="s">
        <v>9445</v>
      </c>
      <c r="H59" s="30" t="s">
        <v>9439</v>
      </c>
      <c r="I59" s="30" t="s">
        <v>9427</v>
      </c>
      <c r="J59" s="6" t="s">
        <v>9309</v>
      </c>
      <c r="K59" s="253" t="n">
        <v>1</v>
      </c>
      <c r="L59" s="253" t="s">
        <v>8373</v>
      </c>
      <c r="M59" s="6" t="s">
        <v>9440</v>
      </c>
      <c r="N59" s="253" t="s">
        <v>8375</v>
      </c>
      <c r="O59" s="30" t="s">
        <v>8376</v>
      </c>
      <c r="P59" s="30" t="s">
        <v>809</v>
      </c>
      <c r="Q59" s="30" t="s">
        <v>9429</v>
      </c>
      <c r="R59" s="30" t="s">
        <v>9446</v>
      </c>
      <c r="S59" s="30" t="s">
        <v>809</v>
      </c>
      <c r="T59" s="30" t="s">
        <v>809</v>
      </c>
      <c r="U59" s="30" t="s">
        <v>9430</v>
      </c>
      <c r="V59" s="6" t="s">
        <v>809</v>
      </c>
      <c r="W59" s="6" t="s">
        <v>9442</v>
      </c>
      <c r="X59" s="32" t="n">
        <f aca="false">IF($O59="Active",SUMPRODUCT(($AH$5:$AH$137=$AH59)*1),0)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6773</v>
      </c>
      <c r="B60" s="6" t="s">
        <v>9447</v>
      </c>
      <c r="C60" s="255" t="n">
        <v>1183326.9</v>
      </c>
      <c r="D60" s="253"/>
      <c r="E60" s="253"/>
      <c r="F60" s="30" t="s">
        <v>9289</v>
      </c>
      <c r="G60" s="30" t="s">
        <v>9425</v>
      </c>
      <c r="H60" s="30" t="s">
        <v>9448</v>
      </c>
      <c r="I60" s="30" t="s">
        <v>9427</v>
      </c>
      <c r="J60" s="6" t="s">
        <v>9309</v>
      </c>
      <c r="K60" s="253" t="n">
        <v>1</v>
      </c>
      <c r="L60" s="253" t="s">
        <v>8373</v>
      </c>
      <c r="M60" s="6" t="s">
        <v>9428</v>
      </c>
      <c r="N60" s="253" t="s">
        <v>8375</v>
      </c>
      <c r="O60" s="30" t="s">
        <v>8376</v>
      </c>
      <c r="P60" s="30" t="s">
        <v>809</v>
      </c>
      <c r="Q60" s="30" t="s">
        <v>9429</v>
      </c>
      <c r="R60" s="30" t="s">
        <v>9422</v>
      </c>
      <c r="S60" s="30" t="s">
        <v>809</v>
      </c>
      <c r="T60" s="30" t="s">
        <v>809</v>
      </c>
      <c r="U60" s="30" t="s">
        <v>9430</v>
      </c>
      <c r="V60" s="6" t="s">
        <v>809</v>
      </c>
      <c r="W60" s="6" t="s">
        <v>9449</v>
      </c>
      <c r="X60" s="32" t="n">
        <f aca="false">IF($O60="Active",SUMPRODUCT(($AH$5:$AH$137=$AH60)*1),0)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9435</v>
      </c>
      <c r="B61" s="6" t="s">
        <v>9450</v>
      </c>
      <c r="C61" s="255" t="n">
        <v>1175890.2</v>
      </c>
      <c r="D61" s="253"/>
      <c r="E61" s="253"/>
      <c r="F61" s="30" t="s">
        <v>9289</v>
      </c>
      <c r="G61" s="30" t="s">
        <v>9434</v>
      </c>
      <c r="H61" s="30" t="s">
        <v>9448</v>
      </c>
      <c r="I61" s="30" t="s">
        <v>9427</v>
      </c>
      <c r="J61" s="6" t="s">
        <v>9309</v>
      </c>
      <c r="K61" s="253" t="n">
        <v>1</v>
      </c>
      <c r="L61" s="253" t="s">
        <v>8373</v>
      </c>
      <c r="M61" s="6" t="s">
        <v>9428</v>
      </c>
      <c r="N61" s="253" t="s">
        <v>8375</v>
      </c>
      <c r="O61" s="30" t="s">
        <v>8376</v>
      </c>
      <c r="P61" s="30" t="s">
        <v>809</v>
      </c>
      <c r="Q61" s="30" t="s">
        <v>9429</v>
      </c>
      <c r="R61" s="30" t="s">
        <v>9432</v>
      </c>
      <c r="S61" s="30" t="s">
        <v>809</v>
      </c>
      <c r="T61" s="30" t="s">
        <v>809</v>
      </c>
      <c r="U61" s="30" t="s">
        <v>9430</v>
      </c>
      <c r="V61" s="6" t="s">
        <v>809</v>
      </c>
      <c r="W61" s="6" t="s">
        <v>9449</v>
      </c>
      <c r="X61" s="32" t="n">
        <f aca="false">IF($O61="Active",SUMPRODUCT(($AH$5:$AH$137=$AH61)*1),0)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9441</v>
      </c>
      <c r="B62" s="6" t="s">
        <v>9451</v>
      </c>
      <c r="C62" s="255" t="n">
        <v>679740</v>
      </c>
      <c r="D62" s="253"/>
      <c r="E62" s="253"/>
      <c r="F62" s="30" t="s">
        <v>9289</v>
      </c>
      <c r="G62" s="30" t="s">
        <v>9438</v>
      </c>
      <c r="H62" s="30" t="s">
        <v>9452</v>
      </c>
      <c r="I62" s="30" t="s">
        <v>9427</v>
      </c>
      <c r="J62" s="6" t="s">
        <v>9309</v>
      </c>
      <c r="K62" s="253" t="n">
        <v>1</v>
      </c>
      <c r="L62" s="253" t="s">
        <v>8373</v>
      </c>
      <c r="M62" s="6" t="s">
        <v>9440</v>
      </c>
      <c r="N62" s="253" t="s">
        <v>8375</v>
      </c>
      <c r="O62" s="30" t="s">
        <v>8376</v>
      </c>
      <c r="P62" s="30" t="s">
        <v>809</v>
      </c>
      <c r="Q62" s="30" t="s">
        <v>9429</v>
      </c>
      <c r="R62" s="30" t="s">
        <v>9436</v>
      </c>
      <c r="S62" s="30" t="s">
        <v>809</v>
      </c>
      <c r="T62" s="30" t="s">
        <v>809</v>
      </c>
      <c r="U62" s="30" t="s">
        <v>9430</v>
      </c>
      <c r="V62" s="6" t="s">
        <v>809</v>
      </c>
      <c r="W62" s="6" t="s">
        <v>9453</v>
      </c>
      <c r="X62" s="32" t="n">
        <f aca="false">IF($O62="Active",SUMPRODUCT(($AH$5:$AH$137=$AH62)*1),0)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9446</v>
      </c>
      <c r="B63" s="6" t="s">
        <v>9454</v>
      </c>
      <c r="C63" s="255" t="n">
        <v>596944</v>
      </c>
      <c r="D63" s="253"/>
      <c r="E63" s="253"/>
      <c r="F63" s="30" t="s">
        <v>9289</v>
      </c>
      <c r="G63" s="30" t="s">
        <v>9445</v>
      </c>
      <c r="H63" s="30" t="s">
        <v>9452</v>
      </c>
      <c r="I63" s="30" t="s">
        <v>9427</v>
      </c>
      <c r="J63" s="6" t="s">
        <v>9309</v>
      </c>
      <c r="K63" s="253" t="n">
        <v>1</v>
      </c>
      <c r="L63" s="253" t="s">
        <v>8373</v>
      </c>
      <c r="M63" s="6" t="s">
        <v>9440</v>
      </c>
      <c r="N63" s="253" t="s">
        <v>8375</v>
      </c>
      <c r="O63" s="30" t="s">
        <v>8376</v>
      </c>
      <c r="P63" s="30" t="s">
        <v>809</v>
      </c>
      <c r="Q63" s="30" t="s">
        <v>9429</v>
      </c>
      <c r="R63" s="30" t="s">
        <v>9443</v>
      </c>
      <c r="S63" s="30" t="s">
        <v>809</v>
      </c>
      <c r="T63" s="30" t="s">
        <v>809</v>
      </c>
      <c r="U63" s="30" t="s">
        <v>9430</v>
      </c>
      <c r="V63" s="6" t="s">
        <v>809</v>
      </c>
      <c r="W63" s="6" t="s">
        <v>9453</v>
      </c>
      <c r="X63" s="32" t="n">
        <f aca="false">IF($O63="Active",SUMPRODUCT(($AH$5:$AH$137=$AH63)*1),0)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9455</v>
      </c>
      <c r="B64" s="6" t="s">
        <v>9456</v>
      </c>
      <c r="C64" s="255" t="n">
        <v>556</v>
      </c>
      <c r="D64" s="207"/>
      <c r="E64" s="207"/>
      <c r="F64" s="30" t="s">
        <v>9303</v>
      </c>
      <c r="G64" s="30" t="s">
        <v>9457</v>
      </c>
      <c r="H64" s="30" t="s">
        <v>9458</v>
      </c>
      <c r="I64" s="30" t="s">
        <v>9320</v>
      </c>
      <c r="J64" s="6" t="s">
        <v>9459</v>
      </c>
      <c r="K64" s="207" t="n">
        <v>2</v>
      </c>
      <c r="L64" s="207" t="s">
        <v>8373</v>
      </c>
      <c r="M64" s="6" t="s">
        <v>9460</v>
      </c>
      <c r="N64" s="207" t="s">
        <v>9461</v>
      </c>
      <c r="O64" s="30" t="s">
        <v>8376</v>
      </c>
      <c r="P64" s="30" t="s">
        <v>809</v>
      </c>
      <c r="Q64" s="30" t="s">
        <v>9462</v>
      </c>
      <c r="R64" s="30" t="s">
        <v>809</v>
      </c>
      <c r="S64" s="30" t="s">
        <v>809</v>
      </c>
      <c r="T64" s="30" t="s">
        <v>809</v>
      </c>
      <c r="U64" s="30" t="s">
        <v>9463</v>
      </c>
      <c r="V64" s="6" t="s">
        <v>9464</v>
      </c>
      <c r="W64" s="6" t="s">
        <v>9465</v>
      </c>
      <c r="X64" s="32" t="n">
        <f aca="false">IF($O64="Active",SUMPRODUCT(($AH$5:$AH$137=$AH64)*1),0)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9466</v>
      </c>
      <c r="B65" s="6" t="s">
        <v>9467</v>
      </c>
      <c r="C65" s="255" t="n">
        <v>2327</v>
      </c>
      <c r="D65" s="207"/>
      <c r="E65" s="207"/>
      <c r="F65" s="30" t="s">
        <v>9303</v>
      </c>
      <c r="G65" s="30" t="s">
        <v>9468</v>
      </c>
      <c r="H65" s="30" t="s">
        <v>9469</v>
      </c>
      <c r="I65" s="30" t="s">
        <v>9320</v>
      </c>
      <c r="J65" s="6" t="s">
        <v>9459</v>
      </c>
      <c r="K65" s="207" t="n">
        <v>2</v>
      </c>
      <c r="L65" s="207" t="s">
        <v>8373</v>
      </c>
      <c r="M65" s="6" t="s">
        <v>9470</v>
      </c>
      <c r="N65" s="207" t="s">
        <v>9461</v>
      </c>
      <c r="O65" s="30" t="s">
        <v>8376</v>
      </c>
      <c r="P65" s="30" t="s">
        <v>809</v>
      </c>
      <c r="Q65" s="30" t="s">
        <v>9462</v>
      </c>
      <c r="R65" s="30" t="s">
        <v>809</v>
      </c>
      <c r="S65" s="30" t="s">
        <v>809</v>
      </c>
      <c r="T65" s="30" t="s">
        <v>809</v>
      </c>
      <c r="U65" s="30" t="s">
        <v>9463</v>
      </c>
      <c r="V65" s="6" t="s">
        <v>9471</v>
      </c>
      <c r="W65" s="6" t="s">
        <v>9472</v>
      </c>
      <c r="X65" s="32" t="n">
        <f aca="false">IF($O65="Active",SUMPRODUCT(($AH$5:$AH$137=$AH65)*1),0)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9473</v>
      </c>
      <c r="B66" s="6" t="s">
        <v>9474</v>
      </c>
      <c r="C66" s="255" t="n">
        <v>2785</v>
      </c>
      <c r="D66" s="207"/>
      <c r="E66" s="207"/>
      <c r="F66" s="30" t="s">
        <v>9475</v>
      </c>
      <c r="G66" s="207" t="s">
        <v>9476</v>
      </c>
      <c r="H66" s="30" t="s">
        <v>9477</v>
      </c>
      <c r="I66" s="30" t="s">
        <v>9032</v>
      </c>
      <c r="J66" s="6" t="s">
        <v>9459</v>
      </c>
      <c r="K66" s="207" t="n">
        <v>2</v>
      </c>
      <c r="L66" s="207" t="s">
        <v>8373</v>
      </c>
      <c r="M66" s="245" t="s">
        <v>9478</v>
      </c>
      <c r="N66" s="207" t="s">
        <v>9461</v>
      </c>
      <c r="O66" s="30" t="s">
        <v>8376</v>
      </c>
      <c r="P66" s="30" t="s">
        <v>809</v>
      </c>
      <c r="Q66" s="30" t="s">
        <v>9462</v>
      </c>
      <c r="R66" s="30" t="s">
        <v>809</v>
      </c>
      <c r="S66" s="30" t="s">
        <v>809</v>
      </c>
      <c r="T66" s="30" t="s">
        <v>809</v>
      </c>
      <c r="U66" s="30" t="s">
        <v>9463</v>
      </c>
      <c r="V66" s="6" t="s">
        <v>9479</v>
      </c>
      <c r="W66" s="6" t="s">
        <v>9480</v>
      </c>
      <c r="X66" s="32" t="n">
        <f aca="false">IF($O66="Active",SUMPRODUCT(($AH$5:$AH$137=$AH66)*1),0)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9481</v>
      </c>
      <c r="B67" s="6" t="s">
        <v>9482</v>
      </c>
      <c r="C67" s="255" t="n">
        <v>13386</v>
      </c>
      <c r="D67" s="207"/>
      <c r="E67" s="207"/>
      <c r="F67" s="30" t="s">
        <v>9475</v>
      </c>
      <c r="G67" s="30" t="s">
        <v>9483</v>
      </c>
      <c r="H67" s="30" t="s">
        <v>202</v>
      </c>
      <c r="I67" s="30" t="s">
        <v>9320</v>
      </c>
      <c r="J67" s="6" t="s">
        <v>9459</v>
      </c>
      <c r="K67" s="207" t="n">
        <v>2</v>
      </c>
      <c r="L67" s="207" t="s">
        <v>8373</v>
      </c>
      <c r="M67" s="245" t="s">
        <v>9484</v>
      </c>
      <c r="N67" s="207" t="s">
        <v>9461</v>
      </c>
      <c r="O67" s="30" t="s">
        <v>8376</v>
      </c>
      <c r="P67" s="30" t="s">
        <v>809</v>
      </c>
      <c r="Q67" s="30" t="s">
        <v>9462</v>
      </c>
      <c r="R67" s="30" t="s">
        <v>809</v>
      </c>
      <c r="S67" s="30" t="s">
        <v>809</v>
      </c>
      <c r="T67" s="30" t="s">
        <v>809</v>
      </c>
      <c r="U67" s="30" t="s">
        <v>9463</v>
      </c>
      <c r="V67" s="6" t="s">
        <v>9485</v>
      </c>
      <c r="W67" s="6" t="s">
        <v>9486</v>
      </c>
      <c r="X67" s="32" t="n">
        <f aca="false">IF($O67="Active",SUMPRODUCT(($AH$5:$AH$137=$AH67)*1),0)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9487</v>
      </c>
      <c r="B68" s="6" t="s">
        <v>9488</v>
      </c>
      <c r="C68" s="255" t="n">
        <v>0.11</v>
      </c>
      <c r="D68" s="207"/>
      <c r="E68" s="207"/>
      <c r="F68" s="30" t="s">
        <v>132</v>
      </c>
      <c r="G68" s="30" t="s">
        <v>9489</v>
      </c>
      <c r="H68" s="30" t="s">
        <v>9490</v>
      </c>
      <c r="I68" s="30" t="s">
        <v>9491</v>
      </c>
      <c r="J68" s="6" t="s">
        <v>9492</v>
      </c>
      <c r="K68" s="207" t="n">
        <v>2</v>
      </c>
      <c r="L68" s="207" t="s">
        <v>8480</v>
      </c>
      <c r="M68" s="245" t="s">
        <v>9493</v>
      </c>
      <c r="N68" s="207" t="s">
        <v>9461</v>
      </c>
      <c r="O68" s="30" t="s">
        <v>8376</v>
      </c>
      <c r="P68" s="30" t="s">
        <v>809</v>
      </c>
      <c r="Q68" s="30" t="s">
        <v>9462</v>
      </c>
      <c r="R68" s="30" t="s">
        <v>809</v>
      </c>
      <c r="S68" s="30" t="s">
        <v>809</v>
      </c>
      <c r="T68" s="30" t="s">
        <v>809</v>
      </c>
      <c r="U68" s="30" t="s">
        <v>9463</v>
      </c>
      <c r="V68" s="6" t="s">
        <v>9494</v>
      </c>
      <c r="W68" s="6" t="s">
        <v>9495</v>
      </c>
      <c r="X68" s="32" t="n">
        <f aca="false">IF($O68="Active",SUMPRODUCT(($AH$5:$AH$137=$AH68)*1),0)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9496</v>
      </c>
      <c r="B69" s="6" t="s">
        <v>9497</v>
      </c>
      <c r="C69" s="207"/>
      <c r="D69" s="255" t="n">
        <v>0.1</v>
      </c>
      <c r="E69" s="207"/>
      <c r="F69" s="30" t="s">
        <v>132</v>
      </c>
      <c r="G69" s="207" t="s">
        <v>9498</v>
      </c>
      <c r="H69" s="30" t="s">
        <v>9499</v>
      </c>
      <c r="I69" s="30" t="s">
        <v>9491</v>
      </c>
      <c r="J69" s="6" t="s">
        <v>9492</v>
      </c>
      <c r="K69" s="207" t="n">
        <v>2</v>
      </c>
      <c r="L69" s="207" t="s">
        <v>8373</v>
      </c>
      <c r="M69" s="245" t="s">
        <v>9500</v>
      </c>
      <c r="N69" s="207" t="s">
        <v>9461</v>
      </c>
      <c r="O69" s="30" t="s">
        <v>8376</v>
      </c>
      <c r="P69" s="30" t="s">
        <v>809</v>
      </c>
      <c r="Q69" s="30" t="s">
        <v>9462</v>
      </c>
      <c r="R69" s="30" t="s">
        <v>809</v>
      </c>
      <c r="S69" s="30" t="s">
        <v>809</v>
      </c>
      <c r="T69" s="30" t="s">
        <v>809</v>
      </c>
      <c r="U69" s="30" t="s">
        <v>9463</v>
      </c>
      <c r="V69" s="6" t="s">
        <v>9494</v>
      </c>
      <c r="W69" s="6" t="s">
        <v>9501</v>
      </c>
      <c r="X69" s="32" t="n">
        <f aca="false">IF($O69="Active",SUMPRODUCT(($AH$5:$AH$137=$AH69)*1),0)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25" hidden="false" customHeight="true" outlineLevel="0" collapsed="false">
      <c r="A70" s="30" t="s">
        <v>5756</v>
      </c>
      <c r="B70" s="245" t="s">
        <v>9502</v>
      </c>
      <c r="C70" s="255" t="n">
        <v>116.5</v>
      </c>
      <c r="D70" s="207"/>
      <c r="E70" s="207"/>
      <c r="F70" s="30" t="s">
        <v>9254</v>
      </c>
      <c r="G70" s="207" t="s">
        <v>9503</v>
      </c>
      <c r="H70" s="30" t="s">
        <v>1498</v>
      </c>
      <c r="I70" s="30" t="s">
        <v>9504</v>
      </c>
      <c r="J70" s="6" t="s">
        <v>9505</v>
      </c>
      <c r="K70" s="207" t="n">
        <v>2</v>
      </c>
      <c r="L70" s="207" t="s">
        <v>8480</v>
      </c>
      <c r="M70" s="245" t="s">
        <v>9506</v>
      </c>
      <c r="N70" s="207" t="s">
        <v>9507</v>
      </c>
      <c r="O70" s="30" t="s">
        <v>8376</v>
      </c>
      <c r="P70" s="30" t="s">
        <v>809</v>
      </c>
      <c r="Q70" s="30" t="s">
        <v>9508</v>
      </c>
      <c r="R70" s="30" t="s">
        <v>9509</v>
      </c>
      <c r="S70" s="30" t="s">
        <v>809</v>
      </c>
      <c r="T70" s="30" t="s">
        <v>809</v>
      </c>
      <c r="U70" s="30" t="s">
        <v>9510</v>
      </c>
      <c r="V70" s="6" t="s">
        <v>9511</v>
      </c>
      <c r="W70" s="6" t="s">
        <v>9512</v>
      </c>
      <c r="X70" s="32" t="n">
        <f aca="false">IF($O70="Active",SUMPRODUCT(($AH$5:$AH$137=$AH70)*1),0)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3.5" hidden="false" customHeight="true" outlineLevel="0" collapsed="false">
      <c r="A71" s="30" t="s">
        <v>9509</v>
      </c>
      <c r="B71" s="245" t="s">
        <v>9513</v>
      </c>
      <c r="C71" s="255" t="n">
        <v>61</v>
      </c>
      <c r="D71" s="207"/>
      <c r="E71" s="207"/>
      <c r="F71" s="30" t="s">
        <v>9254</v>
      </c>
      <c r="G71" s="207" t="s">
        <v>9514</v>
      </c>
      <c r="H71" s="30" t="s">
        <v>1498</v>
      </c>
      <c r="I71" s="30" t="s">
        <v>9504</v>
      </c>
      <c r="J71" s="6" t="s">
        <v>9515</v>
      </c>
      <c r="K71" s="207" t="n">
        <v>2</v>
      </c>
      <c r="L71" s="207" t="s">
        <v>8480</v>
      </c>
      <c r="M71" s="245" t="s">
        <v>9516</v>
      </c>
      <c r="N71" s="207" t="s">
        <v>9507</v>
      </c>
      <c r="O71" s="30" t="s">
        <v>8376</v>
      </c>
      <c r="P71" s="30" t="s">
        <v>809</v>
      </c>
      <c r="Q71" s="30" t="s">
        <v>9508</v>
      </c>
      <c r="R71" s="30" t="s">
        <v>5756</v>
      </c>
      <c r="S71" s="30" t="s">
        <v>809</v>
      </c>
      <c r="T71" s="30" t="s">
        <v>809</v>
      </c>
      <c r="U71" s="30" t="s">
        <v>9510</v>
      </c>
      <c r="V71" s="6" t="s">
        <v>9511</v>
      </c>
      <c r="W71" s="6" t="s">
        <v>9517</v>
      </c>
      <c r="X71" s="32" t="n">
        <f aca="false">IF($O71="Active",SUMPRODUCT(($AH$5:$AH$137=$AH71)*1),0)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0</v>
      </c>
      <c r="AH71" s="44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3.5" hidden="false" customHeight="true" outlineLevel="0" collapsed="false">
      <c r="A72" s="30" t="s">
        <v>5763</v>
      </c>
      <c r="B72" s="245" t="s">
        <v>9518</v>
      </c>
      <c r="C72" s="255" t="n">
        <v>50.7</v>
      </c>
      <c r="D72" s="207"/>
      <c r="E72" s="207"/>
      <c r="F72" s="30" t="s">
        <v>9254</v>
      </c>
      <c r="G72" s="207" t="s">
        <v>9503</v>
      </c>
      <c r="H72" s="30" t="s">
        <v>9519</v>
      </c>
      <c r="I72" s="30" t="s">
        <v>9504</v>
      </c>
      <c r="J72" s="6" t="s">
        <v>9520</v>
      </c>
      <c r="K72" s="207" t="n">
        <v>2</v>
      </c>
      <c r="L72" s="207" t="s">
        <v>8480</v>
      </c>
      <c r="M72" s="245" t="s">
        <v>9521</v>
      </c>
      <c r="N72" s="207" t="s">
        <v>9507</v>
      </c>
      <c r="O72" s="30" t="s">
        <v>8376</v>
      </c>
      <c r="P72" s="30" t="s">
        <v>809</v>
      </c>
      <c r="Q72" s="30" t="s">
        <v>9508</v>
      </c>
      <c r="R72" s="30" t="s">
        <v>9522</v>
      </c>
      <c r="S72" s="30" t="s">
        <v>809</v>
      </c>
      <c r="T72" s="30" t="s">
        <v>809</v>
      </c>
      <c r="U72" s="30" t="s">
        <v>9510</v>
      </c>
      <c r="V72" s="6" t="s">
        <v>9523</v>
      </c>
      <c r="W72" s="6" t="s">
        <v>9524</v>
      </c>
      <c r="X72" s="32" t="n">
        <f aca="false">IF($O72="Active",SUMPRODUCT(($AH$5:$AH$137=$AH72)*1),0)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0</v>
      </c>
      <c r="AH72" s="44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25" hidden="false" customHeight="true" outlineLevel="0" collapsed="false">
      <c r="A73" s="30" t="s">
        <v>9522</v>
      </c>
      <c r="B73" s="245" t="s">
        <v>9525</v>
      </c>
      <c r="C73" s="255" t="n">
        <v>37</v>
      </c>
      <c r="D73" s="207"/>
      <c r="E73" s="207"/>
      <c r="F73" s="30" t="s">
        <v>9254</v>
      </c>
      <c r="G73" s="207" t="s">
        <v>9514</v>
      </c>
      <c r="H73" s="30" t="s">
        <v>9526</v>
      </c>
      <c r="I73" s="30" t="s">
        <v>9504</v>
      </c>
      <c r="J73" s="6" t="s">
        <v>9527</v>
      </c>
      <c r="K73" s="207" t="n">
        <v>2</v>
      </c>
      <c r="L73" s="207" t="s">
        <v>8480</v>
      </c>
      <c r="M73" s="245" t="s">
        <v>9528</v>
      </c>
      <c r="N73" s="207" t="s">
        <v>9507</v>
      </c>
      <c r="O73" s="30" t="s">
        <v>8376</v>
      </c>
      <c r="P73" s="30" t="s">
        <v>809</v>
      </c>
      <c r="Q73" s="30" t="s">
        <v>9508</v>
      </c>
      <c r="R73" s="30" t="s">
        <v>5763</v>
      </c>
      <c r="S73" s="30" t="s">
        <v>809</v>
      </c>
      <c r="T73" s="30" t="s">
        <v>809</v>
      </c>
      <c r="U73" s="30" t="s">
        <v>9510</v>
      </c>
      <c r="V73" s="6" t="s">
        <v>9523</v>
      </c>
      <c r="W73" s="6" t="s">
        <v>9529</v>
      </c>
      <c r="X73" s="32" t="n">
        <f aca="false">IF($O73="Active",SUMPRODUCT(($AH$5:$AH$137=$AH73)*1),0)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0</v>
      </c>
      <c r="AH73" s="44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25" hidden="false" customHeight="true" outlineLevel="0" collapsed="false">
      <c r="A74" s="30" t="s">
        <v>5768</v>
      </c>
      <c r="B74" s="245" t="s">
        <v>9530</v>
      </c>
      <c r="C74" s="255" t="n">
        <v>52.1</v>
      </c>
      <c r="D74" s="207"/>
      <c r="E74" s="207"/>
      <c r="F74" s="30" t="s">
        <v>9254</v>
      </c>
      <c r="G74" s="207" t="s">
        <v>9503</v>
      </c>
      <c r="H74" s="30" t="s">
        <v>9531</v>
      </c>
      <c r="I74" s="30" t="s">
        <v>9504</v>
      </c>
      <c r="J74" s="6" t="s">
        <v>9532</v>
      </c>
      <c r="K74" s="207" t="n">
        <v>2</v>
      </c>
      <c r="L74" s="207" t="s">
        <v>8480</v>
      </c>
      <c r="M74" s="245" t="s">
        <v>9521</v>
      </c>
      <c r="N74" s="207" t="s">
        <v>9507</v>
      </c>
      <c r="O74" s="30" t="s">
        <v>8376</v>
      </c>
      <c r="P74" s="30" t="s">
        <v>809</v>
      </c>
      <c r="Q74" s="30" t="s">
        <v>9508</v>
      </c>
      <c r="R74" s="30" t="s">
        <v>9533</v>
      </c>
      <c r="S74" s="30" t="s">
        <v>809</v>
      </c>
      <c r="T74" s="30" t="s">
        <v>809</v>
      </c>
      <c r="U74" s="30" t="s">
        <v>9510</v>
      </c>
      <c r="V74" s="6" t="s">
        <v>9534</v>
      </c>
      <c r="W74" s="6" t="s">
        <v>9535</v>
      </c>
      <c r="X74" s="32" t="n">
        <f aca="false">IF($O74="Active",SUMPRODUCT(($AH$5:$AH$137=$AH74)*1),0)</f>
        <v>1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25" hidden="false" customHeight="true" outlineLevel="0" collapsed="false">
      <c r="A75" s="30" t="s">
        <v>9533</v>
      </c>
      <c r="B75" s="245" t="s">
        <v>9536</v>
      </c>
      <c r="C75" s="255" t="n">
        <v>32</v>
      </c>
      <c r="D75" s="207"/>
      <c r="E75" s="207"/>
      <c r="F75" s="30" t="s">
        <v>9254</v>
      </c>
      <c r="G75" s="207" t="s">
        <v>9514</v>
      </c>
      <c r="H75" s="30" t="s">
        <v>1506</v>
      </c>
      <c r="I75" s="30" t="s">
        <v>9504</v>
      </c>
      <c r="J75" s="6" t="s">
        <v>9537</v>
      </c>
      <c r="K75" s="207" t="n">
        <v>2</v>
      </c>
      <c r="L75" s="207" t="s">
        <v>8480</v>
      </c>
      <c r="M75" s="245" t="s">
        <v>9538</v>
      </c>
      <c r="N75" s="207" t="s">
        <v>9507</v>
      </c>
      <c r="O75" s="30" t="s">
        <v>8376</v>
      </c>
      <c r="P75" s="30" t="s">
        <v>809</v>
      </c>
      <c r="Q75" s="30" t="s">
        <v>9508</v>
      </c>
      <c r="R75" s="30" t="s">
        <v>5768</v>
      </c>
      <c r="S75" s="30" t="s">
        <v>809</v>
      </c>
      <c r="T75" s="30" t="s">
        <v>809</v>
      </c>
      <c r="U75" s="30" t="s">
        <v>9510</v>
      </c>
      <c r="V75" s="6" t="s">
        <v>9534</v>
      </c>
      <c r="W75" s="6" t="s">
        <v>9539</v>
      </c>
      <c r="X75" s="32" t="n">
        <f aca="false">IF($O75="Active",SUMPRODUCT(($AH$5:$AH$137=$AH75)*1),0)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0</v>
      </c>
      <c r="AH75" s="44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3.5" hidden="false" customHeight="true" outlineLevel="0" collapsed="false">
      <c r="A76" s="30" t="s">
        <v>9540</v>
      </c>
      <c r="B76" s="6" t="s">
        <v>9541</v>
      </c>
      <c r="C76" s="255" t="n">
        <v>2324</v>
      </c>
      <c r="D76" s="207"/>
      <c r="E76" s="207"/>
      <c r="F76" s="30" t="s">
        <v>9542</v>
      </c>
      <c r="G76" s="207" t="s">
        <v>9543</v>
      </c>
      <c r="H76" s="30" t="s">
        <v>9544</v>
      </c>
      <c r="I76" s="30" t="s">
        <v>9281</v>
      </c>
      <c r="J76" s="6" t="s">
        <v>9545</v>
      </c>
      <c r="K76" s="207" t="n">
        <v>1</v>
      </c>
      <c r="L76" s="207" t="s">
        <v>8373</v>
      </c>
      <c r="M76" s="6" t="s">
        <v>9546</v>
      </c>
      <c r="N76" s="207" t="s">
        <v>9547</v>
      </c>
      <c r="O76" s="30" t="s">
        <v>8376</v>
      </c>
      <c r="P76" s="30" t="s">
        <v>809</v>
      </c>
      <c r="Q76" s="30" t="s">
        <v>9508</v>
      </c>
      <c r="R76" s="30" t="s">
        <v>809</v>
      </c>
      <c r="S76" s="30" t="s">
        <v>809</v>
      </c>
      <c r="T76" s="30" t="s">
        <v>809</v>
      </c>
      <c r="U76" s="30" t="s">
        <v>9510</v>
      </c>
      <c r="V76" s="6" t="s">
        <v>9548</v>
      </c>
      <c r="W76" s="6" t="s">
        <v>9549</v>
      </c>
      <c r="X76" s="32" t="n">
        <f aca="false">IF($O76="Active",SUMPRODUCT(($AH$5:$AH$137=$AH76)*1),0)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5.75" hidden="false" customHeight="true" outlineLevel="0" collapsed="false">
      <c r="A77" s="30" t="s">
        <v>9550</v>
      </c>
      <c r="B77" s="6" t="s">
        <v>9551</v>
      </c>
      <c r="C77" s="255" t="n">
        <v>1850</v>
      </c>
      <c r="D77" s="207"/>
      <c r="E77" s="207"/>
      <c r="F77" s="30" t="s">
        <v>9542</v>
      </c>
      <c r="G77" s="30" t="s">
        <v>9552</v>
      </c>
      <c r="H77" s="30" t="s">
        <v>9553</v>
      </c>
      <c r="I77" s="30" t="s">
        <v>9554</v>
      </c>
      <c r="J77" s="6" t="s">
        <v>9555</v>
      </c>
      <c r="K77" s="207" t="n">
        <v>1</v>
      </c>
      <c r="L77" s="207" t="s">
        <v>8373</v>
      </c>
      <c r="M77" s="6" t="s">
        <v>9556</v>
      </c>
      <c r="N77" s="207" t="s">
        <v>9557</v>
      </c>
      <c r="O77" s="30" t="s">
        <v>8376</v>
      </c>
      <c r="P77" s="30" t="s">
        <v>809</v>
      </c>
      <c r="Q77" s="30" t="s">
        <v>9508</v>
      </c>
      <c r="R77" s="30" t="s">
        <v>809</v>
      </c>
      <c r="S77" s="30" t="s">
        <v>809</v>
      </c>
      <c r="T77" s="30" t="s">
        <v>809</v>
      </c>
      <c r="U77" s="30" t="s">
        <v>9510</v>
      </c>
      <c r="V77" s="6" t="s">
        <v>9558</v>
      </c>
      <c r="W77" s="6" t="s">
        <v>9559</v>
      </c>
      <c r="X77" s="32" t="n">
        <f aca="false">IF($O77="Active",SUMPRODUCT(($AH$5:$AH$137=$AH77)*1),0)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1</v>
      </c>
      <c r="AH77" s="44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3.5" hidden="false" customHeight="true" outlineLevel="0" collapsed="false">
      <c r="A78" s="30" t="s">
        <v>7156</v>
      </c>
      <c r="B78" s="6" t="s">
        <v>9560</v>
      </c>
      <c r="C78" s="255" t="n">
        <v>10100</v>
      </c>
      <c r="D78" s="207"/>
      <c r="E78" s="207"/>
      <c r="F78" s="30" t="s">
        <v>9542</v>
      </c>
      <c r="G78" s="30" t="s">
        <v>9561</v>
      </c>
      <c r="H78" s="30" t="s">
        <v>9562</v>
      </c>
      <c r="I78" s="30" t="s">
        <v>9079</v>
      </c>
      <c r="J78" s="6" t="s">
        <v>9563</v>
      </c>
      <c r="K78" s="207" t="n">
        <v>1</v>
      </c>
      <c r="L78" s="207" t="s">
        <v>8373</v>
      </c>
      <c r="M78" s="6" t="s">
        <v>9564</v>
      </c>
      <c r="N78" s="207" t="s">
        <v>9507</v>
      </c>
      <c r="O78" s="30" t="s">
        <v>8376</v>
      </c>
      <c r="P78" s="30" t="s">
        <v>809</v>
      </c>
      <c r="Q78" s="30" t="s">
        <v>9508</v>
      </c>
      <c r="R78" s="30" t="s">
        <v>809</v>
      </c>
      <c r="S78" s="30" t="s">
        <v>809</v>
      </c>
      <c r="T78" s="30" t="s">
        <v>809</v>
      </c>
      <c r="U78" s="30" t="s">
        <v>9510</v>
      </c>
      <c r="V78" s="6" t="s">
        <v>9565</v>
      </c>
      <c r="W78" s="6" t="s">
        <v>9566</v>
      </c>
      <c r="X78" s="32" t="n">
        <f aca="false">IF($O78="Active",SUMPRODUCT(($AH$5:$AH$137=$AH78)*1),0)</f>
        <v>1</v>
      </c>
      <c r="Y78" s="32" t="n">
        <f aca="false">IF(AND($O78="Active",OR($Q78="—",$Q78="")),1,0)</f>
        <v>0</v>
      </c>
      <c r="Z78" s="32" t="n">
        <f aca="false">IF(AND($O78="Active",$L78="利害關係方",OR($R78="—",$R78="")),1,0)</f>
        <v>1</v>
      </c>
      <c r="AH78" s="44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7.75" hidden="false" customHeight="true" outlineLevel="0" collapsed="false">
      <c r="A79" s="30" t="s">
        <v>9567</v>
      </c>
      <c r="B79" s="6" t="s">
        <v>9568</v>
      </c>
      <c r="C79" s="255" t="n">
        <v>4668.1</v>
      </c>
      <c r="D79" s="207"/>
      <c r="E79" s="207"/>
      <c r="F79" s="30" t="s">
        <v>9303</v>
      </c>
      <c r="G79" s="30" t="s">
        <v>9569</v>
      </c>
      <c r="H79" s="30" t="s">
        <v>9570</v>
      </c>
      <c r="I79" s="30" t="s">
        <v>9571</v>
      </c>
      <c r="J79" s="6" t="s">
        <v>9572</v>
      </c>
      <c r="K79" s="207" t="n">
        <v>1</v>
      </c>
      <c r="L79" s="207" t="s">
        <v>8373</v>
      </c>
      <c r="M79" s="6" t="s">
        <v>9573</v>
      </c>
      <c r="N79" s="207" t="s">
        <v>9574</v>
      </c>
      <c r="O79" s="30" t="s">
        <v>8376</v>
      </c>
      <c r="P79" s="30" t="s">
        <v>809</v>
      </c>
      <c r="Q79" s="30" t="s">
        <v>9508</v>
      </c>
      <c r="R79" s="30" t="s">
        <v>9575</v>
      </c>
      <c r="S79" s="30" t="s">
        <v>809</v>
      </c>
      <c r="T79" s="30" t="s">
        <v>809</v>
      </c>
      <c r="U79" s="30" t="s">
        <v>9510</v>
      </c>
      <c r="V79" s="6" t="s">
        <v>9576</v>
      </c>
      <c r="W79" s="6" t="s">
        <v>9577</v>
      </c>
      <c r="X79" s="32" t="n">
        <f aca="false">IF($O79="Active",SUMPRODUCT(($AH$5:$AH$137=$AH79)*1),0)</f>
        <v>1</v>
      </c>
      <c r="Y79" s="32" t="n">
        <f aca="false">IF(AND($O79="Active",OR($Q79="—",$Q79="")),1,0)</f>
        <v>0</v>
      </c>
      <c r="Z79" s="32" t="n">
        <f aca="false">IF(AND($O79="Active",$L79="利害關係方",OR($R79="—",$R79="")),1,0)</f>
        <v>0</v>
      </c>
      <c r="AH79" s="44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7.75" hidden="false" customHeight="true" outlineLevel="0" collapsed="false">
      <c r="A80" s="30" t="s">
        <v>6061</v>
      </c>
      <c r="B80" s="6" t="s">
        <v>9578</v>
      </c>
      <c r="C80" s="255" t="n">
        <v>5561.6</v>
      </c>
      <c r="D80" s="207"/>
      <c r="E80" s="207"/>
      <c r="F80" s="30" t="s">
        <v>9303</v>
      </c>
      <c r="G80" s="30" t="s">
        <v>9579</v>
      </c>
      <c r="H80" s="30" t="s">
        <v>9580</v>
      </c>
      <c r="I80" s="30" t="s">
        <v>9571</v>
      </c>
      <c r="J80" s="6" t="s">
        <v>9572</v>
      </c>
      <c r="K80" s="207" t="n">
        <v>1</v>
      </c>
      <c r="L80" s="207" t="s">
        <v>8373</v>
      </c>
      <c r="M80" s="6" t="s">
        <v>9581</v>
      </c>
      <c r="N80" s="207" t="s">
        <v>9574</v>
      </c>
      <c r="O80" s="30" t="s">
        <v>8376</v>
      </c>
      <c r="P80" s="30" t="s">
        <v>809</v>
      </c>
      <c r="Q80" s="30" t="s">
        <v>9508</v>
      </c>
      <c r="R80" s="30" t="s">
        <v>9582</v>
      </c>
      <c r="S80" s="30" t="s">
        <v>809</v>
      </c>
      <c r="T80" s="30" t="s">
        <v>809</v>
      </c>
      <c r="U80" s="30" t="s">
        <v>9510</v>
      </c>
      <c r="V80" s="6" t="s">
        <v>9583</v>
      </c>
      <c r="W80" s="6" t="s">
        <v>9584</v>
      </c>
      <c r="X80" s="32" t="n">
        <f aca="false">IF($O80="Active",SUMPRODUCT(($AH$5:$AH$137=$AH80)*1),0)</f>
        <v>1</v>
      </c>
      <c r="Y80" s="32" t="n">
        <f aca="false">IF(AND($O80="Active",OR($Q80="—",$Q80="")),1,0)</f>
        <v>0</v>
      </c>
      <c r="Z80" s="32" t="n">
        <f aca="false">IF(AND($O80="Active",$L80="利害關係方",OR($R80="—",$R80="")),1,0)</f>
        <v>0</v>
      </c>
      <c r="AH80" s="44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4.5" hidden="false" customHeight="true" outlineLevel="0" collapsed="false">
      <c r="A81" s="30" t="s">
        <v>9575</v>
      </c>
      <c r="B81" s="6" t="s">
        <v>9585</v>
      </c>
      <c r="C81" s="255" t="n">
        <v>4867.7</v>
      </c>
      <c r="D81" s="207"/>
      <c r="E81" s="207"/>
      <c r="F81" s="30" t="s">
        <v>9303</v>
      </c>
      <c r="G81" s="30" t="s">
        <v>9586</v>
      </c>
      <c r="H81" s="30" t="s">
        <v>9587</v>
      </c>
      <c r="I81" s="30" t="s">
        <v>9571</v>
      </c>
      <c r="J81" s="6" t="s">
        <v>9572</v>
      </c>
      <c r="K81" s="207" t="n">
        <v>1</v>
      </c>
      <c r="L81" s="207" t="s">
        <v>8373</v>
      </c>
      <c r="M81" s="6" t="s">
        <v>9588</v>
      </c>
      <c r="N81" s="207" t="s">
        <v>9574</v>
      </c>
      <c r="O81" s="30" t="s">
        <v>8376</v>
      </c>
      <c r="P81" s="30" t="s">
        <v>809</v>
      </c>
      <c r="Q81" s="30" t="s">
        <v>9508</v>
      </c>
      <c r="R81" s="30" t="s">
        <v>9567</v>
      </c>
      <c r="S81" s="30" t="s">
        <v>809</v>
      </c>
      <c r="T81" s="30" t="s">
        <v>809</v>
      </c>
      <c r="U81" s="30" t="s">
        <v>9510</v>
      </c>
      <c r="V81" s="6" t="s">
        <v>9589</v>
      </c>
      <c r="W81" s="6" t="s">
        <v>9590</v>
      </c>
      <c r="X81" s="32" t="n">
        <f aca="false">IF($O81="Active",SUMPRODUCT(($AH$5:$AH$137=$AH81)*1),0)</f>
        <v>1</v>
      </c>
      <c r="Y81" s="32" t="n">
        <f aca="false">IF(AND($O81="Active",OR($Q81="—",$Q81="")),1,0)</f>
        <v>0</v>
      </c>
      <c r="Z81" s="32" t="n">
        <f aca="false">IF(AND($O81="Active",$L81="利害關係方",OR($R81="—",$R81="")),1,0)</f>
        <v>0</v>
      </c>
      <c r="AH81" s="44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4.5" hidden="false" customHeight="true" outlineLevel="0" collapsed="false">
      <c r="A82" s="30" t="s">
        <v>9582</v>
      </c>
      <c r="B82" s="6" t="s">
        <v>9591</v>
      </c>
      <c r="C82" s="255" t="n">
        <v>7994.2</v>
      </c>
      <c r="D82" s="207"/>
      <c r="E82" s="207"/>
      <c r="F82" s="30" t="s">
        <v>9303</v>
      </c>
      <c r="G82" s="30" t="s">
        <v>9592</v>
      </c>
      <c r="H82" s="30" t="s">
        <v>9593</v>
      </c>
      <c r="I82" s="30" t="s">
        <v>9571</v>
      </c>
      <c r="J82" s="6" t="s">
        <v>9572</v>
      </c>
      <c r="K82" s="207" t="n">
        <v>1</v>
      </c>
      <c r="L82" s="207" t="s">
        <v>8373</v>
      </c>
      <c r="M82" s="6" t="s">
        <v>9594</v>
      </c>
      <c r="N82" s="207" t="s">
        <v>9574</v>
      </c>
      <c r="O82" s="30" t="s">
        <v>8376</v>
      </c>
      <c r="P82" s="30" t="s">
        <v>809</v>
      </c>
      <c r="Q82" s="30" t="s">
        <v>9508</v>
      </c>
      <c r="R82" s="30" t="s">
        <v>6061</v>
      </c>
      <c r="S82" s="30" t="s">
        <v>809</v>
      </c>
      <c r="T82" s="30" t="s">
        <v>809</v>
      </c>
      <c r="U82" s="30" t="s">
        <v>9510</v>
      </c>
      <c r="V82" s="6" t="s">
        <v>9595</v>
      </c>
      <c r="W82" s="6" t="s">
        <v>9596</v>
      </c>
      <c r="X82" s="32" t="n">
        <f aca="false">IF($O82="Active",SUMPRODUCT(($AH$5:$AH$137=$AH82)*1),0)</f>
        <v>1</v>
      </c>
      <c r="Y82" s="32" t="n">
        <f aca="false">IF(AND($O82="Active",OR($Q82="—",$Q82="")),1,0)</f>
        <v>0</v>
      </c>
      <c r="Z82" s="32" t="n">
        <f aca="false">IF(AND($O82="Active",$L82="利害關係方",OR($R82="—",$R82="")),1,0)</f>
        <v>0</v>
      </c>
      <c r="AH82" s="44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  <row r="83" customFormat="false" ht="57.75" hidden="false" customHeight="true" outlineLevel="0" collapsed="false">
      <c r="A83" s="30" t="s">
        <v>9597</v>
      </c>
      <c r="B83" s="6" t="s">
        <v>9598</v>
      </c>
      <c r="C83" s="255" t="n">
        <v>6752</v>
      </c>
      <c r="D83" s="207"/>
      <c r="E83" s="207"/>
      <c r="F83" s="30" t="s">
        <v>9303</v>
      </c>
      <c r="G83" s="30" t="s">
        <v>9599</v>
      </c>
      <c r="H83" s="30" t="s">
        <v>9570</v>
      </c>
      <c r="I83" s="30" t="s">
        <v>9571</v>
      </c>
      <c r="J83" s="6" t="s">
        <v>9572</v>
      </c>
      <c r="K83" s="207" t="n">
        <v>1</v>
      </c>
      <c r="L83" s="207" t="s">
        <v>8373</v>
      </c>
      <c r="M83" s="6" t="s">
        <v>9600</v>
      </c>
      <c r="N83" s="207" t="s">
        <v>9601</v>
      </c>
      <c r="O83" s="30" t="s">
        <v>8376</v>
      </c>
      <c r="P83" s="30" t="s">
        <v>809</v>
      </c>
      <c r="Q83" s="30" t="s">
        <v>8740</v>
      </c>
      <c r="R83" s="30" t="s">
        <v>9602</v>
      </c>
      <c r="S83" s="30" t="s">
        <v>809</v>
      </c>
      <c r="T83" s="30" t="s">
        <v>809</v>
      </c>
      <c r="U83" s="30" t="s">
        <v>8742</v>
      </c>
      <c r="V83" s="6" t="s">
        <v>9603</v>
      </c>
      <c r="W83" s="6" t="s">
        <v>9604</v>
      </c>
      <c r="X83" s="32" t="n">
        <f aca="false">IF($O83="Active",SUMPRODUCT(($AH$5:$AH$137=$AH83)*1),0)</f>
        <v>1</v>
      </c>
      <c r="Y83" s="32" t="n">
        <f aca="false">IF(AND($O83="Active",OR($Q83="—",$Q83="")),1,0)</f>
        <v>0</v>
      </c>
      <c r="Z83" s="32" t="n">
        <f aca="false">IF(AND($O83="Active",$L83="利害關係方",OR($R83="—",$R83="")),1,0)</f>
        <v>0</v>
      </c>
      <c r="AH83" s="44" t="str">
        <f aca="false">IF($O83="Active",$B83&amp;"¦"&amp;$G83&amp;"¦"&amp;$H83,"")</f>
        <v>MLPerf v6.0 DeepSeek-R1 offline：NVIDIA GB200 NVL72（72 GPU）每 GPU¦offline；Closed；available；486,141 ÷ 72；無延遲限制；批次只受記憶體限制；輸入 800／輸出 3,880¦GB200 NVL72（NVIDIA 提交 6.0-0075）</v>
      </c>
    </row>
    <row r="84" customFormat="false" ht="40.5" hidden="false" customHeight="true" outlineLevel="0" collapsed="false">
      <c r="A84" s="30" t="s">
        <v>9605</v>
      </c>
      <c r="B84" s="6" t="s">
        <v>9606</v>
      </c>
      <c r="C84" s="255" t="n">
        <v>8987.2</v>
      </c>
      <c r="D84" s="207"/>
      <c r="E84" s="207"/>
      <c r="F84" s="30" t="s">
        <v>9303</v>
      </c>
      <c r="G84" s="30" t="s">
        <v>9607</v>
      </c>
      <c r="H84" s="30" t="s">
        <v>9580</v>
      </c>
      <c r="I84" s="30" t="s">
        <v>9571</v>
      </c>
      <c r="J84" s="6" t="s">
        <v>9572</v>
      </c>
      <c r="K84" s="207" t="n">
        <v>1</v>
      </c>
      <c r="L84" s="207" t="s">
        <v>8373</v>
      </c>
      <c r="M84" s="6" t="s">
        <v>9608</v>
      </c>
      <c r="N84" s="207" t="s">
        <v>9601</v>
      </c>
      <c r="O84" s="30" t="s">
        <v>8376</v>
      </c>
      <c r="P84" s="30" t="s">
        <v>809</v>
      </c>
      <c r="Q84" s="30" t="s">
        <v>8740</v>
      </c>
      <c r="R84" s="30" t="s">
        <v>9609</v>
      </c>
      <c r="S84" s="30" t="s">
        <v>809</v>
      </c>
      <c r="T84" s="30" t="s">
        <v>809</v>
      </c>
      <c r="U84" s="30" t="s">
        <v>8742</v>
      </c>
      <c r="V84" s="6" t="s">
        <v>9610</v>
      </c>
      <c r="W84" s="6" t="s">
        <v>9611</v>
      </c>
      <c r="X84" s="32" t="n">
        <f aca="false">IF($O84="Active",SUMPRODUCT(($AH$5:$AH$137=$AH84)*1),0)</f>
        <v>1</v>
      </c>
      <c r="Y84" s="32" t="n">
        <f aca="false">IF(AND($O84="Active",OR($Q84="—",$Q84="")),1,0)</f>
        <v>0</v>
      </c>
      <c r="Z84" s="32" t="n">
        <f aca="false">IF(AND($O84="Active",$L84="利害關係方",OR($R84="—",$R84="")),1,0)</f>
        <v>0</v>
      </c>
      <c r="AH84" s="44" t="str">
        <f aca="false">IF($O84="Active",$B84&amp;"¦"&amp;$G84&amp;"¦"&amp;$H84,"")</f>
        <v>MLPerf v6.0 DeepSeek-R1 offline：NVIDIA GB300 NVL72（72 GPU）每 GPU¦offline；Closed；available；647,076 ÷ 72；無延遲限制¦GB300 NVL72（NVIDIA 提交 6.0-0078）</v>
      </c>
    </row>
    <row r="85" customFormat="false" ht="57.75" hidden="false" customHeight="true" outlineLevel="0" collapsed="false">
      <c r="A85" s="30" t="s">
        <v>9612</v>
      </c>
      <c r="B85" s="6" t="s">
        <v>9613</v>
      </c>
      <c r="C85" s="255" t="n">
        <v>1436.2</v>
      </c>
      <c r="D85" s="207"/>
      <c r="E85" s="207"/>
      <c r="F85" s="30" t="s">
        <v>9614</v>
      </c>
      <c r="G85" s="30" t="s">
        <v>9615</v>
      </c>
      <c r="H85" s="30" t="s">
        <v>9616</v>
      </c>
      <c r="I85" s="30" t="s">
        <v>9020</v>
      </c>
      <c r="J85" s="6" t="s">
        <v>9617</v>
      </c>
      <c r="K85" s="207" t="n">
        <v>1</v>
      </c>
      <c r="L85" s="207" t="s">
        <v>8373</v>
      </c>
      <c r="M85" s="6" t="s">
        <v>9618</v>
      </c>
      <c r="N85" s="207" t="s">
        <v>9619</v>
      </c>
      <c r="O85" s="30" t="s">
        <v>8376</v>
      </c>
      <c r="P85" s="30" t="s">
        <v>809</v>
      </c>
      <c r="Q85" s="30" t="s">
        <v>8740</v>
      </c>
      <c r="R85" s="30" t="s">
        <v>809</v>
      </c>
      <c r="S85" s="30" t="s">
        <v>809</v>
      </c>
      <c r="T85" s="30" t="s">
        <v>809</v>
      </c>
      <c r="U85" s="30" t="s">
        <v>8742</v>
      </c>
      <c r="V85" s="6" t="s">
        <v>9620</v>
      </c>
      <c r="W85" s="6" t="s">
        <v>9621</v>
      </c>
      <c r="X85" s="32" t="n">
        <f aca="false">IF($O85="Active",SUMPRODUCT(($AH$5:$AH$137=$AH85)*1),0)</f>
        <v>1</v>
      </c>
      <c r="Y85" s="32" t="n">
        <f aca="false">IF(AND($O85="Active",OR($Q85="—",$Q85="")),1,0)</f>
        <v>0</v>
      </c>
      <c r="Z85" s="32" t="n">
        <f aca="false">IF(AND($O85="Active",$L85="利害關係方",OR($R85="—",$R85="")),1,0)</f>
        <v>1</v>
      </c>
      <c r="AH85" s="44" t="str">
        <f aca="false">IF($O85="Active",$B85&amp;"¦"&amp;$G85&amp;"¦"&amp;$H85,"")</f>
        <v>TensorRT-LLM DeepSeek-R1 decode：H200 8 GPU，並行 1,024（每 rank 128）每 GPU¦ISL 1K／OSL 2K；EP8、attention DP；並行 1,024；每用戶 11.35 tok/s；無尾端延遲限制；是否使用 MTP 文件未寫（模型取無 MTP）¦Hopper H200 8 GPU（NVIDIA TensorRT-LLM）</v>
      </c>
    </row>
    <row r="86" customFormat="false" ht="34.5" hidden="false" customHeight="true" outlineLevel="0" collapsed="false">
      <c r="A86" s="30" t="s">
        <v>9602</v>
      </c>
      <c r="B86" s="6" t="s">
        <v>9622</v>
      </c>
      <c r="C86" s="255" t="n">
        <v>7322.9</v>
      </c>
      <c r="D86" s="207"/>
      <c r="E86" s="207"/>
      <c r="F86" s="30" t="s">
        <v>9303</v>
      </c>
      <c r="G86" s="30" t="s">
        <v>9623</v>
      </c>
      <c r="H86" s="30" t="s">
        <v>9587</v>
      </c>
      <c r="I86" s="30" t="s">
        <v>9571</v>
      </c>
      <c r="J86" s="6" t="s">
        <v>9572</v>
      </c>
      <c r="K86" s="207" t="n">
        <v>1</v>
      </c>
      <c r="L86" s="207" t="s">
        <v>8373</v>
      </c>
      <c r="M86" s="6" t="s">
        <v>9588</v>
      </c>
      <c r="N86" s="207" t="s">
        <v>9624</v>
      </c>
      <c r="O86" s="30" t="s">
        <v>8376</v>
      </c>
      <c r="P86" s="30" t="s">
        <v>809</v>
      </c>
      <c r="Q86" s="30" t="s">
        <v>8740</v>
      </c>
      <c r="R86" s="30" t="s">
        <v>9597</v>
      </c>
      <c r="S86" s="30" t="s">
        <v>809</v>
      </c>
      <c r="T86" s="30" t="s">
        <v>809</v>
      </c>
      <c r="U86" s="30" t="s">
        <v>8742</v>
      </c>
      <c r="V86" s="6" t="s">
        <v>9625</v>
      </c>
      <c r="W86" s="6" t="s">
        <v>9626</v>
      </c>
      <c r="X86" s="32" t="n">
        <f aca="false">IF($O86="Active",SUMPRODUCT(($AH$5:$AH$137=$AH86)*1),0)</f>
        <v>1</v>
      </c>
      <c r="Y86" s="32" t="n">
        <f aca="false">IF(AND($O86="Active",OR($Q86="—",$Q86="")),1,0)</f>
        <v>0</v>
      </c>
      <c r="Z86" s="32" t="n">
        <f aca="false">IF(AND($O86="Active",$L86="利害關係方",OR($R86="—",$R86="")),1,0)</f>
        <v>0</v>
      </c>
      <c r="AH86" s="44" t="str">
        <f aca="false">IF($O86="Active",$B86&amp;"¦"&amp;$G86&amp;"¦"&amp;$H86,"")</f>
        <v>MLPerf v6.0 DeepSeek-R1 offline：CoreWeave GB200 NVL72（64 GPU）每 GPU¦offline；Closed；available；468,665 ÷ 64¦GB200 NVL72（CoreWeave 提交 6.0-0015）</v>
      </c>
    </row>
    <row r="87" customFormat="false" ht="34.5" hidden="false" customHeight="true" outlineLevel="0" collapsed="false">
      <c r="A87" s="30" t="s">
        <v>9609</v>
      </c>
      <c r="B87" s="6" t="s">
        <v>9627</v>
      </c>
      <c r="C87" s="255" t="n">
        <v>9360.2</v>
      </c>
      <c r="D87" s="207"/>
      <c r="E87" s="207"/>
      <c r="F87" s="30" t="s">
        <v>9303</v>
      </c>
      <c r="G87" s="30" t="s">
        <v>9628</v>
      </c>
      <c r="H87" s="30" t="s">
        <v>9593</v>
      </c>
      <c r="I87" s="30" t="s">
        <v>9571</v>
      </c>
      <c r="J87" s="6" t="s">
        <v>9572</v>
      </c>
      <c r="K87" s="207" t="n">
        <v>1</v>
      </c>
      <c r="L87" s="207" t="s">
        <v>8373</v>
      </c>
      <c r="M87" s="6" t="s">
        <v>9594</v>
      </c>
      <c r="N87" s="207" t="s">
        <v>9624</v>
      </c>
      <c r="O87" s="30" t="s">
        <v>8376</v>
      </c>
      <c r="P87" s="30" t="s">
        <v>809</v>
      </c>
      <c r="Q87" s="30" t="s">
        <v>8740</v>
      </c>
      <c r="R87" s="30" t="s">
        <v>9605</v>
      </c>
      <c r="S87" s="30" t="s">
        <v>809</v>
      </c>
      <c r="T87" s="30" t="s">
        <v>809</v>
      </c>
      <c r="U87" s="30" t="s">
        <v>8742</v>
      </c>
      <c r="V87" s="6" t="s">
        <v>9629</v>
      </c>
      <c r="W87" s="6" t="s">
        <v>9630</v>
      </c>
      <c r="X87" s="32" t="n">
        <f aca="false">IF($O87="Active",SUMPRODUCT(($AH$5:$AH$137=$AH87)*1),0)</f>
        <v>1</v>
      </c>
      <c r="Y87" s="32" t="n">
        <f aca="false">IF(AND($O87="Active",OR($Q87="—",$Q87="")),1,0)</f>
        <v>0</v>
      </c>
      <c r="Z87" s="32" t="n">
        <f aca="false">IF(AND($O87="Active",$L87="利害關係方",OR($R87="—",$R87="")),1,0)</f>
        <v>0</v>
      </c>
      <c r="AH87" s="44" t="str">
        <f aca="false">IF($O87="Active",$B87&amp;"¦"&amp;$G87&amp;"¦"&amp;$H87,"")</f>
        <v>MLPerf v6.0 DeepSeek-R1 offline：Nebius GB300 NVL72（72 GPU）每 GPU¦offline；Closed；available；673,936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51" t="s">
        <v>9631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9632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37" t="s">
        <v>9633</v>
      </c>
      <c r="Y4" s="237" t="s">
        <v>9634</v>
      </c>
      <c r="Z4" s="237" t="s">
        <v>9635</v>
      </c>
      <c r="AA4" s="237" t="s">
        <v>9636</v>
      </c>
      <c r="AB4" s="237" t="s">
        <v>9637</v>
      </c>
      <c r="AC4" s="252" t="s">
        <v>8363</v>
      </c>
      <c r="AD4" s="252" t="s">
        <v>8364</v>
      </c>
      <c r="AE4" s="252" t="s">
        <v>8365</v>
      </c>
      <c r="AM4" s="84" t="s">
        <v>8366</v>
      </c>
    </row>
    <row r="5" customFormat="false" ht="29.25" hidden="false" customHeight="true" outlineLevel="0" collapsed="false">
      <c r="A5" s="30" t="s">
        <v>3960</v>
      </c>
      <c r="B5" s="6" t="s">
        <v>9638</v>
      </c>
      <c r="C5" s="255" t="n">
        <v>42</v>
      </c>
      <c r="D5" s="253"/>
      <c r="E5" s="253"/>
      <c r="F5" s="30" t="s">
        <v>9639</v>
      </c>
      <c r="G5" s="253" t="s">
        <v>9640</v>
      </c>
      <c r="H5" s="30" t="s">
        <v>9641</v>
      </c>
      <c r="I5" s="30" t="s">
        <v>8478</v>
      </c>
      <c r="J5" s="6" t="s">
        <v>9642</v>
      </c>
      <c r="K5" s="253" t="n">
        <v>3</v>
      </c>
      <c r="L5" s="253" t="s">
        <v>8373</v>
      </c>
      <c r="M5" s="6" t="s">
        <v>9643</v>
      </c>
      <c r="N5" s="253" t="s">
        <v>8386</v>
      </c>
      <c r="O5" s="30" t="s">
        <v>8376</v>
      </c>
      <c r="P5" s="30" t="s">
        <v>809</v>
      </c>
      <c r="Q5" s="30" t="s">
        <v>9644</v>
      </c>
      <c r="R5" s="30" t="s">
        <v>809</v>
      </c>
      <c r="S5" s="30" t="s">
        <v>809</v>
      </c>
      <c r="T5" s="30" t="s">
        <v>809</v>
      </c>
      <c r="U5" s="30" t="s">
        <v>9645</v>
      </c>
      <c r="V5" s="6" t="s">
        <v>9646</v>
      </c>
      <c r="W5" s="6" t="s">
        <v>9647</v>
      </c>
      <c r="AC5" s="32" t="n">
        <f aca="false">IF($O5="Active",SUMPRODUCT(($AM$5:$AM$100=$AM5)*1),0)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3969</v>
      </c>
      <c r="B6" s="20" t="s">
        <v>9648</v>
      </c>
      <c r="C6" s="255" t="n">
        <v>3.57</v>
      </c>
      <c r="D6" s="253"/>
      <c r="E6" s="253"/>
      <c r="F6" s="30" t="s">
        <v>1049</v>
      </c>
      <c r="G6" s="30" t="s">
        <v>9649</v>
      </c>
      <c r="H6" s="253" t="s">
        <v>9650</v>
      </c>
      <c r="I6" s="30" t="s">
        <v>1511</v>
      </c>
      <c r="J6" s="6" t="s">
        <v>9651</v>
      </c>
      <c r="K6" s="253" t="n">
        <v>2</v>
      </c>
      <c r="L6" s="253" t="s">
        <v>8480</v>
      </c>
      <c r="M6" s="20" t="s">
        <v>9652</v>
      </c>
      <c r="N6" s="253" t="s">
        <v>9653</v>
      </c>
      <c r="O6" s="30" t="s">
        <v>8376</v>
      </c>
      <c r="P6" s="30" t="s">
        <v>809</v>
      </c>
      <c r="Q6" s="30" t="s">
        <v>9654</v>
      </c>
      <c r="R6" s="30" t="s">
        <v>809</v>
      </c>
      <c r="S6" s="30" t="s">
        <v>809</v>
      </c>
      <c r="T6" s="30" t="s">
        <v>809</v>
      </c>
      <c r="U6" s="30" t="s">
        <v>9655</v>
      </c>
      <c r="V6" s="6" t="s">
        <v>9656</v>
      </c>
      <c r="W6" s="20" t="s">
        <v>9657</v>
      </c>
      <c r="AC6" s="32" t="n">
        <f aca="false">IF($O6="Active",SUMPRODUCT(($AM$5:$AM$100=$AM6)*1),0)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9658</v>
      </c>
      <c r="B7" s="6" t="s">
        <v>9659</v>
      </c>
      <c r="C7" s="255" t="n">
        <v>0.1</v>
      </c>
      <c r="D7" s="253"/>
      <c r="E7" s="253"/>
      <c r="F7" s="30" t="s">
        <v>1040</v>
      </c>
      <c r="G7" s="30" t="s">
        <v>9660</v>
      </c>
      <c r="H7" s="30" t="s">
        <v>1498</v>
      </c>
      <c r="I7" s="30" t="s">
        <v>1502</v>
      </c>
      <c r="J7" s="6" t="s">
        <v>9661</v>
      </c>
      <c r="K7" s="253" t="n">
        <v>1</v>
      </c>
      <c r="L7" s="253" t="s">
        <v>8373</v>
      </c>
      <c r="M7" s="6" t="s">
        <v>9662</v>
      </c>
      <c r="N7" s="253" t="s">
        <v>8993</v>
      </c>
      <c r="O7" s="30" t="s">
        <v>8376</v>
      </c>
      <c r="P7" s="30" t="s">
        <v>809</v>
      </c>
      <c r="Q7" s="30" t="s">
        <v>9663</v>
      </c>
      <c r="R7" s="30" t="s">
        <v>809</v>
      </c>
      <c r="S7" s="30" t="s">
        <v>809</v>
      </c>
      <c r="T7" s="30" t="s">
        <v>809</v>
      </c>
      <c r="U7" s="30" t="s">
        <v>9664</v>
      </c>
      <c r="V7" s="6" t="s">
        <v>9665</v>
      </c>
      <c r="W7" s="6" t="s">
        <v>809</v>
      </c>
      <c r="AC7" s="32" t="n">
        <f aca="false">IF($O7="Active",SUMPRODUCT(($AM$5:$AM$100=$AM7)*1),0)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9666</v>
      </c>
      <c r="B8" s="6" t="s">
        <v>9667</v>
      </c>
      <c r="C8" s="255" t="n">
        <v>0.01</v>
      </c>
      <c r="D8" s="253"/>
      <c r="E8" s="253"/>
      <c r="F8" s="30" t="s">
        <v>1040</v>
      </c>
      <c r="G8" s="30" t="s">
        <v>9660</v>
      </c>
      <c r="H8" s="30" t="s">
        <v>1498</v>
      </c>
      <c r="I8" s="30" t="s">
        <v>1502</v>
      </c>
      <c r="J8" s="6" t="s">
        <v>9661</v>
      </c>
      <c r="K8" s="253" t="n">
        <v>1</v>
      </c>
      <c r="L8" s="253" t="s">
        <v>8373</v>
      </c>
      <c r="M8" s="6" t="s">
        <v>9662</v>
      </c>
      <c r="N8" s="253" t="s">
        <v>8993</v>
      </c>
      <c r="O8" s="30" t="s">
        <v>8376</v>
      </c>
      <c r="P8" s="30" t="s">
        <v>809</v>
      </c>
      <c r="Q8" s="30" t="s">
        <v>9663</v>
      </c>
      <c r="R8" s="30" t="s">
        <v>809</v>
      </c>
      <c r="S8" s="30" t="s">
        <v>809</v>
      </c>
      <c r="T8" s="30" t="s">
        <v>809</v>
      </c>
      <c r="U8" s="30" t="s">
        <v>9664</v>
      </c>
      <c r="V8" s="6" t="s">
        <v>9668</v>
      </c>
      <c r="W8" s="6" t="s">
        <v>809</v>
      </c>
      <c r="AC8" s="32" t="n">
        <f aca="false">IF($O8="Active",SUMPRODUCT(($AM$5:$AM$100=$AM8)*1),0)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9669</v>
      </c>
      <c r="B9" s="6" t="s">
        <v>9670</v>
      </c>
      <c r="C9" s="255" t="n">
        <v>0.5</v>
      </c>
      <c r="D9" s="253"/>
      <c r="E9" s="253"/>
      <c r="F9" s="30" t="s">
        <v>1040</v>
      </c>
      <c r="G9" s="30" t="s">
        <v>9660</v>
      </c>
      <c r="H9" s="30" t="s">
        <v>1498</v>
      </c>
      <c r="I9" s="30" t="s">
        <v>1502</v>
      </c>
      <c r="J9" s="6" t="s">
        <v>9661</v>
      </c>
      <c r="K9" s="253" t="n">
        <v>1</v>
      </c>
      <c r="L9" s="253" t="s">
        <v>8373</v>
      </c>
      <c r="M9" s="6" t="s">
        <v>9662</v>
      </c>
      <c r="N9" s="253" t="s">
        <v>8993</v>
      </c>
      <c r="O9" s="30" t="s">
        <v>8376</v>
      </c>
      <c r="P9" s="30" t="s">
        <v>809</v>
      </c>
      <c r="Q9" s="30" t="s">
        <v>9663</v>
      </c>
      <c r="R9" s="30" t="s">
        <v>809</v>
      </c>
      <c r="S9" s="30" t="s">
        <v>809</v>
      </c>
      <c r="T9" s="30" t="s">
        <v>809</v>
      </c>
      <c r="U9" s="30" t="s">
        <v>9664</v>
      </c>
      <c r="V9" s="6" t="s">
        <v>9671</v>
      </c>
      <c r="W9" s="6" t="s">
        <v>809</v>
      </c>
      <c r="AC9" s="32" t="n">
        <f aca="false">IF($O9="Active",SUMPRODUCT(($AM$5:$AM$100=$AM9)*1),0)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9672</v>
      </c>
      <c r="B10" s="6" t="s">
        <v>9673</v>
      </c>
      <c r="C10" s="255" t="n">
        <v>2</v>
      </c>
      <c r="D10" s="253"/>
      <c r="E10" s="253"/>
      <c r="F10" s="30" t="s">
        <v>1040</v>
      </c>
      <c r="G10" s="30" t="s">
        <v>9660</v>
      </c>
      <c r="H10" s="30" t="s">
        <v>1504</v>
      </c>
      <c r="I10" s="30" t="s">
        <v>1502</v>
      </c>
      <c r="J10" s="6" t="s">
        <v>9661</v>
      </c>
      <c r="K10" s="253" t="n">
        <v>1</v>
      </c>
      <c r="L10" s="253" t="s">
        <v>8373</v>
      </c>
      <c r="M10" s="6" t="s">
        <v>9662</v>
      </c>
      <c r="N10" s="253" t="s">
        <v>8993</v>
      </c>
      <c r="O10" s="30" t="s">
        <v>8376</v>
      </c>
      <c r="P10" s="30" t="s">
        <v>809</v>
      </c>
      <c r="Q10" s="30" t="s">
        <v>9663</v>
      </c>
      <c r="R10" s="30" t="s">
        <v>809</v>
      </c>
      <c r="S10" s="30" t="s">
        <v>809</v>
      </c>
      <c r="T10" s="30" t="s">
        <v>809</v>
      </c>
      <c r="U10" s="30" t="s">
        <v>9664</v>
      </c>
      <c r="V10" s="6" t="s">
        <v>9674</v>
      </c>
      <c r="W10" s="6" t="s">
        <v>809</v>
      </c>
      <c r="AC10" s="32" t="n">
        <f aca="false">IF($O10="Active",SUMPRODUCT(($AM$5:$AM$100=$AM10)*1),0)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9675</v>
      </c>
      <c r="B11" s="6" t="s">
        <v>9676</v>
      </c>
      <c r="C11" s="255" t="n">
        <v>0.2</v>
      </c>
      <c r="D11" s="253"/>
      <c r="E11" s="253"/>
      <c r="F11" s="30" t="s">
        <v>1040</v>
      </c>
      <c r="G11" s="30" t="s">
        <v>9660</v>
      </c>
      <c r="H11" s="30" t="s">
        <v>1504</v>
      </c>
      <c r="I11" s="30" t="s">
        <v>1502</v>
      </c>
      <c r="J11" s="6" t="s">
        <v>9661</v>
      </c>
      <c r="K11" s="253" t="n">
        <v>1</v>
      </c>
      <c r="L11" s="253" t="s">
        <v>8373</v>
      </c>
      <c r="M11" s="6" t="s">
        <v>9662</v>
      </c>
      <c r="N11" s="253" t="s">
        <v>8993</v>
      </c>
      <c r="O11" s="30" t="s">
        <v>8376</v>
      </c>
      <c r="P11" s="30" t="s">
        <v>809</v>
      </c>
      <c r="Q11" s="30" t="s">
        <v>9663</v>
      </c>
      <c r="R11" s="30" t="s">
        <v>809</v>
      </c>
      <c r="S11" s="30" t="s">
        <v>809</v>
      </c>
      <c r="T11" s="30" t="s">
        <v>809</v>
      </c>
      <c r="U11" s="30" t="s">
        <v>9664</v>
      </c>
      <c r="V11" s="6" t="s">
        <v>9677</v>
      </c>
      <c r="W11" s="6" t="s">
        <v>809</v>
      </c>
      <c r="AC11" s="32" t="n">
        <f aca="false">IF($O11="Active",SUMPRODUCT(($AM$5:$AM$100=$AM11)*1),0)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9678</v>
      </c>
      <c r="B12" s="6" t="s">
        <v>9679</v>
      </c>
      <c r="C12" s="255" t="n">
        <v>10</v>
      </c>
      <c r="D12" s="253"/>
      <c r="E12" s="253"/>
      <c r="F12" s="30" t="s">
        <v>1040</v>
      </c>
      <c r="G12" s="30" t="s">
        <v>9660</v>
      </c>
      <c r="H12" s="30" t="s">
        <v>1504</v>
      </c>
      <c r="I12" s="30" t="s">
        <v>1502</v>
      </c>
      <c r="J12" s="6" t="s">
        <v>9661</v>
      </c>
      <c r="K12" s="253" t="n">
        <v>1</v>
      </c>
      <c r="L12" s="253" t="s">
        <v>8373</v>
      </c>
      <c r="M12" s="6" t="s">
        <v>9662</v>
      </c>
      <c r="N12" s="253" t="s">
        <v>8993</v>
      </c>
      <c r="O12" s="30" t="s">
        <v>8376</v>
      </c>
      <c r="P12" s="30" t="s">
        <v>809</v>
      </c>
      <c r="Q12" s="30" t="s">
        <v>9663</v>
      </c>
      <c r="R12" s="30" t="s">
        <v>809</v>
      </c>
      <c r="S12" s="30" t="s">
        <v>809</v>
      </c>
      <c r="T12" s="30" t="s">
        <v>809</v>
      </c>
      <c r="U12" s="30" t="s">
        <v>9664</v>
      </c>
      <c r="V12" s="6" t="s">
        <v>9680</v>
      </c>
      <c r="W12" s="6" t="s">
        <v>809</v>
      </c>
      <c r="AC12" s="32" t="n">
        <f aca="false">IF($O12="Active",SUMPRODUCT(($AM$5:$AM$100=$AM12)*1),0)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9681</v>
      </c>
      <c r="B13" s="6" t="s">
        <v>9682</v>
      </c>
      <c r="C13" s="255" t="n">
        <v>10</v>
      </c>
      <c r="D13" s="253"/>
      <c r="E13" s="253"/>
      <c r="F13" s="30" t="s">
        <v>1040</v>
      </c>
      <c r="G13" s="30" t="s">
        <v>9660</v>
      </c>
      <c r="H13" s="30" t="s">
        <v>1506</v>
      </c>
      <c r="I13" s="30" t="s">
        <v>1502</v>
      </c>
      <c r="J13" s="6" t="s">
        <v>9661</v>
      </c>
      <c r="K13" s="253" t="n">
        <v>1</v>
      </c>
      <c r="L13" s="253" t="s">
        <v>8373</v>
      </c>
      <c r="M13" s="6" t="s">
        <v>9662</v>
      </c>
      <c r="N13" s="253" t="s">
        <v>8993</v>
      </c>
      <c r="O13" s="30" t="s">
        <v>8376</v>
      </c>
      <c r="P13" s="30" t="s">
        <v>809</v>
      </c>
      <c r="Q13" s="30" t="s">
        <v>9663</v>
      </c>
      <c r="R13" s="30" t="s">
        <v>809</v>
      </c>
      <c r="S13" s="30" t="s">
        <v>809</v>
      </c>
      <c r="T13" s="30" t="s">
        <v>809</v>
      </c>
      <c r="U13" s="30" t="s">
        <v>9664</v>
      </c>
      <c r="V13" s="6" t="s">
        <v>9683</v>
      </c>
      <c r="W13" s="6" t="s">
        <v>809</v>
      </c>
      <c r="AC13" s="32" t="n">
        <f aca="false">IF($O13="Active",SUMPRODUCT(($AM$5:$AM$100=$AM13)*1),0)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9684</v>
      </c>
      <c r="B14" s="6" t="s">
        <v>9685</v>
      </c>
      <c r="C14" s="255" t="n">
        <v>1</v>
      </c>
      <c r="D14" s="253"/>
      <c r="E14" s="253"/>
      <c r="F14" s="30" t="s">
        <v>1040</v>
      </c>
      <c r="G14" s="30" t="s">
        <v>9660</v>
      </c>
      <c r="H14" s="30" t="s">
        <v>1506</v>
      </c>
      <c r="I14" s="30" t="s">
        <v>1502</v>
      </c>
      <c r="J14" s="6" t="s">
        <v>9661</v>
      </c>
      <c r="K14" s="253" t="n">
        <v>1</v>
      </c>
      <c r="L14" s="253" t="s">
        <v>8373</v>
      </c>
      <c r="M14" s="6" t="s">
        <v>9662</v>
      </c>
      <c r="N14" s="253" t="s">
        <v>8993</v>
      </c>
      <c r="O14" s="30" t="s">
        <v>8376</v>
      </c>
      <c r="P14" s="30" t="s">
        <v>809</v>
      </c>
      <c r="Q14" s="30" t="s">
        <v>9663</v>
      </c>
      <c r="R14" s="30" t="s">
        <v>809</v>
      </c>
      <c r="S14" s="30" t="s">
        <v>809</v>
      </c>
      <c r="T14" s="30" t="s">
        <v>809</v>
      </c>
      <c r="U14" s="30" t="s">
        <v>9664</v>
      </c>
      <c r="V14" s="6" t="s">
        <v>9686</v>
      </c>
      <c r="W14" s="6" t="s">
        <v>809</v>
      </c>
      <c r="AC14" s="32" t="n">
        <f aca="false">IF($O14="Active",SUMPRODUCT(($AM$5:$AM$100=$AM14)*1),0)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9687</v>
      </c>
      <c r="B15" s="6" t="s">
        <v>9688</v>
      </c>
      <c r="C15" s="255" t="n">
        <v>50</v>
      </c>
      <c r="D15" s="253"/>
      <c r="E15" s="253"/>
      <c r="F15" s="30" t="s">
        <v>1040</v>
      </c>
      <c r="G15" s="30" t="s">
        <v>9660</v>
      </c>
      <c r="H15" s="30" t="s">
        <v>1506</v>
      </c>
      <c r="I15" s="30" t="s">
        <v>1502</v>
      </c>
      <c r="J15" s="6" t="s">
        <v>9661</v>
      </c>
      <c r="K15" s="253" t="n">
        <v>1</v>
      </c>
      <c r="L15" s="253" t="s">
        <v>8373</v>
      </c>
      <c r="M15" s="6" t="s">
        <v>9662</v>
      </c>
      <c r="N15" s="253" t="s">
        <v>8993</v>
      </c>
      <c r="O15" s="30" t="s">
        <v>8376</v>
      </c>
      <c r="P15" s="30" t="s">
        <v>809</v>
      </c>
      <c r="Q15" s="30" t="s">
        <v>9663</v>
      </c>
      <c r="R15" s="30" t="s">
        <v>809</v>
      </c>
      <c r="S15" s="30" t="s">
        <v>809</v>
      </c>
      <c r="T15" s="30" t="s">
        <v>809</v>
      </c>
      <c r="U15" s="30" t="s">
        <v>9664</v>
      </c>
      <c r="V15" s="6" t="s">
        <v>9689</v>
      </c>
      <c r="W15" s="6" t="s">
        <v>809</v>
      </c>
      <c r="AC15" s="32" t="n">
        <f aca="false">IF($O15="Active",SUMPRODUCT(($AM$5:$AM$100=$AM15)*1),0)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9690</v>
      </c>
      <c r="B16" s="6" t="s">
        <v>9691</v>
      </c>
      <c r="C16" s="255" t="n">
        <v>10</v>
      </c>
      <c r="D16" s="253"/>
      <c r="E16" s="253"/>
      <c r="F16" s="30" t="s">
        <v>1040</v>
      </c>
      <c r="G16" s="30" t="s">
        <v>9660</v>
      </c>
      <c r="H16" s="30" t="s">
        <v>1509</v>
      </c>
      <c r="I16" s="30" t="s">
        <v>1511</v>
      </c>
      <c r="J16" s="6" t="s">
        <v>9692</v>
      </c>
      <c r="K16" s="253" t="n">
        <v>2</v>
      </c>
      <c r="L16" s="253" t="s">
        <v>8373</v>
      </c>
      <c r="M16" s="6" t="s">
        <v>9693</v>
      </c>
      <c r="N16" s="253" t="s">
        <v>8386</v>
      </c>
      <c r="O16" s="30" t="s">
        <v>8376</v>
      </c>
      <c r="P16" s="30" t="s">
        <v>809</v>
      </c>
      <c r="Q16" s="30" t="s">
        <v>9694</v>
      </c>
      <c r="R16" s="30" t="s">
        <v>809</v>
      </c>
      <c r="S16" s="30" t="s">
        <v>809</v>
      </c>
      <c r="T16" s="30" t="s">
        <v>809</v>
      </c>
      <c r="U16" s="30" t="s">
        <v>9695</v>
      </c>
      <c r="V16" s="6" t="s">
        <v>9696</v>
      </c>
      <c r="W16" s="6" t="s">
        <v>809</v>
      </c>
      <c r="AC16" s="32" t="n">
        <f aca="false">IF($O16="Active",SUMPRODUCT(($AM$5:$AM$100=$AM16)*1),0)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9697</v>
      </c>
      <c r="B17" s="6" t="s">
        <v>9698</v>
      </c>
      <c r="C17" s="255" t="n">
        <v>0.25</v>
      </c>
      <c r="D17" s="253"/>
      <c r="E17" s="253"/>
      <c r="F17" s="30" t="s">
        <v>1040</v>
      </c>
      <c r="G17" s="30" t="s">
        <v>9660</v>
      </c>
      <c r="H17" s="30" t="s">
        <v>1509</v>
      </c>
      <c r="I17" s="30" t="s">
        <v>1511</v>
      </c>
      <c r="J17" s="6" t="s">
        <v>9692</v>
      </c>
      <c r="K17" s="253" t="n">
        <v>2</v>
      </c>
      <c r="L17" s="253" t="s">
        <v>8373</v>
      </c>
      <c r="M17" s="6" t="s">
        <v>9693</v>
      </c>
      <c r="N17" s="253" t="s">
        <v>8386</v>
      </c>
      <c r="O17" s="30" t="s">
        <v>8376</v>
      </c>
      <c r="P17" s="30" t="s">
        <v>809</v>
      </c>
      <c r="Q17" s="30" t="s">
        <v>9694</v>
      </c>
      <c r="R17" s="30" t="s">
        <v>809</v>
      </c>
      <c r="S17" s="30" t="s">
        <v>809</v>
      </c>
      <c r="T17" s="30" t="s">
        <v>809</v>
      </c>
      <c r="U17" s="30" t="s">
        <v>9695</v>
      </c>
      <c r="V17" s="6" t="s">
        <v>9699</v>
      </c>
      <c r="W17" s="20" t="s">
        <v>9700</v>
      </c>
      <c r="AC17" s="32" t="n">
        <f aca="false">IF($O17="Active",SUMPRODUCT(($AM$5:$AM$100=$AM17)*1),0)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9701</v>
      </c>
      <c r="B18" s="6" t="s">
        <v>9702</v>
      </c>
      <c r="C18" s="255" t="n">
        <v>50</v>
      </c>
      <c r="D18" s="253"/>
      <c r="E18" s="253"/>
      <c r="F18" s="30" t="s">
        <v>1040</v>
      </c>
      <c r="G18" s="30" t="s">
        <v>9660</v>
      </c>
      <c r="H18" s="30" t="s">
        <v>1509</v>
      </c>
      <c r="I18" s="30" t="s">
        <v>1511</v>
      </c>
      <c r="J18" s="6" t="s">
        <v>9692</v>
      </c>
      <c r="K18" s="253" t="n">
        <v>2</v>
      </c>
      <c r="L18" s="253" t="s">
        <v>8373</v>
      </c>
      <c r="M18" s="6" t="s">
        <v>9693</v>
      </c>
      <c r="N18" s="253" t="s">
        <v>8386</v>
      </c>
      <c r="O18" s="30" t="s">
        <v>8376</v>
      </c>
      <c r="P18" s="30" t="s">
        <v>809</v>
      </c>
      <c r="Q18" s="30" t="s">
        <v>9694</v>
      </c>
      <c r="R18" s="30" t="s">
        <v>809</v>
      </c>
      <c r="S18" s="30" t="s">
        <v>809</v>
      </c>
      <c r="T18" s="30" t="s">
        <v>809</v>
      </c>
      <c r="U18" s="30" t="s">
        <v>9695</v>
      </c>
      <c r="V18" s="6" t="s">
        <v>9703</v>
      </c>
      <c r="W18" s="6" t="s">
        <v>809</v>
      </c>
      <c r="AC18" s="32" t="n">
        <f aca="false">IF($O18="Active",SUMPRODUCT(($AM$5:$AM$100=$AM18)*1),0)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9704</v>
      </c>
      <c r="B19" s="6" t="s">
        <v>9705</v>
      </c>
      <c r="C19" s="255" t="n">
        <v>5</v>
      </c>
      <c r="D19" s="253"/>
      <c r="E19" s="253"/>
      <c r="F19" s="30" t="s">
        <v>1040</v>
      </c>
      <c r="G19" s="30" t="s">
        <v>9660</v>
      </c>
      <c r="H19" s="30" t="s">
        <v>1513</v>
      </c>
      <c r="I19" s="30" t="s">
        <v>9706</v>
      </c>
      <c r="J19" s="6" t="s">
        <v>9692</v>
      </c>
      <c r="K19" s="253" t="n">
        <v>2</v>
      </c>
      <c r="L19" s="253" t="s">
        <v>8373</v>
      </c>
      <c r="M19" s="6" t="s">
        <v>9693</v>
      </c>
      <c r="N19" s="253" t="s">
        <v>8386</v>
      </c>
      <c r="O19" s="30" t="s">
        <v>8376</v>
      </c>
      <c r="P19" s="30" t="s">
        <v>809</v>
      </c>
      <c r="Q19" s="30" t="s">
        <v>9694</v>
      </c>
      <c r="R19" s="30" t="s">
        <v>809</v>
      </c>
      <c r="S19" s="30" t="s">
        <v>809</v>
      </c>
      <c r="T19" s="30" t="s">
        <v>809</v>
      </c>
      <c r="U19" s="30" t="s">
        <v>9695</v>
      </c>
      <c r="V19" s="6" t="s">
        <v>9707</v>
      </c>
      <c r="W19" s="20" t="s">
        <v>9708</v>
      </c>
      <c r="AC19" s="32" t="n">
        <f aca="false">IF($O19="Active",SUMPRODUCT(($AM$5:$AM$100=$AM19)*1),0)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9709</v>
      </c>
      <c r="B20" s="6" t="s">
        <v>9710</v>
      </c>
      <c r="C20" s="255" t="n">
        <v>25</v>
      </c>
      <c r="D20" s="253"/>
      <c r="E20" s="253"/>
      <c r="F20" s="30" t="s">
        <v>1040</v>
      </c>
      <c r="G20" s="30" t="s">
        <v>9660</v>
      </c>
      <c r="H20" s="30" t="s">
        <v>1513</v>
      </c>
      <c r="I20" s="30" t="s">
        <v>9706</v>
      </c>
      <c r="J20" s="6" t="s">
        <v>9692</v>
      </c>
      <c r="K20" s="253" t="n">
        <v>2</v>
      </c>
      <c r="L20" s="253" t="s">
        <v>8373</v>
      </c>
      <c r="M20" s="6" t="s">
        <v>9693</v>
      </c>
      <c r="N20" s="253" t="s">
        <v>8386</v>
      </c>
      <c r="O20" s="30" t="s">
        <v>8376</v>
      </c>
      <c r="P20" s="30" t="s">
        <v>809</v>
      </c>
      <c r="Q20" s="30" t="s">
        <v>9694</v>
      </c>
      <c r="R20" s="30" t="s">
        <v>809</v>
      </c>
      <c r="S20" s="30" t="s">
        <v>809</v>
      </c>
      <c r="T20" s="30" t="s">
        <v>809</v>
      </c>
      <c r="U20" s="30" t="s">
        <v>9695</v>
      </c>
      <c r="V20" s="6" t="s">
        <v>9711</v>
      </c>
      <c r="W20" s="6" t="s">
        <v>809</v>
      </c>
      <c r="AC20" s="32" t="n">
        <f aca="false">IF($O20="Active",SUMPRODUCT(($AM$5:$AM$100=$AM20)*1),0)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9712</v>
      </c>
      <c r="B21" s="6" t="s">
        <v>9713</v>
      </c>
      <c r="C21" s="255" t="n">
        <v>4</v>
      </c>
      <c r="D21" s="253"/>
      <c r="E21" s="253"/>
      <c r="F21" s="30" t="s">
        <v>1040</v>
      </c>
      <c r="G21" s="30" t="s">
        <v>9660</v>
      </c>
      <c r="H21" s="30" t="s">
        <v>1516</v>
      </c>
      <c r="I21" s="30" t="s">
        <v>1518</v>
      </c>
      <c r="J21" s="6" t="s">
        <v>9692</v>
      </c>
      <c r="K21" s="253" t="n">
        <v>2</v>
      </c>
      <c r="L21" s="253" t="s">
        <v>8373</v>
      </c>
      <c r="M21" s="6" t="s">
        <v>9693</v>
      </c>
      <c r="N21" s="253" t="s">
        <v>8386</v>
      </c>
      <c r="O21" s="30" t="s">
        <v>8376</v>
      </c>
      <c r="P21" s="30" t="s">
        <v>809</v>
      </c>
      <c r="Q21" s="30" t="s">
        <v>9694</v>
      </c>
      <c r="R21" s="30" t="s">
        <v>809</v>
      </c>
      <c r="S21" s="30" t="s">
        <v>809</v>
      </c>
      <c r="T21" s="30" t="s">
        <v>809</v>
      </c>
      <c r="U21" s="30" t="s">
        <v>9695</v>
      </c>
      <c r="V21" s="6" t="s">
        <v>9714</v>
      </c>
      <c r="W21" s="20" t="s">
        <v>9715</v>
      </c>
      <c r="AC21" s="32" t="n">
        <f aca="false">IF($O21="Active",SUMPRODUCT(($AM$5:$AM$100=$AM21)*1),0)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9716</v>
      </c>
      <c r="B22" s="6" t="s">
        <v>9717</v>
      </c>
      <c r="C22" s="255" t="n">
        <v>20</v>
      </c>
      <c r="D22" s="253"/>
      <c r="E22" s="253"/>
      <c r="F22" s="30" t="s">
        <v>1040</v>
      </c>
      <c r="G22" s="30" t="s">
        <v>9660</v>
      </c>
      <c r="H22" s="30" t="s">
        <v>1516</v>
      </c>
      <c r="I22" s="30" t="s">
        <v>1518</v>
      </c>
      <c r="J22" s="6" t="s">
        <v>9692</v>
      </c>
      <c r="K22" s="253" t="n">
        <v>2</v>
      </c>
      <c r="L22" s="253" t="s">
        <v>8373</v>
      </c>
      <c r="M22" s="6" t="s">
        <v>9693</v>
      </c>
      <c r="N22" s="253" t="s">
        <v>8386</v>
      </c>
      <c r="O22" s="30" t="s">
        <v>8376</v>
      </c>
      <c r="P22" s="30" t="s">
        <v>809</v>
      </c>
      <c r="Q22" s="30" t="s">
        <v>9694</v>
      </c>
      <c r="R22" s="30" t="s">
        <v>809</v>
      </c>
      <c r="S22" s="30" t="s">
        <v>809</v>
      </c>
      <c r="T22" s="30" t="s">
        <v>809</v>
      </c>
      <c r="U22" s="30" t="s">
        <v>9695</v>
      </c>
      <c r="V22" s="6" t="s">
        <v>9718</v>
      </c>
      <c r="W22" s="6" t="s">
        <v>809</v>
      </c>
      <c r="AC22" s="32" t="n">
        <f aca="false">IF($O22="Active",SUMPRODUCT(($AM$5:$AM$100=$AM22)*1),0)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9719</v>
      </c>
      <c r="B23" s="6" t="s">
        <v>9720</v>
      </c>
      <c r="C23" s="255" t="n">
        <v>1.25</v>
      </c>
      <c r="D23" s="253"/>
      <c r="E23" s="253"/>
      <c r="F23" s="30" t="s">
        <v>9721</v>
      </c>
      <c r="G23" s="30" t="s">
        <v>809</v>
      </c>
      <c r="H23" s="30" t="s">
        <v>1510</v>
      </c>
      <c r="I23" s="30" t="s">
        <v>9706</v>
      </c>
      <c r="J23" s="6" t="s">
        <v>9692</v>
      </c>
      <c r="K23" s="253" t="n">
        <v>2</v>
      </c>
      <c r="L23" s="253" t="s">
        <v>8373</v>
      </c>
      <c r="M23" s="6" t="s">
        <v>9693</v>
      </c>
      <c r="N23" s="253" t="s">
        <v>8386</v>
      </c>
      <c r="O23" s="30" t="s">
        <v>8376</v>
      </c>
      <c r="P23" s="30" t="s">
        <v>809</v>
      </c>
      <c r="Q23" s="30" t="s">
        <v>9694</v>
      </c>
      <c r="R23" s="30" t="s">
        <v>809</v>
      </c>
      <c r="S23" s="30" t="s">
        <v>809</v>
      </c>
      <c r="T23" s="30" t="s">
        <v>809</v>
      </c>
      <c r="U23" s="30" t="s">
        <v>9695</v>
      </c>
      <c r="V23" s="6" t="s">
        <v>809</v>
      </c>
      <c r="W23" s="6" t="s">
        <v>809</v>
      </c>
      <c r="AC23" s="32" t="n">
        <f aca="false">IF($O23="Active",SUMPRODUCT(($AM$5:$AM$100=$AM23)*1),0)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9722</v>
      </c>
      <c r="B24" s="6" t="s">
        <v>9723</v>
      </c>
      <c r="C24" s="255" t="n">
        <v>2</v>
      </c>
      <c r="D24" s="253"/>
      <c r="E24" s="253"/>
      <c r="F24" s="30" t="s">
        <v>9721</v>
      </c>
      <c r="G24" s="30" t="s">
        <v>809</v>
      </c>
      <c r="H24" s="30" t="s">
        <v>1510</v>
      </c>
      <c r="I24" s="30" t="s">
        <v>9706</v>
      </c>
      <c r="J24" s="6" t="s">
        <v>9692</v>
      </c>
      <c r="K24" s="253" t="n">
        <v>2</v>
      </c>
      <c r="L24" s="253" t="s">
        <v>8373</v>
      </c>
      <c r="M24" s="6" t="s">
        <v>9693</v>
      </c>
      <c r="N24" s="253" t="s">
        <v>8386</v>
      </c>
      <c r="O24" s="30" t="s">
        <v>8376</v>
      </c>
      <c r="P24" s="30" t="s">
        <v>809</v>
      </c>
      <c r="Q24" s="30" t="s">
        <v>9694</v>
      </c>
      <c r="R24" s="30" t="s">
        <v>809</v>
      </c>
      <c r="S24" s="30" t="s">
        <v>809</v>
      </c>
      <c r="T24" s="30" t="s">
        <v>809</v>
      </c>
      <c r="U24" s="30" t="s">
        <v>9695</v>
      </c>
      <c r="V24" s="6" t="s">
        <v>809</v>
      </c>
      <c r="W24" s="6" t="s">
        <v>809</v>
      </c>
      <c r="AC24" s="32" t="n">
        <f aca="false">IF($O24="Active",SUMPRODUCT(($AM$5:$AM$100=$AM24)*1),0)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9724</v>
      </c>
      <c r="B25" s="6" t="s">
        <v>9725</v>
      </c>
      <c r="C25" s="255" t="n">
        <v>0.3</v>
      </c>
      <c r="D25" s="253"/>
      <c r="E25" s="253"/>
      <c r="F25" s="30" t="s">
        <v>1040</v>
      </c>
      <c r="G25" s="253" t="s">
        <v>9726</v>
      </c>
      <c r="H25" s="30" t="s">
        <v>1520</v>
      </c>
      <c r="I25" s="30" t="s">
        <v>1523</v>
      </c>
      <c r="J25" s="6" t="s">
        <v>9727</v>
      </c>
      <c r="K25" s="253" t="n">
        <v>1</v>
      </c>
      <c r="L25" s="253" t="s">
        <v>8373</v>
      </c>
      <c r="M25" s="6" t="s">
        <v>9728</v>
      </c>
      <c r="N25" s="253" t="s">
        <v>8993</v>
      </c>
      <c r="O25" s="30" t="s">
        <v>8376</v>
      </c>
      <c r="P25" s="30" t="s">
        <v>809</v>
      </c>
      <c r="Q25" s="30" t="s">
        <v>9729</v>
      </c>
      <c r="R25" s="30" t="s">
        <v>809</v>
      </c>
      <c r="S25" s="30" t="s">
        <v>809</v>
      </c>
      <c r="T25" s="30" t="s">
        <v>809</v>
      </c>
      <c r="U25" s="30" t="s">
        <v>4904</v>
      </c>
      <c r="V25" s="6" t="s">
        <v>9730</v>
      </c>
      <c r="W25" s="6" t="s">
        <v>809</v>
      </c>
      <c r="AC25" s="32" t="n">
        <f aca="false">IF($O25="Active",SUMPRODUCT(($AM$5:$AM$100=$AM25)*1),0)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9731</v>
      </c>
      <c r="B26" s="6" t="s">
        <v>9732</v>
      </c>
      <c r="C26" s="255" t="n">
        <v>0.006</v>
      </c>
      <c r="D26" s="253"/>
      <c r="E26" s="253"/>
      <c r="F26" s="30" t="s">
        <v>1040</v>
      </c>
      <c r="G26" s="253" t="s">
        <v>9733</v>
      </c>
      <c r="H26" s="30" t="s">
        <v>1520</v>
      </c>
      <c r="I26" s="30" t="s">
        <v>1523</v>
      </c>
      <c r="J26" s="6" t="s">
        <v>9727</v>
      </c>
      <c r="K26" s="253" t="n">
        <v>1</v>
      </c>
      <c r="L26" s="253" t="s">
        <v>8373</v>
      </c>
      <c r="M26" s="6" t="s">
        <v>9728</v>
      </c>
      <c r="N26" s="253" t="s">
        <v>8993</v>
      </c>
      <c r="O26" s="30" t="s">
        <v>8376</v>
      </c>
      <c r="P26" s="30" t="s">
        <v>809</v>
      </c>
      <c r="Q26" s="30" t="s">
        <v>9729</v>
      </c>
      <c r="R26" s="30" t="s">
        <v>809</v>
      </c>
      <c r="S26" s="30" t="s">
        <v>809</v>
      </c>
      <c r="T26" s="30" t="s">
        <v>809</v>
      </c>
      <c r="U26" s="30" t="s">
        <v>4904</v>
      </c>
      <c r="V26" s="6" t="s">
        <v>9734</v>
      </c>
      <c r="W26" s="6" t="s">
        <v>809</v>
      </c>
      <c r="AC26" s="32" t="n">
        <f aca="false">IF($O26="Active",SUMPRODUCT(($AM$5:$AM$100=$AM26)*1),0)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9735</v>
      </c>
      <c r="B27" s="6" t="s">
        <v>9736</v>
      </c>
      <c r="C27" s="255" t="n">
        <v>1.2</v>
      </c>
      <c r="D27" s="253"/>
      <c r="E27" s="253"/>
      <c r="F27" s="30" t="s">
        <v>1040</v>
      </c>
      <c r="G27" s="253" t="s">
        <v>9733</v>
      </c>
      <c r="H27" s="30" t="s">
        <v>1520</v>
      </c>
      <c r="I27" s="30" t="s">
        <v>1523</v>
      </c>
      <c r="J27" s="6" t="s">
        <v>9727</v>
      </c>
      <c r="K27" s="253" t="n">
        <v>1</v>
      </c>
      <c r="L27" s="253" t="s">
        <v>8373</v>
      </c>
      <c r="M27" s="6" t="s">
        <v>9728</v>
      </c>
      <c r="N27" s="253" t="s">
        <v>8993</v>
      </c>
      <c r="O27" s="30" t="s">
        <v>8376</v>
      </c>
      <c r="P27" s="30" t="s">
        <v>809</v>
      </c>
      <c r="Q27" s="30" t="s">
        <v>9729</v>
      </c>
      <c r="R27" s="30" t="s">
        <v>809</v>
      </c>
      <c r="S27" s="30" t="s">
        <v>809</v>
      </c>
      <c r="T27" s="30" t="s">
        <v>809</v>
      </c>
      <c r="U27" s="30" t="s">
        <v>4904</v>
      </c>
      <c r="V27" s="6" t="s">
        <v>9737</v>
      </c>
      <c r="W27" s="6" t="s">
        <v>809</v>
      </c>
      <c r="AC27" s="32" t="n">
        <f aca="false">IF($O27="Active",SUMPRODUCT(($AM$5:$AM$100=$AM27)*1),0)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9738</v>
      </c>
      <c r="B28" s="6" t="s">
        <v>9739</v>
      </c>
      <c r="C28" s="255" t="n">
        <v>1.32</v>
      </c>
      <c r="D28" s="253"/>
      <c r="E28" s="253"/>
      <c r="F28" s="30" t="s">
        <v>1040</v>
      </c>
      <c r="G28" s="253" t="s">
        <v>9733</v>
      </c>
      <c r="H28" s="30" t="s">
        <v>1525</v>
      </c>
      <c r="I28" s="30" t="s">
        <v>1523</v>
      </c>
      <c r="J28" s="6" t="s">
        <v>9727</v>
      </c>
      <c r="K28" s="253" t="n">
        <v>1</v>
      </c>
      <c r="L28" s="253" t="s">
        <v>8373</v>
      </c>
      <c r="M28" s="6" t="s">
        <v>9728</v>
      </c>
      <c r="N28" s="253" t="s">
        <v>8993</v>
      </c>
      <c r="O28" s="30" t="s">
        <v>8376</v>
      </c>
      <c r="P28" s="30" t="s">
        <v>809</v>
      </c>
      <c r="Q28" s="30" t="s">
        <v>9729</v>
      </c>
      <c r="R28" s="30" t="s">
        <v>809</v>
      </c>
      <c r="S28" s="30" t="s">
        <v>809</v>
      </c>
      <c r="T28" s="30" t="s">
        <v>809</v>
      </c>
      <c r="U28" s="30" t="s">
        <v>4904</v>
      </c>
      <c r="V28" s="6" t="s">
        <v>9740</v>
      </c>
      <c r="W28" s="6" t="s">
        <v>809</v>
      </c>
      <c r="AC28" s="32" t="n">
        <f aca="false">IF($O28="Active",SUMPRODUCT(($AM$5:$AM$100=$AM28)*1),0)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9741</v>
      </c>
      <c r="B29" s="6" t="s">
        <v>9742</v>
      </c>
      <c r="C29" s="255" t="n">
        <v>0.044</v>
      </c>
      <c r="D29" s="253"/>
      <c r="E29" s="253"/>
      <c r="F29" s="30" t="s">
        <v>1040</v>
      </c>
      <c r="G29" s="253" t="s">
        <v>9733</v>
      </c>
      <c r="H29" s="30" t="s">
        <v>1525</v>
      </c>
      <c r="I29" s="30" t="s">
        <v>1523</v>
      </c>
      <c r="J29" s="6" t="s">
        <v>9727</v>
      </c>
      <c r="K29" s="253" t="n">
        <v>1</v>
      </c>
      <c r="L29" s="253" t="s">
        <v>8373</v>
      </c>
      <c r="M29" s="6" t="s">
        <v>9728</v>
      </c>
      <c r="N29" s="253" t="s">
        <v>8993</v>
      </c>
      <c r="O29" s="30" t="s">
        <v>8376</v>
      </c>
      <c r="P29" s="30" t="s">
        <v>809</v>
      </c>
      <c r="Q29" s="30" t="s">
        <v>9729</v>
      </c>
      <c r="R29" s="30" t="s">
        <v>809</v>
      </c>
      <c r="S29" s="30" t="s">
        <v>809</v>
      </c>
      <c r="T29" s="30" t="s">
        <v>809</v>
      </c>
      <c r="U29" s="30" t="s">
        <v>4904</v>
      </c>
      <c r="V29" s="6" t="s">
        <v>9743</v>
      </c>
      <c r="W29" s="6" t="s">
        <v>809</v>
      </c>
      <c r="AC29" s="32" t="n">
        <f aca="false">IF($O29="Active",SUMPRODUCT(($AM$5:$AM$100=$AM29)*1),0)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9744</v>
      </c>
      <c r="B30" s="6" t="s">
        <v>9745</v>
      </c>
      <c r="C30" s="255" t="n">
        <v>3.96</v>
      </c>
      <c r="D30" s="253"/>
      <c r="E30" s="253"/>
      <c r="F30" s="30" t="s">
        <v>1040</v>
      </c>
      <c r="G30" s="253" t="s">
        <v>9733</v>
      </c>
      <c r="H30" s="30" t="s">
        <v>1525</v>
      </c>
      <c r="I30" s="30" t="s">
        <v>1523</v>
      </c>
      <c r="J30" s="6" t="s">
        <v>9727</v>
      </c>
      <c r="K30" s="253" t="n">
        <v>1</v>
      </c>
      <c r="L30" s="253" t="s">
        <v>8373</v>
      </c>
      <c r="M30" s="6" t="s">
        <v>9728</v>
      </c>
      <c r="N30" s="253" t="s">
        <v>8993</v>
      </c>
      <c r="O30" s="30" t="s">
        <v>8376</v>
      </c>
      <c r="P30" s="30" t="s">
        <v>809</v>
      </c>
      <c r="Q30" s="30" t="s">
        <v>9729</v>
      </c>
      <c r="R30" s="30" t="s">
        <v>809</v>
      </c>
      <c r="S30" s="30" t="s">
        <v>809</v>
      </c>
      <c r="T30" s="30" t="s">
        <v>809</v>
      </c>
      <c r="U30" s="30" t="s">
        <v>4904</v>
      </c>
      <c r="V30" s="6" t="s">
        <v>9746</v>
      </c>
      <c r="W30" s="6" t="s">
        <v>809</v>
      </c>
      <c r="AC30" s="32" t="n">
        <f aca="false">IF($O30="Active",SUMPRODUCT(($AM$5:$AM$100=$AM30)*1),0)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6302</v>
      </c>
      <c r="B31" s="6" t="s">
        <v>9747</v>
      </c>
      <c r="C31" s="255" t="n">
        <v>0.5</v>
      </c>
      <c r="D31" s="253"/>
      <c r="E31" s="253"/>
      <c r="F31" s="30" t="s">
        <v>132</v>
      </c>
      <c r="G31" s="30" t="s">
        <v>809</v>
      </c>
      <c r="H31" s="30" t="s">
        <v>1521</v>
      </c>
      <c r="I31" s="30" t="s">
        <v>1523</v>
      </c>
      <c r="J31" s="6" t="s">
        <v>9727</v>
      </c>
      <c r="K31" s="253" t="n">
        <v>1</v>
      </c>
      <c r="L31" s="253" t="s">
        <v>8373</v>
      </c>
      <c r="M31" s="6" t="s">
        <v>9728</v>
      </c>
      <c r="N31" s="253" t="s">
        <v>8993</v>
      </c>
      <c r="O31" s="30" t="s">
        <v>8376</v>
      </c>
      <c r="P31" s="30" t="s">
        <v>809</v>
      </c>
      <c r="Q31" s="30" t="s">
        <v>9729</v>
      </c>
      <c r="R31" s="30" t="s">
        <v>809</v>
      </c>
      <c r="S31" s="30" t="s">
        <v>809</v>
      </c>
      <c r="T31" s="30" t="s">
        <v>809</v>
      </c>
      <c r="U31" s="30" t="s">
        <v>4904</v>
      </c>
      <c r="V31" s="6" t="s">
        <v>9748</v>
      </c>
      <c r="W31" s="6" t="s">
        <v>809</v>
      </c>
      <c r="AC31" s="32" t="n">
        <f aca="false">IF($O31="Active",SUMPRODUCT(($AM$5:$AM$100=$AM31)*1),0)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9749</v>
      </c>
      <c r="B32" s="6" t="s">
        <v>9750</v>
      </c>
      <c r="C32" s="255" t="n">
        <v>35</v>
      </c>
      <c r="D32" s="253"/>
      <c r="E32" s="253"/>
      <c r="F32" s="30" t="s">
        <v>9751</v>
      </c>
      <c r="G32" s="253" t="s">
        <v>9752</v>
      </c>
      <c r="H32" s="30" t="s">
        <v>1521</v>
      </c>
      <c r="I32" s="30" t="s">
        <v>1523</v>
      </c>
      <c r="J32" s="6" t="s">
        <v>9727</v>
      </c>
      <c r="K32" s="253" t="n">
        <v>1</v>
      </c>
      <c r="L32" s="253" t="s">
        <v>8373</v>
      </c>
      <c r="M32" s="6" t="s">
        <v>9728</v>
      </c>
      <c r="N32" s="253" t="s">
        <v>8993</v>
      </c>
      <c r="O32" s="30" t="s">
        <v>8376</v>
      </c>
      <c r="P32" s="30" t="s">
        <v>809</v>
      </c>
      <c r="Q32" s="30" t="s">
        <v>9729</v>
      </c>
      <c r="R32" s="30" t="s">
        <v>809</v>
      </c>
      <c r="S32" s="30" t="s">
        <v>809</v>
      </c>
      <c r="T32" s="30" t="s">
        <v>809</v>
      </c>
      <c r="U32" s="30" t="s">
        <v>4904</v>
      </c>
      <c r="V32" s="6" t="s">
        <v>9753</v>
      </c>
      <c r="W32" s="20" t="s">
        <v>9754</v>
      </c>
      <c r="AC32" s="32" t="n">
        <f aca="false">IF($O32="Active",SUMPRODUCT(($AM$5:$AM$100=$AM32)*1),0)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9755</v>
      </c>
      <c r="B33" s="6" t="s">
        <v>9756</v>
      </c>
      <c r="C33" s="255" t="n">
        <v>1.4</v>
      </c>
      <c r="D33" s="253"/>
      <c r="E33" s="253"/>
      <c r="F33" s="30" t="s">
        <v>1040</v>
      </c>
      <c r="G33" s="30" t="s">
        <v>809</v>
      </c>
      <c r="H33" s="30" t="s">
        <v>1527</v>
      </c>
      <c r="I33" s="30" t="s">
        <v>1523</v>
      </c>
      <c r="J33" s="6" t="s">
        <v>9757</v>
      </c>
      <c r="K33" s="253" t="n">
        <v>1</v>
      </c>
      <c r="L33" s="253" t="s">
        <v>8373</v>
      </c>
      <c r="M33" s="6" t="s">
        <v>9758</v>
      </c>
      <c r="N33" s="253" t="s">
        <v>8993</v>
      </c>
      <c r="O33" s="30" t="s">
        <v>8376</v>
      </c>
      <c r="P33" s="30" t="s">
        <v>809</v>
      </c>
      <c r="Q33" s="30" t="s">
        <v>9759</v>
      </c>
      <c r="R33" s="30" t="s">
        <v>809</v>
      </c>
      <c r="S33" s="30" t="s">
        <v>809</v>
      </c>
      <c r="T33" s="30" t="s">
        <v>809</v>
      </c>
      <c r="U33" s="30" t="s">
        <v>9760</v>
      </c>
      <c r="V33" s="6" t="s">
        <v>9761</v>
      </c>
      <c r="W33" s="6" t="s">
        <v>809</v>
      </c>
      <c r="AC33" s="32" t="n">
        <f aca="false">IF($O33="Active",SUMPRODUCT(($AM$5:$AM$100=$AM33)*1),0)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9762</v>
      </c>
      <c r="B34" s="6" t="s">
        <v>9763</v>
      </c>
      <c r="C34" s="255" t="n">
        <v>0.26</v>
      </c>
      <c r="D34" s="253"/>
      <c r="E34" s="253"/>
      <c r="F34" s="30" t="s">
        <v>1040</v>
      </c>
      <c r="G34" s="30" t="s">
        <v>809</v>
      </c>
      <c r="H34" s="30" t="s">
        <v>1527</v>
      </c>
      <c r="I34" s="30" t="s">
        <v>1523</v>
      </c>
      <c r="J34" s="6" t="s">
        <v>9757</v>
      </c>
      <c r="K34" s="253" t="n">
        <v>1</v>
      </c>
      <c r="L34" s="253" t="s">
        <v>8373</v>
      </c>
      <c r="M34" s="6" t="s">
        <v>9758</v>
      </c>
      <c r="N34" s="253" t="s">
        <v>8993</v>
      </c>
      <c r="O34" s="30" t="s">
        <v>8376</v>
      </c>
      <c r="P34" s="30" t="s">
        <v>809</v>
      </c>
      <c r="Q34" s="30" t="s">
        <v>9759</v>
      </c>
      <c r="R34" s="30" t="s">
        <v>809</v>
      </c>
      <c r="S34" s="30" t="s">
        <v>809</v>
      </c>
      <c r="T34" s="30" t="s">
        <v>809</v>
      </c>
      <c r="U34" s="30" t="s">
        <v>9760</v>
      </c>
      <c r="V34" s="6" t="s">
        <v>9764</v>
      </c>
      <c r="W34" s="6" t="s">
        <v>809</v>
      </c>
      <c r="AC34" s="32" t="n">
        <f aca="false">IF($O34="Active",SUMPRODUCT(($AM$5:$AM$100=$AM34)*1),0)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9765</v>
      </c>
      <c r="B35" s="6" t="s">
        <v>9766</v>
      </c>
      <c r="C35" s="255" t="n">
        <v>4.4</v>
      </c>
      <c r="D35" s="253"/>
      <c r="E35" s="253"/>
      <c r="F35" s="30" t="s">
        <v>1040</v>
      </c>
      <c r="G35" s="30" t="s">
        <v>809</v>
      </c>
      <c r="H35" s="30" t="s">
        <v>1527</v>
      </c>
      <c r="I35" s="30" t="s">
        <v>1523</v>
      </c>
      <c r="J35" s="6" t="s">
        <v>9757</v>
      </c>
      <c r="K35" s="253" t="n">
        <v>1</v>
      </c>
      <c r="L35" s="253" t="s">
        <v>8373</v>
      </c>
      <c r="M35" s="6" t="s">
        <v>9758</v>
      </c>
      <c r="N35" s="253" t="s">
        <v>8993</v>
      </c>
      <c r="O35" s="30" t="s">
        <v>8376</v>
      </c>
      <c r="P35" s="30" t="s">
        <v>809</v>
      </c>
      <c r="Q35" s="30" t="s">
        <v>9759</v>
      </c>
      <c r="R35" s="30" t="s">
        <v>809</v>
      </c>
      <c r="S35" s="30" t="s">
        <v>809</v>
      </c>
      <c r="T35" s="30" t="s">
        <v>809</v>
      </c>
      <c r="U35" s="30" t="s">
        <v>9760</v>
      </c>
      <c r="V35" s="6" t="s">
        <v>9767</v>
      </c>
      <c r="W35" s="6" t="s">
        <v>809</v>
      </c>
      <c r="AC35" s="32" t="n">
        <f aca="false">IF($O35="Active",SUMPRODUCT(($AM$5:$AM$100=$AM35)*1),0)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9768</v>
      </c>
      <c r="B36" s="6" t="s">
        <v>9769</v>
      </c>
      <c r="C36" s="255" t="n">
        <v>0.15</v>
      </c>
      <c r="D36" s="253"/>
      <c r="E36" s="253"/>
      <c r="F36" s="30" t="s">
        <v>1040</v>
      </c>
      <c r="G36" s="30" t="s">
        <v>809</v>
      </c>
      <c r="H36" s="30" t="s">
        <v>1531</v>
      </c>
      <c r="I36" s="30" t="s">
        <v>1523</v>
      </c>
      <c r="J36" s="6" t="s">
        <v>9757</v>
      </c>
      <c r="K36" s="253" t="n">
        <v>1</v>
      </c>
      <c r="L36" s="253" t="s">
        <v>8373</v>
      </c>
      <c r="M36" s="6" t="s">
        <v>9758</v>
      </c>
      <c r="N36" s="253" t="s">
        <v>8993</v>
      </c>
      <c r="O36" s="30" t="s">
        <v>8376</v>
      </c>
      <c r="P36" s="30" t="s">
        <v>809</v>
      </c>
      <c r="Q36" s="30" t="s">
        <v>9759</v>
      </c>
      <c r="R36" s="30" t="s">
        <v>809</v>
      </c>
      <c r="S36" s="30" t="s">
        <v>809</v>
      </c>
      <c r="T36" s="30" t="s">
        <v>809</v>
      </c>
      <c r="U36" s="30" t="s">
        <v>9760</v>
      </c>
      <c r="V36" s="6" t="s">
        <v>9770</v>
      </c>
      <c r="W36" s="6" t="s">
        <v>809</v>
      </c>
      <c r="AC36" s="32" t="n">
        <f aca="false">IF($O36="Active",SUMPRODUCT(($AM$5:$AM$100=$AM36)*1),0)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9771</v>
      </c>
      <c r="B37" s="6" t="s">
        <v>9772</v>
      </c>
      <c r="C37" s="255" t="n">
        <v>0.03</v>
      </c>
      <c r="D37" s="253"/>
      <c r="E37" s="253"/>
      <c r="F37" s="30" t="s">
        <v>1040</v>
      </c>
      <c r="G37" s="30" t="s">
        <v>809</v>
      </c>
      <c r="H37" s="30" t="s">
        <v>1531</v>
      </c>
      <c r="I37" s="30" t="s">
        <v>1523</v>
      </c>
      <c r="J37" s="6" t="s">
        <v>9757</v>
      </c>
      <c r="K37" s="253" t="n">
        <v>1</v>
      </c>
      <c r="L37" s="253" t="s">
        <v>8373</v>
      </c>
      <c r="M37" s="6" t="s">
        <v>9758</v>
      </c>
      <c r="N37" s="253" t="s">
        <v>8993</v>
      </c>
      <c r="O37" s="30" t="s">
        <v>8376</v>
      </c>
      <c r="P37" s="30" t="s">
        <v>809</v>
      </c>
      <c r="Q37" s="30" t="s">
        <v>9759</v>
      </c>
      <c r="R37" s="30" t="s">
        <v>809</v>
      </c>
      <c r="S37" s="30" t="s">
        <v>809</v>
      </c>
      <c r="T37" s="30" t="s">
        <v>809</v>
      </c>
      <c r="U37" s="30" t="s">
        <v>9760</v>
      </c>
      <c r="V37" s="6" t="s">
        <v>9773</v>
      </c>
      <c r="W37" s="6" t="s">
        <v>809</v>
      </c>
      <c r="AC37" s="32" t="n">
        <f aca="false">IF($O37="Active",SUMPRODUCT(($AM$5:$AM$100=$AM37)*1),0)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9774</v>
      </c>
      <c r="B38" s="6" t="s">
        <v>9775</v>
      </c>
      <c r="C38" s="255" t="n">
        <v>0.5</v>
      </c>
      <c r="D38" s="253"/>
      <c r="E38" s="253"/>
      <c r="F38" s="30" t="s">
        <v>1040</v>
      </c>
      <c r="G38" s="30" t="s">
        <v>809</v>
      </c>
      <c r="H38" s="30" t="s">
        <v>1531</v>
      </c>
      <c r="I38" s="30" t="s">
        <v>1523</v>
      </c>
      <c r="J38" s="6" t="s">
        <v>9757</v>
      </c>
      <c r="K38" s="253" t="n">
        <v>1</v>
      </c>
      <c r="L38" s="253" t="s">
        <v>8373</v>
      </c>
      <c r="M38" s="6" t="s">
        <v>9758</v>
      </c>
      <c r="N38" s="253" t="s">
        <v>8993</v>
      </c>
      <c r="O38" s="30" t="s">
        <v>8376</v>
      </c>
      <c r="P38" s="30" t="s">
        <v>809</v>
      </c>
      <c r="Q38" s="30" t="s">
        <v>9759</v>
      </c>
      <c r="R38" s="30" t="s">
        <v>809</v>
      </c>
      <c r="S38" s="30" t="s">
        <v>809</v>
      </c>
      <c r="T38" s="30" t="s">
        <v>809</v>
      </c>
      <c r="U38" s="30" t="s">
        <v>9760</v>
      </c>
      <c r="V38" s="6" t="s">
        <v>9776</v>
      </c>
      <c r="W38" s="6" t="s">
        <v>809</v>
      </c>
      <c r="AC38" s="32" t="n">
        <f aca="false">IF($O38="Active",SUMPRODUCT(($AM$5:$AM$100=$AM38)*1),0)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9777</v>
      </c>
      <c r="B39" s="6" t="s">
        <v>9778</v>
      </c>
      <c r="C39" s="255" t="n">
        <v>3</v>
      </c>
      <c r="D39" s="253"/>
      <c r="E39" s="253"/>
      <c r="F39" s="30" t="s">
        <v>1040</v>
      </c>
      <c r="G39" s="30" t="s">
        <v>809</v>
      </c>
      <c r="H39" s="30" t="s">
        <v>1537</v>
      </c>
      <c r="I39" s="30" t="s">
        <v>9706</v>
      </c>
      <c r="J39" s="6" t="s">
        <v>9779</v>
      </c>
      <c r="K39" s="253" t="n">
        <v>2</v>
      </c>
      <c r="L39" s="253" t="s">
        <v>8373</v>
      </c>
      <c r="M39" s="6" t="s">
        <v>9780</v>
      </c>
      <c r="N39" s="253" t="s">
        <v>8386</v>
      </c>
      <c r="O39" s="30" t="s">
        <v>8376</v>
      </c>
      <c r="P39" s="30" t="s">
        <v>809</v>
      </c>
      <c r="Q39" s="30" t="s">
        <v>3245</v>
      </c>
      <c r="R39" s="30" t="s">
        <v>809</v>
      </c>
      <c r="S39" s="30" t="s">
        <v>809</v>
      </c>
      <c r="T39" s="30" t="s">
        <v>809</v>
      </c>
      <c r="U39" s="30" t="s">
        <v>9781</v>
      </c>
      <c r="V39" s="6" t="s">
        <v>9782</v>
      </c>
      <c r="W39" s="6" t="s">
        <v>809</v>
      </c>
      <c r="AC39" s="32" t="n">
        <f aca="false">IF($O39="Active",SUMPRODUCT(($AM$5:$AM$100=$AM39)*1),0)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9783</v>
      </c>
      <c r="B40" s="6" t="s">
        <v>9784</v>
      </c>
      <c r="C40" s="255" t="n">
        <v>0.3</v>
      </c>
      <c r="D40" s="253"/>
      <c r="E40" s="253"/>
      <c r="F40" s="30" t="s">
        <v>1040</v>
      </c>
      <c r="G40" s="30" t="s">
        <v>809</v>
      </c>
      <c r="H40" s="30" t="s">
        <v>1537</v>
      </c>
      <c r="I40" s="30" t="s">
        <v>9706</v>
      </c>
      <c r="J40" s="6" t="s">
        <v>9779</v>
      </c>
      <c r="K40" s="253" t="n">
        <v>2</v>
      </c>
      <c r="L40" s="253" t="s">
        <v>8373</v>
      </c>
      <c r="M40" s="6" t="s">
        <v>9780</v>
      </c>
      <c r="N40" s="253" t="s">
        <v>8386</v>
      </c>
      <c r="O40" s="30" t="s">
        <v>8376</v>
      </c>
      <c r="P40" s="30" t="s">
        <v>809</v>
      </c>
      <c r="Q40" s="30" t="s">
        <v>3245</v>
      </c>
      <c r="R40" s="30" t="s">
        <v>809</v>
      </c>
      <c r="S40" s="30" t="s">
        <v>809</v>
      </c>
      <c r="T40" s="30" t="s">
        <v>809</v>
      </c>
      <c r="U40" s="30" t="s">
        <v>9781</v>
      </c>
      <c r="V40" s="6" t="s">
        <v>9785</v>
      </c>
      <c r="W40" s="6" t="s">
        <v>809</v>
      </c>
      <c r="AC40" s="32" t="n">
        <f aca="false">IF($O40="Active",SUMPRODUCT(($AM$5:$AM$100=$AM40)*1),0)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9786</v>
      </c>
      <c r="B41" s="6" t="s">
        <v>9787</v>
      </c>
      <c r="C41" s="255" t="n">
        <v>15</v>
      </c>
      <c r="D41" s="253"/>
      <c r="E41" s="253"/>
      <c r="F41" s="30" t="s">
        <v>1040</v>
      </c>
      <c r="G41" s="30" t="s">
        <v>809</v>
      </c>
      <c r="H41" s="30" t="s">
        <v>1537</v>
      </c>
      <c r="I41" s="30" t="s">
        <v>9706</v>
      </c>
      <c r="J41" s="6" t="s">
        <v>9779</v>
      </c>
      <c r="K41" s="253" t="n">
        <v>2</v>
      </c>
      <c r="L41" s="253" t="s">
        <v>8373</v>
      </c>
      <c r="M41" s="6" t="s">
        <v>9780</v>
      </c>
      <c r="N41" s="253" t="s">
        <v>8386</v>
      </c>
      <c r="O41" s="30" t="s">
        <v>8376</v>
      </c>
      <c r="P41" s="30" t="s">
        <v>809</v>
      </c>
      <c r="Q41" s="30" t="s">
        <v>3245</v>
      </c>
      <c r="R41" s="30" t="s">
        <v>809</v>
      </c>
      <c r="S41" s="30" t="s">
        <v>809</v>
      </c>
      <c r="T41" s="30" t="s">
        <v>809</v>
      </c>
      <c r="U41" s="30" t="s">
        <v>9781</v>
      </c>
      <c r="V41" s="6" t="s">
        <v>9788</v>
      </c>
      <c r="W41" s="6" t="s">
        <v>809</v>
      </c>
      <c r="AC41" s="32" t="n">
        <f aca="false">IF($O41="Active",SUMPRODUCT(($AM$5:$AM$100=$AM41)*1),0)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9789</v>
      </c>
      <c r="B42" s="6" t="s">
        <v>9790</v>
      </c>
      <c r="C42" s="255" t="n">
        <v>2</v>
      </c>
      <c r="D42" s="253"/>
      <c r="E42" s="253"/>
      <c r="F42" s="30" t="s">
        <v>1040</v>
      </c>
      <c r="G42" s="253" t="s">
        <v>9791</v>
      </c>
      <c r="H42" s="30" t="s">
        <v>1533</v>
      </c>
      <c r="I42" s="30" t="s">
        <v>1511</v>
      </c>
      <c r="J42" s="6" t="s">
        <v>9779</v>
      </c>
      <c r="K42" s="253" t="n">
        <v>2</v>
      </c>
      <c r="L42" s="253" t="s">
        <v>8373</v>
      </c>
      <c r="M42" s="6" t="s">
        <v>9780</v>
      </c>
      <c r="N42" s="253" t="s">
        <v>8386</v>
      </c>
      <c r="O42" s="30" t="s">
        <v>8376</v>
      </c>
      <c r="P42" s="30" t="s">
        <v>809</v>
      </c>
      <c r="Q42" s="30" t="s">
        <v>3245</v>
      </c>
      <c r="R42" s="30" t="s">
        <v>809</v>
      </c>
      <c r="S42" s="30" t="s">
        <v>809</v>
      </c>
      <c r="T42" s="30" t="s">
        <v>809</v>
      </c>
      <c r="U42" s="30" t="s">
        <v>9781</v>
      </c>
      <c r="V42" s="6" t="s">
        <v>9792</v>
      </c>
      <c r="W42" s="6" t="s">
        <v>809</v>
      </c>
      <c r="AC42" s="32" t="n">
        <f aca="false">IF($O42="Active",SUMPRODUCT(($AM$5:$AM$100=$AM42)*1),0)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9793</v>
      </c>
      <c r="B43" s="6" t="s">
        <v>9794</v>
      </c>
      <c r="C43" s="255" t="n">
        <v>0.25</v>
      </c>
      <c r="D43" s="253"/>
      <c r="E43" s="253"/>
      <c r="F43" s="30" t="s">
        <v>1040</v>
      </c>
      <c r="G43" s="253" t="s">
        <v>9791</v>
      </c>
      <c r="H43" s="30" t="s">
        <v>1533</v>
      </c>
      <c r="I43" s="30" t="s">
        <v>1511</v>
      </c>
      <c r="J43" s="6" t="s">
        <v>9779</v>
      </c>
      <c r="K43" s="253" t="n">
        <v>2</v>
      </c>
      <c r="L43" s="253" t="s">
        <v>8373</v>
      </c>
      <c r="M43" s="6" t="s">
        <v>9780</v>
      </c>
      <c r="N43" s="253" t="s">
        <v>8386</v>
      </c>
      <c r="O43" s="30" t="s">
        <v>8376</v>
      </c>
      <c r="P43" s="30" t="s">
        <v>809</v>
      </c>
      <c r="Q43" s="30" t="s">
        <v>3245</v>
      </c>
      <c r="R43" s="30" t="s">
        <v>809</v>
      </c>
      <c r="S43" s="30" t="s">
        <v>809</v>
      </c>
      <c r="T43" s="30" t="s">
        <v>809</v>
      </c>
      <c r="U43" s="30" t="s">
        <v>9781</v>
      </c>
      <c r="V43" s="6" t="s">
        <v>9795</v>
      </c>
      <c r="W43" s="6" t="s">
        <v>809</v>
      </c>
      <c r="AC43" s="32" t="n">
        <f aca="false">IF($O43="Active",SUMPRODUCT(($AM$5:$AM$100=$AM43)*1),0)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9796</v>
      </c>
      <c r="B44" s="6" t="s">
        <v>9797</v>
      </c>
      <c r="C44" s="255" t="n">
        <v>6</v>
      </c>
      <c r="D44" s="253"/>
      <c r="E44" s="253"/>
      <c r="F44" s="30" t="s">
        <v>1040</v>
      </c>
      <c r="G44" s="253" t="s">
        <v>9791</v>
      </c>
      <c r="H44" s="30" t="s">
        <v>1533</v>
      </c>
      <c r="I44" s="30" t="s">
        <v>1511</v>
      </c>
      <c r="J44" s="6" t="s">
        <v>9779</v>
      </c>
      <c r="K44" s="253" t="n">
        <v>2</v>
      </c>
      <c r="L44" s="253" t="s">
        <v>8373</v>
      </c>
      <c r="M44" s="6" t="s">
        <v>9780</v>
      </c>
      <c r="N44" s="253" t="s">
        <v>8386</v>
      </c>
      <c r="O44" s="30" t="s">
        <v>8376</v>
      </c>
      <c r="P44" s="30" t="s">
        <v>809</v>
      </c>
      <c r="Q44" s="30" t="s">
        <v>3245</v>
      </c>
      <c r="R44" s="30" t="s">
        <v>809</v>
      </c>
      <c r="S44" s="30" t="s">
        <v>809</v>
      </c>
      <c r="T44" s="30" t="s">
        <v>809</v>
      </c>
      <c r="U44" s="30" t="s">
        <v>9781</v>
      </c>
      <c r="V44" s="6" t="s">
        <v>9798</v>
      </c>
      <c r="W44" s="6" t="s">
        <v>809</v>
      </c>
      <c r="AC44" s="32" t="n">
        <f aca="false">IF($O44="Active",SUMPRODUCT(($AM$5:$AM$100=$AM44)*1),0)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9799</v>
      </c>
      <c r="B45" s="6" t="s">
        <v>9800</v>
      </c>
      <c r="C45" s="255" t="n">
        <v>2.5</v>
      </c>
      <c r="D45" s="253"/>
      <c r="E45" s="253"/>
      <c r="F45" s="30" t="s">
        <v>1040</v>
      </c>
      <c r="G45" s="253" t="s">
        <v>9801</v>
      </c>
      <c r="H45" s="30" t="s">
        <v>1533</v>
      </c>
      <c r="I45" s="30" t="s">
        <v>1511</v>
      </c>
      <c r="J45" s="6" t="s">
        <v>9779</v>
      </c>
      <c r="K45" s="253" t="n">
        <v>2</v>
      </c>
      <c r="L45" s="253" t="s">
        <v>8373</v>
      </c>
      <c r="M45" s="6" t="s">
        <v>9780</v>
      </c>
      <c r="N45" s="253" t="s">
        <v>8386</v>
      </c>
      <c r="O45" s="30" t="s">
        <v>8422</v>
      </c>
      <c r="P45" s="30" t="s">
        <v>809</v>
      </c>
      <c r="Q45" s="30" t="s">
        <v>3245</v>
      </c>
      <c r="R45" s="30" t="s">
        <v>809</v>
      </c>
      <c r="S45" s="30" t="s">
        <v>809</v>
      </c>
      <c r="T45" s="30" t="s">
        <v>809</v>
      </c>
      <c r="U45" s="30" t="s">
        <v>9781</v>
      </c>
      <c r="V45" s="6" t="s">
        <v>809</v>
      </c>
      <c r="W45" s="20" t="s">
        <v>9802</v>
      </c>
      <c r="AC45" s="32" t="n">
        <f aca="false">IF($O45="Active",SUMPRODUCT(($AM$5:$AM$100=$AM45)*1),0)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9803</v>
      </c>
      <c r="B46" s="6" t="s">
        <v>9804</v>
      </c>
      <c r="C46" s="255" t="n">
        <v>7.5</v>
      </c>
      <c r="D46" s="253"/>
      <c r="E46" s="253"/>
      <c r="F46" s="30" t="s">
        <v>1040</v>
      </c>
      <c r="G46" s="253" t="s">
        <v>9801</v>
      </c>
      <c r="H46" s="30" t="s">
        <v>1533</v>
      </c>
      <c r="I46" s="30" t="s">
        <v>1511</v>
      </c>
      <c r="J46" s="6" t="s">
        <v>9779</v>
      </c>
      <c r="K46" s="253" t="n">
        <v>2</v>
      </c>
      <c r="L46" s="253" t="s">
        <v>8373</v>
      </c>
      <c r="M46" s="6" t="s">
        <v>9780</v>
      </c>
      <c r="N46" s="253" t="s">
        <v>8386</v>
      </c>
      <c r="O46" s="30" t="s">
        <v>8422</v>
      </c>
      <c r="P46" s="30" t="s">
        <v>809</v>
      </c>
      <c r="Q46" s="30" t="s">
        <v>3245</v>
      </c>
      <c r="R46" s="30" t="s">
        <v>809</v>
      </c>
      <c r="S46" s="30" t="s">
        <v>809</v>
      </c>
      <c r="T46" s="30" t="s">
        <v>809</v>
      </c>
      <c r="U46" s="30" t="s">
        <v>9781</v>
      </c>
      <c r="V46" s="6" t="s">
        <v>809</v>
      </c>
      <c r="W46" s="20" t="s">
        <v>9802</v>
      </c>
      <c r="AC46" s="32" t="n">
        <f aca="false">IF($O46="Active",SUMPRODUCT(($AM$5:$AM$100=$AM46)*1),0)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9805</v>
      </c>
      <c r="B47" s="6" t="s">
        <v>9806</v>
      </c>
      <c r="C47" s="255" t="n">
        <v>0.3</v>
      </c>
      <c r="D47" s="253"/>
      <c r="E47" s="253"/>
      <c r="F47" s="30" t="s">
        <v>1040</v>
      </c>
      <c r="G47" s="30" t="s">
        <v>9807</v>
      </c>
      <c r="H47" s="30" t="s">
        <v>1542</v>
      </c>
      <c r="I47" s="30" t="s">
        <v>1514</v>
      </c>
      <c r="J47" s="6" t="s">
        <v>9779</v>
      </c>
      <c r="K47" s="253" t="n">
        <v>2</v>
      </c>
      <c r="L47" s="253" t="s">
        <v>8373</v>
      </c>
      <c r="M47" s="6" t="s">
        <v>9780</v>
      </c>
      <c r="N47" s="253" t="s">
        <v>8386</v>
      </c>
      <c r="O47" s="30" t="s">
        <v>8376</v>
      </c>
      <c r="P47" s="30" t="s">
        <v>809</v>
      </c>
      <c r="Q47" s="30" t="s">
        <v>3245</v>
      </c>
      <c r="R47" s="30" t="s">
        <v>809</v>
      </c>
      <c r="S47" s="30" t="s">
        <v>809</v>
      </c>
      <c r="T47" s="30" t="s">
        <v>809</v>
      </c>
      <c r="U47" s="30" t="s">
        <v>9781</v>
      </c>
      <c r="V47" s="6" t="s">
        <v>9808</v>
      </c>
      <c r="W47" s="6" t="s">
        <v>809</v>
      </c>
      <c r="AC47" s="32" t="n">
        <f aca="false">IF($O47="Active",SUMPRODUCT(($AM$5:$AM$100=$AM47)*1),0)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9809</v>
      </c>
      <c r="B48" s="6" t="s">
        <v>9810</v>
      </c>
      <c r="C48" s="255" t="n">
        <v>1.2</v>
      </c>
      <c r="D48" s="253"/>
      <c r="E48" s="253"/>
      <c r="F48" s="30" t="s">
        <v>1040</v>
      </c>
      <c r="G48" s="30" t="s">
        <v>9807</v>
      </c>
      <c r="H48" s="30" t="s">
        <v>1542</v>
      </c>
      <c r="I48" s="30" t="s">
        <v>1514</v>
      </c>
      <c r="J48" s="6" t="s">
        <v>9779</v>
      </c>
      <c r="K48" s="253" t="n">
        <v>2</v>
      </c>
      <c r="L48" s="253" t="s">
        <v>8373</v>
      </c>
      <c r="M48" s="6" t="s">
        <v>9780</v>
      </c>
      <c r="N48" s="253" t="s">
        <v>8386</v>
      </c>
      <c r="O48" s="30" t="s">
        <v>8376</v>
      </c>
      <c r="P48" s="30" t="s">
        <v>809</v>
      </c>
      <c r="Q48" s="30" t="s">
        <v>3245</v>
      </c>
      <c r="R48" s="30" t="s">
        <v>809</v>
      </c>
      <c r="S48" s="30" t="s">
        <v>809</v>
      </c>
      <c r="T48" s="30" t="s">
        <v>809</v>
      </c>
      <c r="U48" s="30" t="s">
        <v>9781</v>
      </c>
      <c r="V48" s="6" t="s">
        <v>9811</v>
      </c>
      <c r="W48" s="6" t="s">
        <v>809</v>
      </c>
      <c r="AC48" s="32" t="n">
        <f aca="false">IF($O48="Active",SUMPRODUCT(($AM$5:$AM$100=$AM48)*1),0)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  <row r="49" customFormat="false" ht="57.75" hidden="false" customHeight="true" outlineLevel="0" collapsed="false">
      <c r="A49" s="30" t="s">
        <v>6188</v>
      </c>
      <c r="B49" s="6" t="s">
        <v>9812</v>
      </c>
      <c r="C49" s="255" t="n">
        <v>0.5</v>
      </c>
      <c r="D49" s="207"/>
      <c r="E49" s="207"/>
      <c r="F49" s="30" t="s">
        <v>9813</v>
      </c>
      <c r="G49" s="30" t="s">
        <v>9814</v>
      </c>
      <c r="H49" s="30" t="s">
        <v>9815</v>
      </c>
      <c r="I49" s="30" t="s">
        <v>8215</v>
      </c>
      <c r="J49" s="6" t="s">
        <v>9816</v>
      </c>
      <c r="K49" s="207" t="n">
        <v>1</v>
      </c>
      <c r="L49" s="207" t="s">
        <v>8373</v>
      </c>
      <c r="M49" s="6" t="s">
        <v>9817</v>
      </c>
      <c r="N49" s="207" t="s">
        <v>8375</v>
      </c>
      <c r="O49" s="30" t="s">
        <v>8376</v>
      </c>
      <c r="P49" s="30" t="s">
        <v>809</v>
      </c>
      <c r="Q49" s="30" t="s">
        <v>9818</v>
      </c>
      <c r="R49" s="30" t="s">
        <v>9819</v>
      </c>
      <c r="S49" s="30" t="s">
        <v>809</v>
      </c>
      <c r="T49" s="30" t="s">
        <v>809</v>
      </c>
      <c r="U49" s="30" t="s">
        <v>8756</v>
      </c>
      <c r="V49" s="6" t="s">
        <v>9820</v>
      </c>
      <c r="W49" s="6" t="s">
        <v>9821</v>
      </c>
      <c r="AC49" s="32" t="n">
        <f aca="false">IF($O49="Active",SUMPRODUCT(($AM$5:$AM$100=$AM49)*1),0)</f>
        <v>1</v>
      </c>
      <c r="AD49" s="32" t="n">
        <f aca="false">IF(AND($O49="Active",OR($Q49="—",$Q49="")),1,0)</f>
        <v>0</v>
      </c>
      <c r="AE49" s="32" t="n">
        <f aca="false">IF(AND($O49="Active",$L49="利害關係方",OR($R49="—",$R49="")),1,0)</f>
        <v>0</v>
      </c>
      <c r="AM49" s="44" t="str">
        <f aca="false">IF($O49="Active",$B49&amp;"¦"&amp;$G49&amp;"¦"&amp;$H49,"")</f>
        <v>OpenAI Batch API 價格 ÷ 標準價¦Batch API（非同步）；官方文件寫『50% cost discount』¦OpenAI API</v>
      </c>
    </row>
    <row r="50" customFormat="false" ht="43.5" hidden="false" customHeight="true" outlineLevel="0" collapsed="false">
      <c r="A50" s="30" t="s">
        <v>9819</v>
      </c>
      <c r="B50" s="6" t="s">
        <v>9822</v>
      </c>
      <c r="C50" s="255" t="n">
        <v>0.5</v>
      </c>
      <c r="D50" s="207"/>
      <c r="E50" s="207"/>
      <c r="F50" s="30" t="s">
        <v>9813</v>
      </c>
      <c r="G50" s="30" t="s">
        <v>9823</v>
      </c>
      <c r="H50" s="30" t="s">
        <v>9824</v>
      </c>
      <c r="I50" s="30" t="s">
        <v>8215</v>
      </c>
      <c r="J50" s="6" t="s">
        <v>9825</v>
      </c>
      <c r="K50" s="207" t="n">
        <v>1</v>
      </c>
      <c r="L50" s="207" t="s">
        <v>8373</v>
      </c>
      <c r="M50" s="6" t="s">
        <v>9826</v>
      </c>
      <c r="N50" s="207" t="s">
        <v>8375</v>
      </c>
      <c r="O50" s="30" t="s">
        <v>8376</v>
      </c>
      <c r="P50" s="30" t="s">
        <v>809</v>
      </c>
      <c r="Q50" s="30" t="s">
        <v>9818</v>
      </c>
      <c r="R50" s="30" t="s">
        <v>6188</v>
      </c>
      <c r="S50" s="30" t="s">
        <v>809</v>
      </c>
      <c r="T50" s="30" t="s">
        <v>809</v>
      </c>
      <c r="U50" s="30" t="s">
        <v>8756</v>
      </c>
      <c r="V50" s="6" t="s">
        <v>9827</v>
      </c>
      <c r="W50" s="6" t="s">
        <v>9828</v>
      </c>
      <c r="AC50" s="32" t="n">
        <f aca="false">IF($O50="Active",SUMPRODUCT(($AM$5:$AM$100=$AM50)*1),0)</f>
        <v>1</v>
      </c>
      <c r="AD50" s="32" t="n">
        <f aca="false">IF(AND($O50="Active",OR($Q50="—",$Q50="")),1,0)</f>
        <v>0</v>
      </c>
      <c r="AE50" s="32" t="n">
        <f aca="false">IF(AND($O50="Active",$L50="利害關係方",OR($R50="—",$R50="")),1,0)</f>
        <v>0</v>
      </c>
      <c r="AM50" s="44" t="str">
        <f aca="false">IF($O50="Active",$B50&amp;"¦"&amp;$G50&amp;"¦"&amp;$H50,"")</f>
        <v>Anthropic Message Batches 價格 ÷ 標準價¦Message Batches；官方文件寫『50% of the standard API prices』¦Anthropic API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9829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29.25" hidden="false" customHeight="true" outlineLevel="0" collapsed="false">
      <c r="A5" s="30" t="s">
        <v>9830</v>
      </c>
      <c r="B5" s="6" t="s">
        <v>9831</v>
      </c>
      <c r="C5" s="255" t="n">
        <v>53</v>
      </c>
      <c r="D5" s="253"/>
      <c r="E5" s="253"/>
      <c r="F5" s="253" t="s">
        <v>9832</v>
      </c>
      <c r="G5" s="30" t="s">
        <v>1507</v>
      </c>
      <c r="H5" s="30" t="s">
        <v>1506</v>
      </c>
      <c r="I5" s="30" t="s">
        <v>1511</v>
      </c>
      <c r="J5" s="6" t="s">
        <v>9833</v>
      </c>
      <c r="K5" s="253" t="n">
        <v>2</v>
      </c>
      <c r="L5" s="253" t="s">
        <v>8480</v>
      </c>
      <c r="M5" s="6" t="s">
        <v>9834</v>
      </c>
      <c r="N5" s="253" t="s">
        <v>8386</v>
      </c>
      <c r="O5" s="30" t="s">
        <v>8376</v>
      </c>
      <c r="P5" s="30" t="s">
        <v>809</v>
      </c>
      <c r="Q5" s="30" t="s">
        <v>9835</v>
      </c>
      <c r="R5" s="30" t="s">
        <v>809</v>
      </c>
      <c r="S5" s="30" t="s">
        <v>809</v>
      </c>
      <c r="T5" s="30" t="s">
        <v>809</v>
      </c>
      <c r="U5" s="30" t="s">
        <v>9836</v>
      </c>
      <c r="V5" s="6" t="s">
        <v>9837</v>
      </c>
      <c r="W5" s="6" t="s">
        <v>809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9838</v>
      </c>
      <c r="B6" s="6" t="s">
        <v>9839</v>
      </c>
      <c r="C6" s="255" t="n">
        <v>53</v>
      </c>
      <c r="D6" s="253"/>
      <c r="E6" s="253"/>
      <c r="F6" s="253" t="s">
        <v>9832</v>
      </c>
      <c r="G6" s="30" t="s">
        <v>1507</v>
      </c>
      <c r="H6" s="30" t="s">
        <v>1509</v>
      </c>
      <c r="I6" s="30" t="s">
        <v>1511</v>
      </c>
      <c r="J6" s="6" t="s">
        <v>9833</v>
      </c>
      <c r="K6" s="253" t="n">
        <v>2</v>
      </c>
      <c r="L6" s="253" t="s">
        <v>8480</v>
      </c>
      <c r="M6" s="6" t="s">
        <v>9834</v>
      </c>
      <c r="N6" s="253" t="s">
        <v>8386</v>
      </c>
      <c r="O6" s="30" t="s">
        <v>8376</v>
      </c>
      <c r="P6" s="30" t="s">
        <v>809</v>
      </c>
      <c r="Q6" s="30" t="s">
        <v>9835</v>
      </c>
      <c r="R6" s="30" t="s">
        <v>809</v>
      </c>
      <c r="S6" s="30" t="s">
        <v>809</v>
      </c>
      <c r="T6" s="30" t="s">
        <v>809</v>
      </c>
      <c r="U6" s="30" t="s">
        <v>9836</v>
      </c>
      <c r="V6" s="6" t="s">
        <v>9840</v>
      </c>
      <c r="W6" s="6" t="s">
        <v>809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9841</v>
      </c>
      <c r="B7" s="6" t="s">
        <v>9842</v>
      </c>
      <c r="C7" s="255" t="n">
        <v>51</v>
      </c>
      <c r="D7" s="253"/>
      <c r="E7" s="253"/>
      <c r="F7" s="253" t="s">
        <v>9832</v>
      </c>
      <c r="G7" s="30" t="s">
        <v>1507</v>
      </c>
      <c r="H7" s="30" t="s">
        <v>1513</v>
      </c>
      <c r="I7" s="30" t="s">
        <v>1511</v>
      </c>
      <c r="J7" s="6" t="s">
        <v>9833</v>
      </c>
      <c r="K7" s="253" t="n">
        <v>2</v>
      </c>
      <c r="L7" s="253" t="s">
        <v>8480</v>
      </c>
      <c r="M7" s="6" t="s">
        <v>9834</v>
      </c>
      <c r="N7" s="253" t="s">
        <v>8386</v>
      </c>
      <c r="O7" s="30" t="s">
        <v>8376</v>
      </c>
      <c r="P7" s="30" t="s">
        <v>809</v>
      </c>
      <c r="Q7" s="30" t="s">
        <v>9835</v>
      </c>
      <c r="R7" s="30" t="s">
        <v>809</v>
      </c>
      <c r="S7" s="30" t="s">
        <v>809</v>
      </c>
      <c r="T7" s="30" t="s">
        <v>809</v>
      </c>
      <c r="U7" s="30" t="s">
        <v>9836</v>
      </c>
      <c r="V7" s="6" t="s">
        <v>9843</v>
      </c>
      <c r="W7" s="6" t="s">
        <v>809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9844</v>
      </c>
      <c r="B8" s="6" t="s">
        <v>9845</v>
      </c>
      <c r="C8" s="255" t="n">
        <v>47</v>
      </c>
      <c r="D8" s="253"/>
      <c r="E8" s="253"/>
      <c r="F8" s="253" t="s">
        <v>9832</v>
      </c>
      <c r="G8" s="30" t="s">
        <v>1507</v>
      </c>
      <c r="H8" s="30" t="s">
        <v>9265</v>
      </c>
      <c r="I8" s="30" t="s">
        <v>1511</v>
      </c>
      <c r="J8" s="6" t="s">
        <v>9833</v>
      </c>
      <c r="K8" s="253" t="n">
        <v>2</v>
      </c>
      <c r="L8" s="253" t="s">
        <v>8480</v>
      </c>
      <c r="M8" s="6" t="s">
        <v>9834</v>
      </c>
      <c r="N8" s="253" t="s">
        <v>8386</v>
      </c>
      <c r="O8" s="30" t="s">
        <v>8376</v>
      </c>
      <c r="P8" s="30" t="s">
        <v>809</v>
      </c>
      <c r="Q8" s="30" t="s">
        <v>9835</v>
      </c>
      <c r="R8" s="30" t="s">
        <v>809</v>
      </c>
      <c r="S8" s="30" t="s">
        <v>809</v>
      </c>
      <c r="T8" s="30" t="s">
        <v>809</v>
      </c>
      <c r="U8" s="30" t="s">
        <v>9836</v>
      </c>
      <c r="V8" s="6" t="s">
        <v>809</v>
      </c>
      <c r="W8" s="6" t="s">
        <v>809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9846</v>
      </c>
      <c r="B9" s="6" t="s">
        <v>9847</v>
      </c>
      <c r="C9" s="255" t="n">
        <v>42</v>
      </c>
      <c r="D9" s="253"/>
      <c r="E9" s="253"/>
      <c r="F9" s="253" t="s">
        <v>9832</v>
      </c>
      <c r="G9" s="30" t="s">
        <v>1507</v>
      </c>
      <c r="H9" s="30" t="s">
        <v>1531</v>
      </c>
      <c r="I9" s="30" t="s">
        <v>1511</v>
      </c>
      <c r="J9" s="6" t="s">
        <v>9833</v>
      </c>
      <c r="K9" s="253" t="n">
        <v>2</v>
      </c>
      <c r="L9" s="253" t="s">
        <v>8480</v>
      </c>
      <c r="M9" s="6" t="s">
        <v>9834</v>
      </c>
      <c r="N9" s="253" t="s">
        <v>8386</v>
      </c>
      <c r="O9" s="30" t="s">
        <v>8376</v>
      </c>
      <c r="P9" s="30" t="s">
        <v>809</v>
      </c>
      <c r="Q9" s="30" t="s">
        <v>9835</v>
      </c>
      <c r="R9" s="30" t="s">
        <v>809</v>
      </c>
      <c r="S9" s="30" t="s">
        <v>809</v>
      </c>
      <c r="T9" s="30" t="s">
        <v>809</v>
      </c>
      <c r="U9" s="30" t="s">
        <v>9836</v>
      </c>
      <c r="V9" s="6" t="s">
        <v>9848</v>
      </c>
      <c r="W9" s="6" t="s">
        <v>809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6327</v>
      </c>
      <c r="B10" s="6" t="s">
        <v>9849</v>
      </c>
      <c r="C10" s="255" t="n">
        <v>40</v>
      </c>
      <c r="D10" s="253"/>
      <c r="E10" s="253"/>
      <c r="F10" s="253" t="s">
        <v>9832</v>
      </c>
      <c r="G10" s="30" t="s">
        <v>1507</v>
      </c>
      <c r="H10" s="30" t="s">
        <v>9850</v>
      </c>
      <c r="I10" s="30" t="s">
        <v>1511</v>
      </c>
      <c r="J10" s="6" t="s">
        <v>9833</v>
      </c>
      <c r="K10" s="253" t="n">
        <v>2</v>
      </c>
      <c r="L10" s="253" t="s">
        <v>8480</v>
      </c>
      <c r="M10" s="6" t="s">
        <v>9834</v>
      </c>
      <c r="N10" s="253" t="s">
        <v>8386</v>
      </c>
      <c r="O10" s="30" t="s">
        <v>8376</v>
      </c>
      <c r="P10" s="30" t="s">
        <v>809</v>
      </c>
      <c r="Q10" s="30" t="s">
        <v>9835</v>
      </c>
      <c r="R10" s="30" t="s">
        <v>809</v>
      </c>
      <c r="S10" s="30" t="s">
        <v>809</v>
      </c>
      <c r="T10" s="30" t="s">
        <v>809</v>
      </c>
      <c r="U10" s="30" t="s">
        <v>9836</v>
      </c>
      <c r="V10" s="6" t="s">
        <v>9851</v>
      </c>
      <c r="W10" s="20" t="s">
        <v>9852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6320</v>
      </c>
      <c r="B11" s="6" t="s">
        <v>9853</v>
      </c>
      <c r="C11" s="255" t="n">
        <v>36</v>
      </c>
      <c r="D11" s="253"/>
      <c r="E11" s="253"/>
      <c r="F11" s="253" t="s">
        <v>9832</v>
      </c>
      <c r="G11" s="30" t="s">
        <v>1507</v>
      </c>
      <c r="H11" s="30" t="s">
        <v>9854</v>
      </c>
      <c r="I11" s="30" t="s">
        <v>1511</v>
      </c>
      <c r="J11" s="6" t="s">
        <v>9833</v>
      </c>
      <c r="K11" s="253" t="n">
        <v>2</v>
      </c>
      <c r="L11" s="253" t="s">
        <v>8480</v>
      </c>
      <c r="M11" s="6" t="s">
        <v>9834</v>
      </c>
      <c r="N11" s="253" t="s">
        <v>8386</v>
      </c>
      <c r="O11" s="30" t="s">
        <v>8376</v>
      </c>
      <c r="P11" s="30" t="s">
        <v>809</v>
      </c>
      <c r="Q11" s="30" t="s">
        <v>9835</v>
      </c>
      <c r="R11" s="30" t="s">
        <v>809</v>
      </c>
      <c r="S11" s="30" t="s">
        <v>809</v>
      </c>
      <c r="T11" s="30" t="s">
        <v>809</v>
      </c>
      <c r="U11" s="30" t="s">
        <v>9836</v>
      </c>
      <c r="V11" s="6" t="s">
        <v>9855</v>
      </c>
      <c r="W11" s="20" t="s">
        <v>9856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9857</v>
      </c>
      <c r="B12" s="6" t="s">
        <v>9858</v>
      </c>
      <c r="C12" s="255" t="n">
        <v>48</v>
      </c>
      <c r="D12" s="253"/>
      <c r="E12" s="253"/>
      <c r="F12" s="253" t="s">
        <v>9832</v>
      </c>
      <c r="G12" s="30" t="s">
        <v>1501</v>
      </c>
      <c r="H12" s="30" t="s">
        <v>1504</v>
      </c>
      <c r="I12" s="30" t="s">
        <v>1511</v>
      </c>
      <c r="J12" s="6" t="s">
        <v>9859</v>
      </c>
      <c r="K12" s="253" t="n">
        <v>1</v>
      </c>
      <c r="L12" s="253" t="s">
        <v>8480</v>
      </c>
      <c r="M12" s="6" t="s">
        <v>9860</v>
      </c>
      <c r="N12" s="253" t="s">
        <v>8375</v>
      </c>
      <c r="O12" s="30" t="s">
        <v>8376</v>
      </c>
      <c r="P12" s="30" t="s">
        <v>809</v>
      </c>
      <c r="Q12" s="30" t="s">
        <v>9861</v>
      </c>
      <c r="R12" s="30" t="s">
        <v>809</v>
      </c>
      <c r="S12" s="30" t="s">
        <v>7466</v>
      </c>
      <c r="T12" s="30" t="s">
        <v>809</v>
      </c>
      <c r="U12" s="30" t="s">
        <v>9862</v>
      </c>
      <c r="V12" s="6" t="s">
        <v>9863</v>
      </c>
      <c r="W12" s="20" t="s">
        <v>9864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9865</v>
      </c>
      <c r="B13" s="6" t="s">
        <v>9866</v>
      </c>
      <c r="C13" s="255" t="n">
        <v>37</v>
      </c>
      <c r="D13" s="253"/>
      <c r="E13" s="253"/>
      <c r="F13" s="253" t="s">
        <v>9832</v>
      </c>
      <c r="G13" s="30" t="s">
        <v>1501</v>
      </c>
      <c r="H13" s="30" t="s">
        <v>1498</v>
      </c>
      <c r="I13" s="30" t="s">
        <v>1511</v>
      </c>
      <c r="J13" s="6" t="s">
        <v>9859</v>
      </c>
      <c r="K13" s="253" t="n">
        <v>3</v>
      </c>
      <c r="L13" s="253" t="s">
        <v>8480</v>
      </c>
      <c r="M13" s="6" t="s">
        <v>9860</v>
      </c>
      <c r="N13" s="253" t="s">
        <v>9225</v>
      </c>
      <c r="O13" s="30" t="s">
        <v>8376</v>
      </c>
      <c r="P13" s="30" t="s">
        <v>809</v>
      </c>
      <c r="Q13" s="30" t="s">
        <v>9867</v>
      </c>
      <c r="R13" s="30" t="s">
        <v>809</v>
      </c>
      <c r="S13" s="30" t="s">
        <v>809</v>
      </c>
      <c r="T13" s="30" t="s">
        <v>809</v>
      </c>
      <c r="U13" s="30" t="s">
        <v>9862</v>
      </c>
      <c r="V13" s="6" t="s">
        <v>9868</v>
      </c>
      <c r="W13" s="6" t="s">
        <v>809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9869</v>
      </c>
      <c r="B14" s="6" t="s">
        <v>9870</v>
      </c>
      <c r="C14" s="255" t="n">
        <v>39</v>
      </c>
      <c r="D14" s="253"/>
      <c r="E14" s="253"/>
      <c r="F14" s="253" t="s">
        <v>9832</v>
      </c>
      <c r="G14" s="30" t="s">
        <v>1501</v>
      </c>
      <c r="H14" s="30" t="s">
        <v>1520</v>
      </c>
      <c r="I14" s="30" t="s">
        <v>1511</v>
      </c>
      <c r="J14" s="6" t="s">
        <v>9859</v>
      </c>
      <c r="K14" s="253" t="n">
        <v>3</v>
      </c>
      <c r="L14" s="253" t="s">
        <v>8480</v>
      </c>
      <c r="M14" s="6" t="s">
        <v>9860</v>
      </c>
      <c r="N14" s="253" t="s">
        <v>9225</v>
      </c>
      <c r="O14" s="30" t="s">
        <v>8376</v>
      </c>
      <c r="P14" s="30" t="s">
        <v>809</v>
      </c>
      <c r="Q14" s="30" t="s">
        <v>9867</v>
      </c>
      <c r="R14" s="30" t="s">
        <v>809</v>
      </c>
      <c r="S14" s="30" t="s">
        <v>809</v>
      </c>
      <c r="T14" s="30" t="s">
        <v>809</v>
      </c>
      <c r="U14" s="30" t="s">
        <v>9862</v>
      </c>
      <c r="V14" s="6" t="s">
        <v>9871</v>
      </c>
      <c r="W14" s="6" t="s">
        <v>809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9872</v>
      </c>
      <c r="B15" s="6" t="s">
        <v>9873</v>
      </c>
      <c r="C15" s="255" t="n">
        <v>45</v>
      </c>
      <c r="D15" s="253"/>
      <c r="E15" s="253"/>
      <c r="F15" s="253" t="s">
        <v>9832</v>
      </c>
      <c r="G15" s="30" t="s">
        <v>9874</v>
      </c>
      <c r="H15" s="30" t="s">
        <v>1527</v>
      </c>
      <c r="I15" s="30" t="s">
        <v>1511</v>
      </c>
      <c r="J15" s="6" t="s">
        <v>9859</v>
      </c>
      <c r="K15" s="253" t="n">
        <v>1</v>
      </c>
      <c r="L15" s="253" t="s">
        <v>8480</v>
      </c>
      <c r="M15" s="6" t="s">
        <v>9860</v>
      </c>
      <c r="N15" s="253" t="s">
        <v>8375</v>
      </c>
      <c r="O15" s="30" t="s">
        <v>8376</v>
      </c>
      <c r="P15" s="30" t="s">
        <v>809</v>
      </c>
      <c r="Q15" s="30" t="s">
        <v>9875</v>
      </c>
      <c r="R15" s="30" t="s">
        <v>809</v>
      </c>
      <c r="S15" s="30" t="s">
        <v>7466</v>
      </c>
      <c r="T15" s="30" t="s">
        <v>809</v>
      </c>
      <c r="U15" s="30" t="s">
        <v>9862</v>
      </c>
      <c r="V15" s="6" t="s">
        <v>9876</v>
      </c>
      <c r="W15" s="6" t="s">
        <v>9877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6433</v>
      </c>
      <c r="B16" s="6" t="s">
        <v>9878</v>
      </c>
      <c r="C16" s="255" t="n">
        <v>3.5667</v>
      </c>
      <c r="D16" s="253"/>
      <c r="E16" s="253"/>
      <c r="F16" s="253" t="s">
        <v>9879</v>
      </c>
      <c r="G16" s="30" t="s">
        <v>9880</v>
      </c>
      <c r="H16" s="30" t="s">
        <v>2471</v>
      </c>
      <c r="I16" s="30" t="s">
        <v>8383</v>
      </c>
      <c r="J16" s="6" t="s">
        <v>9881</v>
      </c>
      <c r="K16" s="253" t="n">
        <v>2</v>
      </c>
      <c r="L16" s="253" t="s">
        <v>8480</v>
      </c>
      <c r="M16" s="6" t="s">
        <v>9882</v>
      </c>
      <c r="N16" s="253" t="s">
        <v>8386</v>
      </c>
      <c r="O16" s="30" t="s">
        <v>8376</v>
      </c>
      <c r="P16" s="30" t="s">
        <v>809</v>
      </c>
      <c r="Q16" s="30" t="s">
        <v>9883</v>
      </c>
      <c r="R16" s="30" t="s">
        <v>809</v>
      </c>
      <c r="S16" s="30" t="s">
        <v>809</v>
      </c>
      <c r="T16" s="30" t="s">
        <v>809</v>
      </c>
      <c r="U16" s="30" t="s">
        <v>2473</v>
      </c>
      <c r="V16" s="6" t="s">
        <v>9884</v>
      </c>
      <c r="W16" s="6" t="s">
        <v>9885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9886</v>
      </c>
      <c r="B17" s="6" t="s">
        <v>9887</v>
      </c>
      <c r="C17" s="255" t="n">
        <v>0.5333</v>
      </c>
      <c r="D17" s="253"/>
      <c r="E17" s="253"/>
      <c r="F17" s="253" t="s">
        <v>9879</v>
      </c>
      <c r="G17" s="30" t="s">
        <v>9880</v>
      </c>
      <c r="H17" s="30" t="s">
        <v>2471</v>
      </c>
      <c r="I17" s="30" t="s">
        <v>8383</v>
      </c>
      <c r="J17" s="6" t="s">
        <v>9881</v>
      </c>
      <c r="K17" s="253" t="n">
        <v>2</v>
      </c>
      <c r="L17" s="253" t="s">
        <v>8480</v>
      </c>
      <c r="M17" s="6" t="s">
        <v>9882</v>
      </c>
      <c r="N17" s="253" t="s">
        <v>8386</v>
      </c>
      <c r="O17" s="30" t="s">
        <v>8376</v>
      </c>
      <c r="P17" s="30" t="s">
        <v>809</v>
      </c>
      <c r="Q17" s="30" t="s">
        <v>9883</v>
      </c>
      <c r="R17" s="30" t="s">
        <v>809</v>
      </c>
      <c r="S17" s="30" t="s">
        <v>809</v>
      </c>
      <c r="T17" s="30" t="s">
        <v>809</v>
      </c>
      <c r="U17" s="30" t="s">
        <v>2473</v>
      </c>
      <c r="V17" s="6" t="s">
        <v>9888</v>
      </c>
      <c r="W17" s="6" t="s">
        <v>9889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9890</v>
      </c>
      <c r="B18" s="6" t="s">
        <v>9891</v>
      </c>
      <c r="C18" s="255" t="n">
        <v>6.5667</v>
      </c>
      <c r="D18" s="253"/>
      <c r="E18" s="253"/>
      <c r="F18" s="253" t="s">
        <v>9879</v>
      </c>
      <c r="G18" s="30" t="s">
        <v>9892</v>
      </c>
      <c r="H18" s="30" t="s">
        <v>9893</v>
      </c>
      <c r="I18" s="30" t="s">
        <v>8383</v>
      </c>
      <c r="J18" s="6" t="s">
        <v>9881</v>
      </c>
      <c r="K18" s="253" t="n">
        <v>2</v>
      </c>
      <c r="L18" s="253" t="s">
        <v>8480</v>
      </c>
      <c r="M18" s="6" t="s">
        <v>9882</v>
      </c>
      <c r="N18" s="253" t="s">
        <v>8386</v>
      </c>
      <c r="O18" s="30" t="s">
        <v>8376</v>
      </c>
      <c r="P18" s="30" t="s">
        <v>809</v>
      </c>
      <c r="Q18" s="30" t="s">
        <v>9883</v>
      </c>
      <c r="R18" s="30" t="s">
        <v>809</v>
      </c>
      <c r="S18" s="30" t="s">
        <v>809</v>
      </c>
      <c r="T18" s="30" t="s">
        <v>809</v>
      </c>
      <c r="U18" s="30" t="s">
        <v>2473</v>
      </c>
      <c r="V18" s="6" t="s">
        <v>9894</v>
      </c>
      <c r="W18" s="6" t="s">
        <v>809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9895</v>
      </c>
      <c r="B19" s="6" t="s">
        <v>9896</v>
      </c>
      <c r="C19" s="255" t="n">
        <v>0.9167</v>
      </c>
      <c r="D19" s="253"/>
      <c r="E19" s="253"/>
      <c r="F19" s="253" t="s">
        <v>9879</v>
      </c>
      <c r="G19" s="30" t="s">
        <v>9892</v>
      </c>
      <c r="H19" s="30" t="s">
        <v>9893</v>
      </c>
      <c r="I19" s="30" t="s">
        <v>8383</v>
      </c>
      <c r="J19" s="6" t="s">
        <v>9881</v>
      </c>
      <c r="K19" s="253" t="n">
        <v>2</v>
      </c>
      <c r="L19" s="253" t="s">
        <v>8480</v>
      </c>
      <c r="M19" s="6" t="s">
        <v>9882</v>
      </c>
      <c r="N19" s="253" t="s">
        <v>8386</v>
      </c>
      <c r="O19" s="30" t="s">
        <v>8376</v>
      </c>
      <c r="P19" s="30" t="s">
        <v>809</v>
      </c>
      <c r="Q19" s="30" t="s">
        <v>9883</v>
      </c>
      <c r="R19" s="30" t="s">
        <v>809</v>
      </c>
      <c r="S19" s="30" t="s">
        <v>809</v>
      </c>
      <c r="T19" s="30" t="s">
        <v>809</v>
      </c>
      <c r="U19" s="30" t="s">
        <v>2473</v>
      </c>
      <c r="V19" s="6" t="s">
        <v>9897</v>
      </c>
      <c r="W19" s="6" t="s">
        <v>809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9898</v>
      </c>
      <c r="B20" s="6" t="s">
        <v>9899</v>
      </c>
      <c r="C20" s="255" t="n">
        <v>5.7</v>
      </c>
      <c r="D20" s="253"/>
      <c r="E20" s="253"/>
      <c r="F20" s="253" t="s">
        <v>9879</v>
      </c>
      <c r="G20" s="30" t="s">
        <v>9892</v>
      </c>
      <c r="H20" s="30" t="s">
        <v>9900</v>
      </c>
      <c r="I20" s="30" t="s">
        <v>8383</v>
      </c>
      <c r="J20" s="6" t="s">
        <v>9881</v>
      </c>
      <c r="K20" s="253" t="n">
        <v>2</v>
      </c>
      <c r="L20" s="253" t="s">
        <v>8480</v>
      </c>
      <c r="M20" s="6" t="s">
        <v>9882</v>
      </c>
      <c r="N20" s="253" t="s">
        <v>8386</v>
      </c>
      <c r="O20" s="30" t="s">
        <v>8376</v>
      </c>
      <c r="P20" s="30" t="s">
        <v>809</v>
      </c>
      <c r="Q20" s="30" t="s">
        <v>9883</v>
      </c>
      <c r="R20" s="30" t="s">
        <v>809</v>
      </c>
      <c r="S20" s="30" t="s">
        <v>809</v>
      </c>
      <c r="T20" s="30" t="s">
        <v>809</v>
      </c>
      <c r="U20" s="30" t="s">
        <v>2473</v>
      </c>
      <c r="V20" s="6" t="s">
        <v>9901</v>
      </c>
      <c r="W20" s="6" t="s">
        <v>809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9902</v>
      </c>
      <c r="B21" s="6" t="s">
        <v>9903</v>
      </c>
      <c r="C21" s="255" t="n">
        <v>0.9</v>
      </c>
      <c r="D21" s="253"/>
      <c r="E21" s="253"/>
      <c r="F21" s="253" t="s">
        <v>9879</v>
      </c>
      <c r="G21" s="30" t="s">
        <v>9892</v>
      </c>
      <c r="H21" s="30" t="s">
        <v>9900</v>
      </c>
      <c r="I21" s="30" t="s">
        <v>8383</v>
      </c>
      <c r="J21" s="6" t="s">
        <v>9881</v>
      </c>
      <c r="K21" s="253" t="n">
        <v>2</v>
      </c>
      <c r="L21" s="253" t="s">
        <v>8480</v>
      </c>
      <c r="M21" s="6" t="s">
        <v>9882</v>
      </c>
      <c r="N21" s="253" t="s">
        <v>8386</v>
      </c>
      <c r="O21" s="30" t="s">
        <v>8376</v>
      </c>
      <c r="P21" s="30" t="s">
        <v>809</v>
      </c>
      <c r="Q21" s="30" t="s">
        <v>9883</v>
      </c>
      <c r="R21" s="30" t="s">
        <v>809</v>
      </c>
      <c r="S21" s="30" t="s">
        <v>809</v>
      </c>
      <c r="T21" s="30" t="s">
        <v>809</v>
      </c>
      <c r="U21" s="30" t="s">
        <v>2473</v>
      </c>
      <c r="V21" s="6" t="s">
        <v>9904</v>
      </c>
      <c r="W21" s="6" t="s">
        <v>809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9905</v>
      </c>
      <c r="B22" s="6" t="s">
        <v>9906</v>
      </c>
      <c r="C22" s="255" t="n">
        <v>5.8333</v>
      </c>
      <c r="D22" s="253"/>
      <c r="E22" s="253"/>
      <c r="F22" s="253" t="s">
        <v>9879</v>
      </c>
      <c r="G22" s="30" t="s">
        <v>9892</v>
      </c>
      <c r="H22" s="30" t="s">
        <v>2478</v>
      </c>
      <c r="I22" s="30" t="s">
        <v>8383</v>
      </c>
      <c r="J22" s="6" t="s">
        <v>9881</v>
      </c>
      <c r="K22" s="253" t="n">
        <v>2</v>
      </c>
      <c r="L22" s="253" t="s">
        <v>8480</v>
      </c>
      <c r="M22" s="6" t="s">
        <v>9882</v>
      </c>
      <c r="N22" s="253" t="s">
        <v>8386</v>
      </c>
      <c r="O22" s="30" t="s">
        <v>8376</v>
      </c>
      <c r="P22" s="30" t="s">
        <v>809</v>
      </c>
      <c r="Q22" s="30" t="s">
        <v>9883</v>
      </c>
      <c r="R22" s="30" t="s">
        <v>809</v>
      </c>
      <c r="S22" s="30" t="s">
        <v>809</v>
      </c>
      <c r="T22" s="30" t="s">
        <v>809</v>
      </c>
      <c r="U22" s="30" t="s">
        <v>2473</v>
      </c>
      <c r="V22" s="6" t="s">
        <v>9907</v>
      </c>
      <c r="W22" s="6" t="s">
        <v>809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9908</v>
      </c>
      <c r="B23" s="6" t="s">
        <v>9909</v>
      </c>
      <c r="C23" s="255" t="n">
        <v>1.5</v>
      </c>
      <c r="D23" s="253"/>
      <c r="E23" s="253"/>
      <c r="F23" s="253" t="s">
        <v>9879</v>
      </c>
      <c r="G23" s="30" t="s">
        <v>9892</v>
      </c>
      <c r="H23" s="30" t="s">
        <v>2478</v>
      </c>
      <c r="I23" s="30" t="s">
        <v>8383</v>
      </c>
      <c r="J23" s="6" t="s">
        <v>9881</v>
      </c>
      <c r="K23" s="253" t="n">
        <v>2</v>
      </c>
      <c r="L23" s="253" t="s">
        <v>8480</v>
      </c>
      <c r="M23" s="6" t="s">
        <v>9882</v>
      </c>
      <c r="N23" s="253" t="s">
        <v>8386</v>
      </c>
      <c r="O23" s="30" t="s">
        <v>8376</v>
      </c>
      <c r="P23" s="30" t="s">
        <v>809</v>
      </c>
      <c r="Q23" s="30" t="s">
        <v>9883</v>
      </c>
      <c r="R23" s="30" t="s">
        <v>809</v>
      </c>
      <c r="S23" s="30" t="s">
        <v>809</v>
      </c>
      <c r="T23" s="30" t="s">
        <v>809</v>
      </c>
      <c r="U23" s="30" t="s">
        <v>2473</v>
      </c>
      <c r="V23" s="6" t="s">
        <v>9910</v>
      </c>
      <c r="W23" s="6" t="s">
        <v>809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6419</v>
      </c>
      <c r="B24" s="6" t="s">
        <v>9911</v>
      </c>
      <c r="C24" s="255" t="n">
        <v>11.3</v>
      </c>
      <c r="D24" s="253"/>
      <c r="E24" s="253"/>
      <c r="F24" s="253" t="s">
        <v>9879</v>
      </c>
      <c r="G24" s="30" t="s">
        <v>9892</v>
      </c>
      <c r="H24" s="30" t="s">
        <v>9265</v>
      </c>
      <c r="I24" s="30" t="s">
        <v>8383</v>
      </c>
      <c r="J24" s="6" t="s">
        <v>9881</v>
      </c>
      <c r="K24" s="253" t="n">
        <v>2</v>
      </c>
      <c r="L24" s="253" t="s">
        <v>8480</v>
      </c>
      <c r="M24" s="6" t="s">
        <v>9882</v>
      </c>
      <c r="N24" s="253" t="s">
        <v>8386</v>
      </c>
      <c r="O24" s="30" t="s">
        <v>8376</v>
      </c>
      <c r="P24" s="30" t="s">
        <v>809</v>
      </c>
      <c r="Q24" s="30" t="s">
        <v>9883</v>
      </c>
      <c r="R24" s="30" t="s">
        <v>809</v>
      </c>
      <c r="S24" s="30" t="s">
        <v>809</v>
      </c>
      <c r="T24" s="30" t="s">
        <v>809</v>
      </c>
      <c r="U24" s="30" t="s">
        <v>2473</v>
      </c>
      <c r="V24" s="6" t="s">
        <v>809</v>
      </c>
      <c r="W24" s="6" t="s">
        <v>9912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6428</v>
      </c>
      <c r="B25" s="6" t="s">
        <v>9913</v>
      </c>
      <c r="C25" s="255" t="n">
        <v>17.4</v>
      </c>
      <c r="D25" s="253"/>
      <c r="E25" s="253"/>
      <c r="F25" s="253" t="s">
        <v>9879</v>
      </c>
      <c r="G25" s="30" t="s">
        <v>9914</v>
      </c>
      <c r="H25" s="30" t="s">
        <v>9915</v>
      </c>
      <c r="I25" s="30" t="s">
        <v>8383</v>
      </c>
      <c r="J25" s="6" t="s">
        <v>9881</v>
      </c>
      <c r="K25" s="253" t="n">
        <v>2</v>
      </c>
      <c r="L25" s="253" t="s">
        <v>8480</v>
      </c>
      <c r="M25" s="6" t="s">
        <v>9882</v>
      </c>
      <c r="N25" s="253" t="s">
        <v>8386</v>
      </c>
      <c r="O25" s="30" t="s">
        <v>8376</v>
      </c>
      <c r="P25" s="30" t="s">
        <v>809</v>
      </c>
      <c r="Q25" s="30" t="s">
        <v>9883</v>
      </c>
      <c r="R25" s="30" t="s">
        <v>809</v>
      </c>
      <c r="S25" s="30" t="s">
        <v>809</v>
      </c>
      <c r="T25" s="30" t="s">
        <v>809</v>
      </c>
      <c r="U25" s="30" t="s">
        <v>2473</v>
      </c>
      <c r="V25" s="6" t="s">
        <v>809</v>
      </c>
      <c r="W25" s="6" t="s">
        <v>809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9916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15" hidden="false" customHeight="true" outlineLevel="0" collapsed="false">
      <c r="A5" s="30" t="s">
        <v>5872</v>
      </c>
      <c r="B5" s="6" t="s">
        <v>9917</v>
      </c>
      <c r="C5" s="255" t="n">
        <v>4</v>
      </c>
      <c r="D5" s="253"/>
      <c r="E5" s="253"/>
      <c r="F5" s="30" t="s">
        <v>132</v>
      </c>
      <c r="G5" s="253" t="s">
        <v>9918</v>
      </c>
      <c r="H5" s="30" t="s">
        <v>9919</v>
      </c>
      <c r="I5" s="30" t="s">
        <v>9008</v>
      </c>
      <c r="J5" s="6" t="s">
        <v>9920</v>
      </c>
      <c r="K5" s="253" t="n">
        <v>2</v>
      </c>
      <c r="L5" s="253" t="s">
        <v>8373</v>
      </c>
      <c r="M5" s="6" t="s">
        <v>9921</v>
      </c>
      <c r="N5" s="253" t="s">
        <v>8386</v>
      </c>
      <c r="O5" s="30" t="s">
        <v>8376</v>
      </c>
      <c r="P5" s="30" t="s">
        <v>809</v>
      </c>
      <c r="Q5" s="30" t="s">
        <v>9922</v>
      </c>
      <c r="R5" s="30" t="s">
        <v>809</v>
      </c>
      <c r="S5" s="30" t="s">
        <v>809</v>
      </c>
      <c r="T5" s="30" t="s">
        <v>809</v>
      </c>
      <c r="U5" s="30" t="s">
        <v>9923</v>
      </c>
      <c r="V5" s="6" t="s">
        <v>9924</v>
      </c>
      <c r="W5" s="6" t="s">
        <v>809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5875</v>
      </c>
      <c r="B6" s="6" t="s">
        <v>9925</v>
      </c>
      <c r="C6" s="255" t="n">
        <v>15</v>
      </c>
      <c r="D6" s="253"/>
      <c r="E6" s="253"/>
      <c r="F6" s="30" t="s">
        <v>132</v>
      </c>
      <c r="G6" s="253" t="s">
        <v>8461</v>
      </c>
      <c r="H6" s="30" t="s">
        <v>9919</v>
      </c>
      <c r="I6" s="30" t="s">
        <v>9008</v>
      </c>
      <c r="J6" s="6" t="s">
        <v>9920</v>
      </c>
      <c r="K6" s="253" t="n">
        <v>2</v>
      </c>
      <c r="L6" s="253" t="s">
        <v>8373</v>
      </c>
      <c r="M6" s="6" t="s">
        <v>9921</v>
      </c>
      <c r="N6" s="253" t="s">
        <v>8386</v>
      </c>
      <c r="O6" s="30" t="s">
        <v>8376</v>
      </c>
      <c r="P6" s="30" t="s">
        <v>809</v>
      </c>
      <c r="Q6" s="30" t="s">
        <v>9922</v>
      </c>
      <c r="R6" s="30" t="s">
        <v>809</v>
      </c>
      <c r="S6" s="30" t="s">
        <v>809</v>
      </c>
      <c r="T6" s="30" t="s">
        <v>809</v>
      </c>
      <c r="U6" s="30" t="s">
        <v>9923</v>
      </c>
      <c r="V6" s="6" t="s">
        <v>9926</v>
      </c>
      <c r="W6" s="6" t="s">
        <v>9927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6374</v>
      </c>
      <c r="B7" s="6" t="s">
        <v>9928</v>
      </c>
      <c r="C7" s="255" t="n">
        <v>0.627</v>
      </c>
      <c r="D7" s="253"/>
      <c r="E7" s="253"/>
      <c r="F7" s="30" t="s">
        <v>127</v>
      </c>
      <c r="G7" s="30" t="s">
        <v>9929</v>
      </c>
      <c r="H7" s="30" t="s">
        <v>1506</v>
      </c>
      <c r="I7" s="30" t="s">
        <v>1511</v>
      </c>
      <c r="J7" s="6" t="s">
        <v>9930</v>
      </c>
      <c r="K7" s="253" t="n">
        <v>2</v>
      </c>
      <c r="L7" s="253" t="s">
        <v>8373</v>
      </c>
      <c r="M7" s="6" t="s">
        <v>9931</v>
      </c>
      <c r="N7" s="253" t="s">
        <v>8386</v>
      </c>
      <c r="O7" s="30" t="s">
        <v>8376</v>
      </c>
      <c r="P7" s="30" t="s">
        <v>809</v>
      </c>
      <c r="Q7" s="30" t="s">
        <v>9932</v>
      </c>
      <c r="R7" s="30" t="s">
        <v>809</v>
      </c>
      <c r="S7" s="30" t="s">
        <v>809</v>
      </c>
      <c r="T7" s="30" t="s">
        <v>809</v>
      </c>
      <c r="U7" s="30" t="s">
        <v>2450</v>
      </c>
      <c r="V7" s="6" t="s">
        <v>9933</v>
      </c>
      <c r="W7" s="6" t="s">
        <v>809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9934</v>
      </c>
      <c r="B8" s="6" t="s">
        <v>9935</v>
      </c>
      <c r="C8" s="255" t="n">
        <v>26098</v>
      </c>
      <c r="D8" s="253"/>
      <c r="E8" s="253"/>
      <c r="F8" s="30" t="s">
        <v>2513</v>
      </c>
      <c r="G8" s="253" t="s">
        <v>154</v>
      </c>
      <c r="H8" s="30" t="s">
        <v>1506</v>
      </c>
      <c r="I8" s="30" t="s">
        <v>1511</v>
      </c>
      <c r="J8" s="6" t="s">
        <v>9930</v>
      </c>
      <c r="K8" s="253" t="n">
        <v>2</v>
      </c>
      <c r="L8" s="253" t="s">
        <v>8373</v>
      </c>
      <c r="M8" s="6" t="s">
        <v>9931</v>
      </c>
      <c r="N8" s="253" t="s">
        <v>8386</v>
      </c>
      <c r="O8" s="30" t="s">
        <v>8376</v>
      </c>
      <c r="P8" s="30" t="s">
        <v>809</v>
      </c>
      <c r="Q8" s="30" t="s">
        <v>9932</v>
      </c>
      <c r="R8" s="30" t="s">
        <v>809</v>
      </c>
      <c r="S8" s="30" t="s">
        <v>809</v>
      </c>
      <c r="T8" s="30" t="s">
        <v>809</v>
      </c>
      <c r="U8" s="30" t="s">
        <v>2450</v>
      </c>
      <c r="V8" s="6" t="s">
        <v>9936</v>
      </c>
      <c r="W8" s="6" t="s">
        <v>809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9937</v>
      </c>
      <c r="B9" s="6" t="s">
        <v>9938</v>
      </c>
      <c r="C9" s="255" t="n">
        <v>0.986</v>
      </c>
      <c r="D9" s="253"/>
      <c r="E9" s="253"/>
      <c r="F9" s="30" t="s">
        <v>127</v>
      </c>
      <c r="G9" s="253" t="s">
        <v>154</v>
      </c>
      <c r="H9" s="30" t="s">
        <v>1506</v>
      </c>
      <c r="I9" s="30" t="s">
        <v>1511</v>
      </c>
      <c r="J9" s="6" t="s">
        <v>9930</v>
      </c>
      <c r="K9" s="253" t="n">
        <v>2</v>
      </c>
      <c r="L9" s="253" t="s">
        <v>8373</v>
      </c>
      <c r="M9" s="6" t="s">
        <v>9931</v>
      </c>
      <c r="N9" s="253" t="s">
        <v>8386</v>
      </c>
      <c r="O9" s="30" t="s">
        <v>8376</v>
      </c>
      <c r="P9" s="30" t="s">
        <v>809</v>
      </c>
      <c r="Q9" s="30" t="s">
        <v>9932</v>
      </c>
      <c r="R9" s="30" t="s">
        <v>809</v>
      </c>
      <c r="S9" s="30" t="s">
        <v>809</v>
      </c>
      <c r="T9" s="30" t="s">
        <v>809</v>
      </c>
      <c r="U9" s="30" t="s">
        <v>2450</v>
      </c>
      <c r="V9" s="6" t="s">
        <v>9939</v>
      </c>
      <c r="W9" s="6" t="s">
        <v>809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9940</v>
      </c>
      <c r="B10" s="6" t="s">
        <v>9941</v>
      </c>
      <c r="C10" s="255" t="n">
        <v>17332</v>
      </c>
      <c r="D10" s="253"/>
      <c r="E10" s="253"/>
      <c r="F10" s="30" t="s">
        <v>2513</v>
      </c>
      <c r="G10" s="253" t="s">
        <v>154</v>
      </c>
      <c r="H10" s="30" t="s">
        <v>1506</v>
      </c>
      <c r="I10" s="30" t="s">
        <v>1511</v>
      </c>
      <c r="J10" s="6" t="s">
        <v>9930</v>
      </c>
      <c r="K10" s="253" t="n">
        <v>2</v>
      </c>
      <c r="L10" s="253" t="s">
        <v>8373</v>
      </c>
      <c r="M10" s="6" t="s">
        <v>9931</v>
      </c>
      <c r="N10" s="253" t="s">
        <v>8386</v>
      </c>
      <c r="O10" s="30" t="s">
        <v>8376</v>
      </c>
      <c r="P10" s="30" t="s">
        <v>809</v>
      </c>
      <c r="Q10" s="30" t="s">
        <v>9932</v>
      </c>
      <c r="R10" s="30" t="s">
        <v>809</v>
      </c>
      <c r="S10" s="30" t="s">
        <v>809</v>
      </c>
      <c r="T10" s="30" t="s">
        <v>809</v>
      </c>
      <c r="U10" s="30" t="s">
        <v>2450</v>
      </c>
      <c r="V10" s="6" t="s">
        <v>9942</v>
      </c>
      <c r="W10" s="6" t="s">
        <v>809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9943</v>
      </c>
      <c r="B11" s="6" t="s">
        <v>9944</v>
      </c>
      <c r="C11" s="255" t="n">
        <v>0.999</v>
      </c>
      <c r="D11" s="253"/>
      <c r="E11" s="253"/>
      <c r="F11" s="30" t="s">
        <v>127</v>
      </c>
      <c r="G11" s="30" t="s">
        <v>9945</v>
      </c>
      <c r="H11" s="30" t="s">
        <v>1506</v>
      </c>
      <c r="I11" s="30" t="s">
        <v>1511</v>
      </c>
      <c r="J11" s="6" t="s">
        <v>9930</v>
      </c>
      <c r="K11" s="253" t="n">
        <v>2</v>
      </c>
      <c r="L11" s="253" t="s">
        <v>8373</v>
      </c>
      <c r="M11" s="6" t="s">
        <v>9931</v>
      </c>
      <c r="N11" s="253" t="s">
        <v>8386</v>
      </c>
      <c r="O11" s="30" t="s">
        <v>8376</v>
      </c>
      <c r="P11" s="30" t="s">
        <v>809</v>
      </c>
      <c r="Q11" s="30" t="s">
        <v>9932</v>
      </c>
      <c r="R11" s="30" t="s">
        <v>809</v>
      </c>
      <c r="S11" s="30" t="s">
        <v>809</v>
      </c>
      <c r="T11" s="30" t="s">
        <v>809</v>
      </c>
      <c r="U11" s="30" t="s">
        <v>2450</v>
      </c>
      <c r="V11" s="6" t="s">
        <v>9946</v>
      </c>
      <c r="W11" s="6" t="s">
        <v>809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9947</v>
      </c>
      <c r="B12" s="6" t="s">
        <v>9948</v>
      </c>
      <c r="C12" s="255" t="n">
        <v>18817</v>
      </c>
      <c r="D12" s="253"/>
      <c r="E12" s="253"/>
      <c r="F12" s="30" t="s">
        <v>2513</v>
      </c>
      <c r="G12" s="253" t="s">
        <v>154</v>
      </c>
      <c r="H12" s="30" t="s">
        <v>1506</v>
      </c>
      <c r="I12" s="30" t="s">
        <v>1511</v>
      </c>
      <c r="J12" s="6" t="s">
        <v>9930</v>
      </c>
      <c r="K12" s="253" t="n">
        <v>2</v>
      </c>
      <c r="L12" s="253" t="s">
        <v>8373</v>
      </c>
      <c r="M12" s="6" t="s">
        <v>9931</v>
      </c>
      <c r="N12" s="253" t="s">
        <v>8386</v>
      </c>
      <c r="O12" s="30" t="s">
        <v>8376</v>
      </c>
      <c r="P12" s="30" t="s">
        <v>809</v>
      </c>
      <c r="Q12" s="30" t="s">
        <v>9932</v>
      </c>
      <c r="R12" s="30" t="s">
        <v>809</v>
      </c>
      <c r="S12" s="30" t="s">
        <v>809</v>
      </c>
      <c r="T12" s="30" t="s">
        <v>809</v>
      </c>
      <c r="U12" s="30" t="s">
        <v>2450</v>
      </c>
      <c r="V12" s="6" t="s">
        <v>9949</v>
      </c>
      <c r="W12" s="20" t="s">
        <v>9950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9951</v>
      </c>
      <c r="B13" s="6" t="s">
        <v>9952</v>
      </c>
      <c r="C13" s="255" t="n">
        <v>19302</v>
      </c>
      <c r="D13" s="253"/>
      <c r="E13" s="253"/>
      <c r="F13" s="30" t="s">
        <v>2513</v>
      </c>
      <c r="G13" s="253" t="s">
        <v>154</v>
      </c>
      <c r="H13" s="30" t="s">
        <v>1506</v>
      </c>
      <c r="I13" s="30" t="s">
        <v>1511</v>
      </c>
      <c r="J13" s="6" t="s">
        <v>9930</v>
      </c>
      <c r="K13" s="253" t="n">
        <v>2</v>
      </c>
      <c r="L13" s="253" t="s">
        <v>8373</v>
      </c>
      <c r="M13" s="6" t="s">
        <v>9931</v>
      </c>
      <c r="N13" s="253" t="s">
        <v>8386</v>
      </c>
      <c r="O13" s="30" t="s">
        <v>8422</v>
      </c>
      <c r="P13" s="30" t="s">
        <v>809</v>
      </c>
      <c r="Q13" s="30" t="s">
        <v>9932</v>
      </c>
      <c r="R13" s="30" t="s">
        <v>809</v>
      </c>
      <c r="S13" s="30" t="s">
        <v>809</v>
      </c>
      <c r="T13" s="30" t="s">
        <v>809</v>
      </c>
      <c r="U13" s="30" t="s">
        <v>2450</v>
      </c>
      <c r="V13" s="6" t="s">
        <v>809</v>
      </c>
      <c r="W13" s="20" t="s">
        <v>9953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9954</v>
      </c>
      <c r="B14" s="6" t="s">
        <v>9955</v>
      </c>
      <c r="C14" s="255" t="n">
        <v>0.51</v>
      </c>
      <c r="D14" s="253"/>
      <c r="E14" s="253"/>
      <c r="F14" s="30" t="s">
        <v>132</v>
      </c>
      <c r="G14" s="253" t="s">
        <v>9956</v>
      </c>
      <c r="H14" s="30" t="s">
        <v>1506</v>
      </c>
      <c r="I14" s="30" t="s">
        <v>1511</v>
      </c>
      <c r="J14" s="6" t="s">
        <v>9930</v>
      </c>
      <c r="K14" s="253" t="n">
        <v>2</v>
      </c>
      <c r="L14" s="253" t="s">
        <v>8373</v>
      </c>
      <c r="M14" s="6" t="s">
        <v>9931</v>
      </c>
      <c r="N14" s="253" t="s">
        <v>8386</v>
      </c>
      <c r="O14" s="30" t="s">
        <v>8376</v>
      </c>
      <c r="P14" s="30" t="s">
        <v>809</v>
      </c>
      <c r="Q14" s="30" t="s">
        <v>9932</v>
      </c>
      <c r="R14" s="30" t="s">
        <v>809</v>
      </c>
      <c r="S14" s="30" t="s">
        <v>809</v>
      </c>
      <c r="T14" s="30" t="s">
        <v>809</v>
      </c>
      <c r="U14" s="30" t="s">
        <v>2450</v>
      </c>
      <c r="V14" s="6" t="s">
        <v>9957</v>
      </c>
      <c r="W14" s="6" t="s">
        <v>809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9958</v>
      </c>
      <c r="B15" s="6" t="s">
        <v>9959</v>
      </c>
      <c r="C15" s="255" t="n">
        <v>3.66</v>
      </c>
      <c r="D15" s="253"/>
      <c r="E15" s="253"/>
      <c r="F15" s="30" t="s">
        <v>132</v>
      </c>
      <c r="G15" s="30" t="s">
        <v>809</v>
      </c>
      <c r="H15" s="30" t="s">
        <v>1506</v>
      </c>
      <c r="I15" s="30" t="s">
        <v>1511</v>
      </c>
      <c r="J15" s="6" t="s">
        <v>9930</v>
      </c>
      <c r="K15" s="253" t="n">
        <v>2</v>
      </c>
      <c r="L15" s="253" t="s">
        <v>8373</v>
      </c>
      <c r="M15" s="6" t="s">
        <v>9931</v>
      </c>
      <c r="N15" s="253" t="s">
        <v>8386</v>
      </c>
      <c r="O15" s="30" t="s">
        <v>8376</v>
      </c>
      <c r="P15" s="30" t="s">
        <v>809</v>
      </c>
      <c r="Q15" s="30" t="s">
        <v>9932</v>
      </c>
      <c r="R15" s="30" t="s">
        <v>809</v>
      </c>
      <c r="S15" s="30" t="s">
        <v>809</v>
      </c>
      <c r="T15" s="30" t="s">
        <v>809</v>
      </c>
      <c r="U15" s="30" t="s">
        <v>2450</v>
      </c>
      <c r="V15" s="6" t="s">
        <v>809</v>
      </c>
      <c r="W15" s="6" t="s">
        <v>809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9960</v>
      </c>
      <c r="B16" s="6" t="s">
        <v>9961</v>
      </c>
      <c r="C16" s="255" t="n">
        <v>0.302</v>
      </c>
      <c r="D16" s="253"/>
      <c r="E16" s="253"/>
      <c r="F16" s="30" t="s">
        <v>127</v>
      </c>
      <c r="G16" s="30" t="s">
        <v>9962</v>
      </c>
      <c r="H16" s="30" t="s">
        <v>1513</v>
      </c>
      <c r="I16" s="30" t="s">
        <v>1511</v>
      </c>
      <c r="J16" s="6" t="s">
        <v>9930</v>
      </c>
      <c r="K16" s="253" t="n">
        <v>2</v>
      </c>
      <c r="L16" s="253" t="s">
        <v>8373</v>
      </c>
      <c r="M16" s="6" t="s">
        <v>9931</v>
      </c>
      <c r="N16" s="253" t="s">
        <v>8386</v>
      </c>
      <c r="O16" s="30" t="s">
        <v>8376</v>
      </c>
      <c r="P16" s="30" t="s">
        <v>809</v>
      </c>
      <c r="Q16" s="30" t="s">
        <v>9932</v>
      </c>
      <c r="R16" s="30" t="s">
        <v>809</v>
      </c>
      <c r="S16" s="30" t="s">
        <v>809</v>
      </c>
      <c r="T16" s="30" t="s">
        <v>809</v>
      </c>
      <c r="U16" s="30" t="s">
        <v>2450</v>
      </c>
      <c r="V16" s="6" t="s">
        <v>9963</v>
      </c>
      <c r="W16" s="6" t="s">
        <v>809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9964</v>
      </c>
      <c r="B17" s="6" t="s">
        <v>9965</v>
      </c>
      <c r="C17" s="255" t="n">
        <v>4.72</v>
      </c>
      <c r="D17" s="253"/>
      <c r="E17" s="253"/>
      <c r="F17" s="30" t="s">
        <v>9966</v>
      </c>
      <c r="G17" s="30" t="s">
        <v>9967</v>
      </c>
      <c r="H17" s="30" t="s">
        <v>1506</v>
      </c>
      <c r="I17" s="30" t="s">
        <v>1511</v>
      </c>
      <c r="J17" s="6" t="s">
        <v>9968</v>
      </c>
      <c r="K17" s="253" t="n">
        <v>2</v>
      </c>
      <c r="L17" s="253" t="s">
        <v>8480</v>
      </c>
      <c r="M17" s="6" t="s">
        <v>9969</v>
      </c>
      <c r="N17" s="253" t="s">
        <v>8386</v>
      </c>
      <c r="O17" s="30" t="s">
        <v>8376</v>
      </c>
      <c r="P17" s="30" t="s">
        <v>809</v>
      </c>
      <c r="Q17" s="30" t="s">
        <v>9970</v>
      </c>
      <c r="R17" s="30" t="s">
        <v>809</v>
      </c>
      <c r="S17" s="30" t="s">
        <v>809</v>
      </c>
      <c r="T17" s="30" t="s">
        <v>809</v>
      </c>
      <c r="U17" s="30" t="s">
        <v>9971</v>
      </c>
      <c r="V17" s="6" t="s">
        <v>809</v>
      </c>
      <c r="W17" s="20" t="s">
        <v>9972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9973</v>
      </c>
      <c r="B18" s="6" t="s">
        <v>9974</v>
      </c>
      <c r="C18" s="255" t="n">
        <v>9.18</v>
      </c>
      <c r="D18" s="253"/>
      <c r="E18" s="253"/>
      <c r="F18" s="30" t="s">
        <v>9966</v>
      </c>
      <c r="G18" s="30" t="s">
        <v>9967</v>
      </c>
      <c r="H18" s="30" t="s">
        <v>1509</v>
      </c>
      <c r="I18" s="30" t="s">
        <v>1511</v>
      </c>
      <c r="J18" s="6" t="s">
        <v>9968</v>
      </c>
      <c r="K18" s="253" t="n">
        <v>2</v>
      </c>
      <c r="L18" s="253" t="s">
        <v>8480</v>
      </c>
      <c r="M18" s="6" t="s">
        <v>9969</v>
      </c>
      <c r="N18" s="253" t="s">
        <v>8386</v>
      </c>
      <c r="O18" s="30" t="s">
        <v>8376</v>
      </c>
      <c r="P18" s="30" t="s">
        <v>809</v>
      </c>
      <c r="Q18" s="30" t="s">
        <v>9970</v>
      </c>
      <c r="R18" s="30" t="s">
        <v>809</v>
      </c>
      <c r="S18" s="30" t="s">
        <v>809</v>
      </c>
      <c r="T18" s="30" t="s">
        <v>809</v>
      </c>
      <c r="U18" s="30" t="s">
        <v>9971</v>
      </c>
      <c r="V18" s="6" t="s">
        <v>809</v>
      </c>
      <c r="W18" s="20" t="s">
        <v>9972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9975</v>
      </c>
      <c r="B19" s="6" t="s">
        <v>9976</v>
      </c>
      <c r="C19" s="255" t="n">
        <v>1</v>
      </c>
      <c r="D19" s="253"/>
      <c r="E19" s="253"/>
      <c r="F19" s="30" t="s">
        <v>127</v>
      </c>
      <c r="G19" s="253" t="s">
        <v>9977</v>
      </c>
      <c r="H19" s="30" t="s">
        <v>1513</v>
      </c>
      <c r="I19" s="30" t="s">
        <v>1511</v>
      </c>
      <c r="J19" s="6" t="s">
        <v>9978</v>
      </c>
      <c r="K19" s="253" t="n">
        <v>2</v>
      </c>
      <c r="L19" s="253" t="s">
        <v>8373</v>
      </c>
      <c r="M19" s="6" t="s">
        <v>9979</v>
      </c>
      <c r="N19" s="253" t="s">
        <v>8386</v>
      </c>
      <c r="O19" s="30" t="s">
        <v>8376</v>
      </c>
      <c r="P19" s="30" t="s">
        <v>809</v>
      </c>
      <c r="Q19" s="30" t="s">
        <v>9980</v>
      </c>
      <c r="R19" s="30" t="s">
        <v>809</v>
      </c>
      <c r="S19" s="30" t="s">
        <v>809</v>
      </c>
      <c r="T19" s="30" t="s">
        <v>809</v>
      </c>
      <c r="U19" s="30" t="s">
        <v>9981</v>
      </c>
      <c r="V19" s="6" t="s">
        <v>9982</v>
      </c>
      <c r="W19" s="20" t="s">
        <v>9983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9984</v>
      </c>
      <c r="B20" s="6" t="s">
        <v>9985</v>
      </c>
      <c r="C20" s="207"/>
      <c r="D20" s="255" t="n">
        <v>1.5</v>
      </c>
      <c r="E20" s="255" t="n">
        <v>2</v>
      </c>
      <c r="F20" s="30" t="s">
        <v>132</v>
      </c>
      <c r="G20" s="30" t="s">
        <v>9986</v>
      </c>
      <c r="H20" s="30" t="s">
        <v>9987</v>
      </c>
      <c r="I20" s="30" t="s">
        <v>8478</v>
      </c>
      <c r="J20" s="6" t="s">
        <v>9492</v>
      </c>
      <c r="K20" s="207" t="n">
        <v>2</v>
      </c>
      <c r="L20" s="207" t="s">
        <v>8480</v>
      </c>
      <c r="M20" s="245" t="s">
        <v>9988</v>
      </c>
      <c r="N20" s="207" t="s">
        <v>9461</v>
      </c>
      <c r="O20" s="30" t="s">
        <v>8376</v>
      </c>
      <c r="P20" s="30" t="s">
        <v>809</v>
      </c>
      <c r="Q20" s="30" t="s">
        <v>9462</v>
      </c>
      <c r="R20" s="30" t="s">
        <v>809</v>
      </c>
      <c r="S20" s="30" t="s">
        <v>809</v>
      </c>
      <c r="T20" s="30" t="s">
        <v>809</v>
      </c>
      <c r="U20" s="30" t="s">
        <v>9463</v>
      </c>
      <c r="V20" s="6" t="s">
        <v>9989</v>
      </c>
      <c r="W20" s="6" t="s">
        <v>9990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51" t="s">
        <v>9991</v>
      </c>
    </row>
    <row r="2" customFormat="false" ht="15" hidden="false" customHeight="true" outlineLevel="0" collapsed="false">
      <c r="A2" s="261" t="s">
        <v>8347</v>
      </c>
    </row>
    <row r="3" customFormat="false" ht="15" hidden="false" customHeight="true" outlineLevel="0" collapsed="false">
      <c r="A3" s="261" t="s">
        <v>8348</v>
      </c>
    </row>
    <row r="4" customFormat="false" ht="43.5" hidden="false" customHeight="true" outlineLevel="0" collapsed="false">
      <c r="A4" s="85" t="s">
        <v>8349</v>
      </c>
      <c r="B4" s="252" t="s">
        <v>3433</v>
      </c>
      <c r="C4" s="252" t="s">
        <v>8350</v>
      </c>
      <c r="D4" s="252" t="s">
        <v>1433</v>
      </c>
      <c r="E4" s="252" t="s">
        <v>1434</v>
      </c>
      <c r="F4" s="252" t="s">
        <v>109</v>
      </c>
      <c r="G4" s="252" t="s">
        <v>522</v>
      </c>
      <c r="H4" s="252" t="s">
        <v>8351</v>
      </c>
      <c r="I4" s="252" t="s">
        <v>7176</v>
      </c>
      <c r="J4" s="252" t="s">
        <v>7179</v>
      </c>
      <c r="K4" s="252" t="s">
        <v>7345</v>
      </c>
      <c r="L4" s="252" t="s">
        <v>8352</v>
      </c>
      <c r="M4" s="252" t="s">
        <v>8353</v>
      </c>
      <c r="N4" s="252" t="s">
        <v>8354</v>
      </c>
      <c r="O4" s="252" t="s">
        <v>796</v>
      </c>
      <c r="P4" s="252" t="s">
        <v>8355</v>
      </c>
      <c r="Q4" s="85" t="s">
        <v>8356</v>
      </c>
      <c r="R4" s="252" t="s">
        <v>8357</v>
      </c>
      <c r="S4" s="252" t="s">
        <v>8358</v>
      </c>
      <c r="T4" s="85" t="s">
        <v>8359</v>
      </c>
      <c r="U4" s="252" t="s">
        <v>8360</v>
      </c>
      <c r="V4" s="252" t="s">
        <v>8361</v>
      </c>
      <c r="W4" s="252" t="s">
        <v>8362</v>
      </c>
      <c r="X4" s="252" t="s">
        <v>8363</v>
      </c>
      <c r="Y4" s="252" t="s">
        <v>8364</v>
      </c>
      <c r="Z4" s="252" t="s">
        <v>8365</v>
      </c>
      <c r="AH4" s="84" t="s">
        <v>8366</v>
      </c>
    </row>
    <row r="5" customFormat="false" ht="29.25" hidden="false" customHeight="true" outlineLevel="0" collapsed="false">
      <c r="A5" s="30" t="s">
        <v>4000</v>
      </c>
      <c r="B5" s="20" t="s">
        <v>9992</v>
      </c>
      <c r="C5" s="255" t="n">
        <v>0.096</v>
      </c>
      <c r="D5" s="253"/>
      <c r="E5" s="253"/>
      <c r="F5" s="30" t="s">
        <v>127</v>
      </c>
      <c r="G5" s="253" t="s">
        <v>9993</v>
      </c>
      <c r="H5" s="30" t="s">
        <v>1499</v>
      </c>
      <c r="I5" s="30" t="s">
        <v>8413</v>
      </c>
      <c r="J5" s="6" t="s">
        <v>9994</v>
      </c>
      <c r="K5" s="253" t="n">
        <v>1</v>
      </c>
      <c r="L5" s="253" t="s">
        <v>8480</v>
      </c>
      <c r="M5" s="6" t="s">
        <v>9995</v>
      </c>
      <c r="N5" s="253" t="s">
        <v>9011</v>
      </c>
      <c r="O5" s="30" t="s">
        <v>8376</v>
      </c>
      <c r="P5" s="30" t="s">
        <v>809</v>
      </c>
      <c r="Q5" s="30" t="s">
        <v>9996</v>
      </c>
      <c r="R5" s="30" t="s">
        <v>809</v>
      </c>
      <c r="S5" s="30" t="s">
        <v>809</v>
      </c>
      <c r="T5" s="30" t="s">
        <v>809</v>
      </c>
      <c r="U5" s="30" t="s">
        <v>9997</v>
      </c>
      <c r="V5" s="6" t="s">
        <v>9998</v>
      </c>
      <c r="W5" s="20" t="s">
        <v>9999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10000</v>
      </c>
      <c r="B6" s="20" t="s">
        <v>10001</v>
      </c>
      <c r="C6" s="255" t="n">
        <v>0.226</v>
      </c>
      <c r="D6" s="253"/>
      <c r="E6" s="253"/>
      <c r="F6" s="30" t="s">
        <v>127</v>
      </c>
      <c r="G6" s="253" t="s">
        <v>154</v>
      </c>
      <c r="H6" s="30" t="s">
        <v>1543</v>
      </c>
      <c r="I6" s="30" t="s">
        <v>8413</v>
      </c>
      <c r="J6" s="6" t="s">
        <v>9994</v>
      </c>
      <c r="K6" s="253" t="n">
        <v>1</v>
      </c>
      <c r="L6" s="253" t="s">
        <v>8480</v>
      </c>
      <c r="M6" s="6" t="s">
        <v>9995</v>
      </c>
      <c r="N6" s="253" t="s">
        <v>9011</v>
      </c>
      <c r="O6" s="30" t="s">
        <v>8376</v>
      </c>
      <c r="P6" s="30" t="s">
        <v>809</v>
      </c>
      <c r="Q6" s="30" t="s">
        <v>9996</v>
      </c>
      <c r="R6" s="30" t="s">
        <v>809</v>
      </c>
      <c r="S6" s="30" t="s">
        <v>809</v>
      </c>
      <c r="T6" s="30" t="s">
        <v>809</v>
      </c>
      <c r="U6" s="30" t="s">
        <v>9997</v>
      </c>
      <c r="V6" s="6" t="s">
        <v>9998</v>
      </c>
      <c r="W6" s="6" t="s">
        <v>809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10002</v>
      </c>
      <c r="B7" s="20" t="s">
        <v>10003</v>
      </c>
      <c r="C7" s="255" t="n">
        <v>0.123</v>
      </c>
      <c r="D7" s="253"/>
      <c r="E7" s="253"/>
      <c r="F7" s="30" t="s">
        <v>127</v>
      </c>
      <c r="G7" s="253" t="s">
        <v>154</v>
      </c>
      <c r="H7" s="30" t="s">
        <v>1528</v>
      </c>
      <c r="I7" s="30" t="s">
        <v>8413</v>
      </c>
      <c r="J7" s="6" t="s">
        <v>9994</v>
      </c>
      <c r="K7" s="253" t="n">
        <v>1</v>
      </c>
      <c r="L7" s="253" t="s">
        <v>8480</v>
      </c>
      <c r="M7" s="6" t="s">
        <v>9995</v>
      </c>
      <c r="N7" s="253" t="s">
        <v>9011</v>
      </c>
      <c r="O7" s="30" t="s">
        <v>8376</v>
      </c>
      <c r="P7" s="30" t="s">
        <v>809</v>
      </c>
      <c r="Q7" s="30" t="s">
        <v>9996</v>
      </c>
      <c r="R7" s="30" t="s">
        <v>809</v>
      </c>
      <c r="S7" s="30" t="s">
        <v>809</v>
      </c>
      <c r="T7" s="30" t="s">
        <v>809</v>
      </c>
      <c r="U7" s="30" t="s">
        <v>9997</v>
      </c>
      <c r="V7" s="6" t="s">
        <v>809</v>
      </c>
      <c r="W7" s="6" t="s">
        <v>809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4103</v>
      </c>
      <c r="B8" s="6" t="s">
        <v>10004</v>
      </c>
      <c r="C8" s="255" t="n">
        <v>8.4</v>
      </c>
      <c r="D8" s="255" t="n">
        <v>7.5</v>
      </c>
      <c r="E8" s="255" t="n">
        <v>8.8</v>
      </c>
      <c r="F8" s="30" t="s">
        <v>1089</v>
      </c>
      <c r="G8" s="253" t="s">
        <v>10005</v>
      </c>
      <c r="H8" s="30" t="s">
        <v>1499</v>
      </c>
      <c r="I8" s="30" t="s">
        <v>9020</v>
      </c>
      <c r="J8" s="6" t="s">
        <v>10006</v>
      </c>
      <c r="K8" s="253" t="n">
        <v>2</v>
      </c>
      <c r="L8" s="253" t="s">
        <v>8373</v>
      </c>
      <c r="M8" s="6" t="s">
        <v>10007</v>
      </c>
      <c r="N8" s="253" t="s">
        <v>8386</v>
      </c>
      <c r="O8" s="30" t="s">
        <v>8376</v>
      </c>
      <c r="P8" s="30" t="s">
        <v>809</v>
      </c>
      <c r="Q8" s="30" t="s">
        <v>10008</v>
      </c>
      <c r="R8" s="30" t="s">
        <v>809</v>
      </c>
      <c r="S8" s="30" t="s">
        <v>809</v>
      </c>
      <c r="T8" s="30" t="s">
        <v>809</v>
      </c>
      <c r="U8" s="30" t="s">
        <v>10009</v>
      </c>
      <c r="V8" s="6" t="s">
        <v>10010</v>
      </c>
      <c r="W8" s="20" t="s">
        <v>10011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4114</v>
      </c>
      <c r="B9" s="6" t="s">
        <v>10012</v>
      </c>
      <c r="C9" s="255" t="n">
        <v>3.9</v>
      </c>
      <c r="D9" s="253"/>
      <c r="E9" s="253"/>
      <c r="F9" s="30" t="s">
        <v>1089</v>
      </c>
      <c r="G9" s="253" t="s">
        <v>10013</v>
      </c>
      <c r="H9" s="30" t="s">
        <v>1499</v>
      </c>
      <c r="I9" s="30" t="s">
        <v>9020</v>
      </c>
      <c r="J9" s="6" t="s">
        <v>10006</v>
      </c>
      <c r="K9" s="253" t="n">
        <v>2</v>
      </c>
      <c r="L9" s="253" t="s">
        <v>8373</v>
      </c>
      <c r="M9" s="6" t="s">
        <v>10007</v>
      </c>
      <c r="N9" s="253" t="s">
        <v>8386</v>
      </c>
      <c r="O9" s="30" t="s">
        <v>8376</v>
      </c>
      <c r="P9" s="30" t="s">
        <v>809</v>
      </c>
      <c r="Q9" s="30" t="s">
        <v>10008</v>
      </c>
      <c r="R9" s="30" t="s">
        <v>809</v>
      </c>
      <c r="S9" s="30" t="s">
        <v>809</v>
      </c>
      <c r="T9" s="30" t="s">
        <v>809</v>
      </c>
      <c r="U9" s="30" t="s">
        <v>10009</v>
      </c>
      <c r="V9" s="6" t="s">
        <v>10014</v>
      </c>
      <c r="W9" s="20" t="s">
        <v>10015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4050</v>
      </c>
      <c r="B10" s="6" t="s">
        <v>10016</v>
      </c>
      <c r="C10" s="255" t="n">
        <v>12</v>
      </c>
      <c r="D10" s="253"/>
      <c r="E10" s="253"/>
      <c r="F10" s="30" t="s">
        <v>1089</v>
      </c>
      <c r="G10" s="253" t="s">
        <v>10017</v>
      </c>
      <c r="H10" s="30" t="s">
        <v>1499</v>
      </c>
      <c r="I10" s="30" t="s">
        <v>9020</v>
      </c>
      <c r="J10" s="6" t="s">
        <v>10006</v>
      </c>
      <c r="K10" s="253" t="n">
        <v>2</v>
      </c>
      <c r="L10" s="253" t="s">
        <v>8373</v>
      </c>
      <c r="M10" s="6" t="s">
        <v>10007</v>
      </c>
      <c r="N10" s="253" t="s">
        <v>8386</v>
      </c>
      <c r="O10" s="30" t="s">
        <v>8376</v>
      </c>
      <c r="P10" s="30" t="s">
        <v>809</v>
      </c>
      <c r="Q10" s="30" t="s">
        <v>10008</v>
      </c>
      <c r="R10" s="30" t="s">
        <v>809</v>
      </c>
      <c r="S10" s="30" t="s">
        <v>809</v>
      </c>
      <c r="T10" s="30" t="s">
        <v>809</v>
      </c>
      <c r="U10" s="30" t="s">
        <v>10009</v>
      </c>
      <c r="V10" s="6" t="s">
        <v>10018</v>
      </c>
      <c r="W10" s="6" t="s">
        <v>809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4013</v>
      </c>
      <c r="B11" s="6" t="s">
        <v>10019</v>
      </c>
      <c r="C11" s="255" t="n">
        <v>13.07</v>
      </c>
      <c r="D11" s="253"/>
      <c r="E11" s="253"/>
      <c r="F11" s="30" t="s">
        <v>1089</v>
      </c>
      <c r="G11" s="253" t="s">
        <v>10013</v>
      </c>
      <c r="H11" s="30" t="s">
        <v>1499</v>
      </c>
      <c r="I11" s="30" t="s">
        <v>9020</v>
      </c>
      <c r="J11" s="6" t="s">
        <v>10006</v>
      </c>
      <c r="K11" s="253" t="n">
        <v>2</v>
      </c>
      <c r="L11" s="253" t="s">
        <v>8373</v>
      </c>
      <c r="M11" s="6" t="s">
        <v>10007</v>
      </c>
      <c r="N11" s="253" t="s">
        <v>8386</v>
      </c>
      <c r="O11" s="30" t="s">
        <v>8376</v>
      </c>
      <c r="P11" s="30" t="s">
        <v>809</v>
      </c>
      <c r="Q11" s="30" t="s">
        <v>10008</v>
      </c>
      <c r="R11" s="30" t="s">
        <v>809</v>
      </c>
      <c r="S11" s="30" t="s">
        <v>809</v>
      </c>
      <c r="T11" s="30" t="s">
        <v>809</v>
      </c>
      <c r="U11" s="30" t="s">
        <v>10009</v>
      </c>
      <c r="V11" s="6" t="s">
        <v>10020</v>
      </c>
      <c r="W11" s="6" t="s">
        <v>10021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10022</v>
      </c>
      <c r="B12" s="6" t="s">
        <v>10023</v>
      </c>
      <c r="C12" s="255" t="n">
        <v>0.6</v>
      </c>
      <c r="D12" s="253"/>
      <c r="E12" s="253"/>
      <c r="F12" s="30" t="s">
        <v>117</v>
      </c>
      <c r="G12" s="30" t="s">
        <v>10024</v>
      </c>
      <c r="H12" s="30" t="s">
        <v>1499</v>
      </c>
      <c r="I12" s="30" t="s">
        <v>10025</v>
      </c>
      <c r="J12" s="6" t="s">
        <v>10006</v>
      </c>
      <c r="K12" s="253" t="n">
        <v>2</v>
      </c>
      <c r="L12" s="253" t="s">
        <v>8373</v>
      </c>
      <c r="M12" s="6" t="s">
        <v>10007</v>
      </c>
      <c r="N12" s="253" t="s">
        <v>8386</v>
      </c>
      <c r="O12" s="30" t="s">
        <v>8376</v>
      </c>
      <c r="P12" s="30" t="s">
        <v>809</v>
      </c>
      <c r="Q12" s="30" t="s">
        <v>10008</v>
      </c>
      <c r="R12" s="30" t="s">
        <v>809</v>
      </c>
      <c r="S12" s="30" t="s">
        <v>809</v>
      </c>
      <c r="T12" s="30" t="s">
        <v>809</v>
      </c>
      <c r="U12" s="30" t="s">
        <v>10009</v>
      </c>
      <c r="V12" s="6" t="s">
        <v>10020</v>
      </c>
      <c r="W12" s="6" t="s">
        <v>809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10026</v>
      </c>
      <c r="B13" s="6" t="s">
        <v>10027</v>
      </c>
      <c r="C13" s="255" t="n">
        <v>1.9</v>
      </c>
      <c r="D13" s="253"/>
      <c r="E13" s="253"/>
      <c r="F13" s="30" t="s">
        <v>117</v>
      </c>
      <c r="G13" s="253" t="s">
        <v>10028</v>
      </c>
      <c r="H13" s="30" t="s">
        <v>1499</v>
      </c>
      <c r="I13" s="30" t="s">
        <v>9020</v>
      </c>
      <c r="J13" s="6" t="s">
        <v>10006</v>
      </c>
      <c r="K13" s="253" t="n">
        <v>2</v>
      </c>
      <c r="L13" s="253" t="s">
        <v>8373</v>
      </c>
      <c r="M13" s="6" t="s">
        <v>10007</v>
      </c>
      <c r="N13" s="253" t="s">
        <v>8386</v>
      </c>
      <c r="O13" s="30" t="s">
        <v>8376</v>
      </c>
      <c r="P13" s="30" t="s">
        <v>809</v>
      </c>
      <c r="Q13" s="30" t="s">
        <v>10008</v>
      </c>
      <c r="R13" s="30" t="s">
        <v>809</v>
      </c>
      <c r="S13" s="30" t="s">
        <v>809</v>
      </c>
      <c r="T13" s="30" t="s">
        <v>809</v>
      </c>
      <c r="U13" s="30" t="s">
        <v>10009</v>
      </c>
      <c r="V13" s="6" t="s">
        <v>10020</v>
      </c>
      <c r="W13" s="6" t="s">
        <v>10029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6724</v>
      </c>
      <c r="B14" s="6" t="s">
        <v>10030</v>
      </c>
      <c r="C14" s="255" t="n">
        <v>6</v>
      </c>
      <c r="D14" s="253"/>
      <c r="E14" s="253"/>
      <c r="F14" s="30" t="s">
        <v>10031</v>
      </c>
      <c r="G14" s="253" t="s">
        <v>10032</v>
      </c>
      <c r="H14" s="30" t="s">
        <v>1499</v>
      </c>
      <c r="I14" s="30" t="s">
        <v>10033</v>
      </c>
      <c r="J14" s="6" t="s">
        <v>10034</v>
      </c>
      <c r="K14" s="253" t="n">
        <v>2</v>
      </c>
      <c r="L14" s="253" t="s">
        <v>8373</v>
      </c>
      <c r="M14" s="6" t="s">
        <v>10035</v>
      </c>
      <c r="N14" s="253" t="s">
        <v>8386</v>
      </c>
      <c r="O14" s="30" t="s">
        <v>8376</v>
      </c>
      <c r="P14" s="30" t="s">
        <v>809</v>
      </c>
      <c r="Q14" s="30" t="s">
        <v>10036</v>
      </c>
      <c r="R14" s="30" t="s">
        <v>809</v>
      </c>
      <c r="S14" s="30" t="s">
        <v>809</v>
      </c>
      <c r="T14" s="30" t="s">
        <v>809</v>
      </c>
      <c r="U14" s="30" t="s">
        <v>10037</v>
      </c>
      <c r="V14" s="6" t="s">
        <v>10038</v>
      </c>
      <c r="W14" s="6" t="s">
        <v>10039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6918</v>
      </c>
      <c r="B15" s="6" t="s">
        <v>10030</v>
      </c>
      <c r="C15" s="255" t="n">
        <v>15</v>
      </c>
      <c r="D15" s="253"/>
      <c r="E15" s="253"/>
      <c r="F15" s="30" t="s">
        <v>10031</v>
      </c>
      <c r="G15" s="253" t="s">
        <v>10040</v>
      </c>
      <c r="H15" s="30" t="s">
        <v>1499</v>
      </c>
      <c r="I15" s="30" t="s">
        <v>10041</v>
      </c>
      <c r="J15" s="6" t="s">
        <v>10042</v>
      </c>
      <c r="K15" s="253" t="n">
        <v>1</v>
      </c>
      <c r="L15" s="253" t="s">
        <v>8373</v>
      </c>
      <c r="M15" s="6" t="s">
        <v>10043</v>
      </c>
      <c r="N15" s="253" t="s">
        <v>8375</v>
      </c>
      <c r="O15" s="30" t="s">
        <v>8376</v>
      </c>
      <c r="P15" s="30" t="s">
        <v>809</v>
      </c>
      <c r="Q15" s="30" t="s">
        <v>10044</v>
      </c>
      <c r="R15" s="30" t="s">
        <v>809</v>
      </c>
      <c r="S15" s="30" t="s">
        <v>7466</v>
      </c>
      <c r="T15" s="30" t="s">
        <v>809</v>
      </c>
      <c r="U15" s="30" t="s">
        <v>10037</v>
      </c>
      <c r="V15" s="20" t="s">
        <v>10045</v>
      </c>
      <c r="W15" s="6" t="s">
        <v>10046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6732</v>
      </c>
      <c r="B16" s="6" t="s">
        <v>10047</v>
      </c>
      <c r="C16" s="255" t="n">
        <v>2.5</v>
      </c>
      <c r="D16" s="253"/>
      <c r="E16" s="253"/>
      <c r="F16" s="30" t="s">
        <v>1871</v>
      </c>
      <c r="G16" s="253" t="s">
        <v>10048</v>
      </c>
      <c r="H16" s="30" t="s">
        <v>1499</v>
      </c>
      <c r="I16" s="30" t="s">
        <v>10049</v>
      </c>
      <c r="J16" s="6" t="s">
        <v>10050</v>
      </c>
      <c r="K16" s="253" t="n">
        <v>2</v>
      </c>
      <c r="L16" s="253" t="s">
        <v>8373</v>
      </c>
      <c r="M16" s="6" t="s">
        <v>10035</v>
      </c>
      <c r="N16" s="253" t="s">
        <v>8386</v>
      </c>
      <c r="O16" s="30" t="s">
        <v>8376</v>
      </c>
      <c r="P16" s="30" t="s">
        <v>809</v>
      </c>
      <c r="Q16" s="30" t="s">
        <v>10051</v>
      </c>
      <c r="R16" s="30" t="s">
        <v>809</v>
      </c>
      <c r="S16" s="30" t="s">
        <v>809</v>
      </c>
      <c r="T16" s="30" t="s">
        <v>809</v>
      </c>
      <c r="U16" s="30" t="s">
        <v>10037</v>
      </c>
      <c r="V16" s="6" t="s">
        <v>10052</v>
      </c>
      <c r="W16" s="6" t="s">
        <v>10053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4122</v>
      </c>
      <c r="B17" s="20" t="s">
        <v>10054</v>
      </c>
      <c r="C17" s="253"/>
      <c r="D17" s="255" t="n">
        <v>10</v>
      </c>
      <c r="E17" s="255" t="n">
        <v>100</v>
      </c>
      <c r="F17" s="30" t="s">
        <v>1606</v>
      </c>
      <c r="G17" s="253" t="s">
        <v>10055</v>
      </c>
      <c r="H17" s="30" t="s">
        <v>10056</v>
      </c>
      <c r="I17" s="30" t="s">
        <v>9020</v>
      </c>
      <c r="J17" s="6" t="s">
        <v>10057</v>
      </c>
      <c r="K17" s="253" t="n">
        <v>1</v>
      </c>
      <c r="L17" s="253" t="s">
        <v>8480</v>
      </c>
      <c r="M17" s="6" t="s">
        <v>10058</v>
      </c>
      <c r="N17" s="253" t="s">
        <v>8375</v>
      </c>
      <c r="O17" s="30" t="s">
        <v>8376</v>
      </c>
      <c r="P17" s="30" t="s">
        <v>809</v>
      </c>
      <c r="Q17" s="30" t="s">
        <v>10059</v>
      </c>
      <c r="R17" s="30" t="s">
        <v>809</v>
      </c>
      <c r="S17" s="30" t="s">
        <v>7466</v>
      </c>
      <c r="T17" s="30" t="s">
        <v>809</v>
      </c>
      <c r="U17" s="30" t="s">
        <v>10037</v>
      </c>
      <c r="V17" s="6" t="s">
        <v>10060</v>
      </c>
      <c r="W17" s="20" t="s">
        <v>10061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5779</v>
      </c>
      <c r="B18" s="6" t="s">
        <v>10062</v>
      </c>
      <c r="C18" s="255" t="n">
        <v>6000</v>
      </c>
      <c r="D18" s="207"/>
      <c r="E18" s="207"/>
      <c r="F18" s="30" t="s">
        <v>10063</v>
      </c>
      <c r="G18" s="207" t="s">
        <v>10064</v>
      </c>
      <c r="H18" s="30" t="s">
        <v>10065</v>
      </c>
      <c r="I18" s="30" t="s">
        <v>10066</v>
      </c>
      <c r="J18" s="6" t="s">
        <v>10067</v>
      </c>
      <c r="K18" s="207" t="n">
        <v>1</v>
      </c>
      <c r="L18" s="207" t="s">
        <v>8373</v>
      </c>
      <c r="M18" s="6" t="s">
        <v>10068</v>
      </c>
      <c r="N18" s="207" t="s">
        <v>8375</v>
      </c>
      <c r="O18" s="30" t="s">
        <v>8376</v>
      </c>
      <c r="P18" s="30" t="s">
        <v>809</v>
      </c>
      <c r="Q18" s="30" t="s">
        <v>10069</v>
      </c>
      <c r="R18" s="30" t="s">
        <v>809</v>
      </c>
      <c r="S18" s="30" t="s">
        <v>809</v>
      </c>
      <c r="T18" s="30" t="s">
        <v>809</v>
      </c>
      <c r="U18" s="30" t="s">
        <v>9134</v>
      </c>
      <c r="V18" s="6" t="s">
        <v>809</v>
      </c>
      <c r="W18" s="6" t="s">
        <v>10070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10071</v>
      </c>
      <c r="B19" s="6" t="s">
        <v>10072</v>
      </c>
      <c r="C19" s="255" t="n">
        <v>400</v>
      </c>
      <c r="D19" s="207"/>
      <c r="E19" s="207"/>
      <c r="F19" s="30" t="s">
        <v>10063</v>
      </c>
      <c r="G19" s="207" t="s">
        <v>10073</v>
      </c>
      <c r="H19" s="30" t="s">
        <v>10065</v>
      </c>
      <c r="I19" s="30" t="s">
        <v>10066</v>
      </c>
      <c r="J19" s="6" t="s">
        <v>10067</v>
      </c>
      <c r="K19" s="207" t="n">
        <v>1</v>
      </c>
      <c r="L19" s="207" t="s">
        <v>8373</v>
      </c>
      <c r="M19" s="6" t="s">
        <v>10068</v>
      </c>
      <c r="N19" s="207" t="s">
        <v>8375</v>
      </c>
      <c r="O19" s="30" t="s">
        <v>8376</v>
      </c>
      <c r="P19" s="30" t="s">
        <v>809</v>
      </c>
      <c r="Q19" s="30" t="s">
        <v>10069</v>
      </c>
      <c r="R19" s="30" t="s">
        <v>809</v>
      </c>
      <c r="S19" s="30" t="s">
        <v>809</v>
      </c>
      <c r="T19" s="30" t="s">
        <v>809</v>
      </c>
      <c r="U19" s="30" t="s">
        <v>9134</v>
      </c>
      <c r="V19" s="6" t="s">
        <v>809</v>
      </c>
      <c r="W19" s="6" t="s">
        <v>10074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10075</v>
      </c>
      <c r="B20" s="6" t="s">
        <v>10076</v>
      </c>
      <c r="C20" s="255" t="n">
        <v>3.5</v>
      </c>
      <c r="D20" s="255" t="n">
        <v>3</v>
      </c>
      <c r="E20" s="255" t="n">
        <v>4</v>
      </c>
      <c r="F20" s="207" t="s">
        <v>10077</v>
      </c>
      <c r="G20" s="207" t="s">
        <v>10078</v>
      </c>
      <c r="H20" s="30" t="s">
        <v>10065</v>
      </c>
      <c r="I20" s="30" t="s">
        <v>10066</v>
      </c>
      <c r="J20" s="6" t="s">
        <v>10067</v>
      </c>
      <c r="K20" s="207" t="n">
        <v>1</v>
      </c>
      <c r="L20" s="207" t="s">
        <v>8373</v>
      </c>
      <c r="M20" s="6" t="s">
        <v>10068</v>
      </c>
      <c r="N20" s="207" t="s">
        <v>8375</v>
      </c>
      <c r="O20" s="30" t="s">
        <v>8376</v>
      </c>
      <c r="P20" s="30" t="s">
        <v>809</v>
      </c>
      <c r="Q20" s="30" t="s">
        <v>10069</v>
      </c>
      <c r="R20" s="30" t="s">
        <v>809</v>
      </c>
      <c r="S20" s="30" t="s">
        <v>809</v>
      </c>
      <c r="T20" s="30" t="s">
        <v>809</v>
      </c>
      <c r="U20" s="30" t="s">
        <v>9134</v>
      </c>
      <c r="V20" s="6" t="s">
        <v>809</v>
      </c>
      <c r="W20" s="6" t="s">
        <v>10079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10080</v>
      </c>
      <c r="B21" s="6" t="s">
        <v>10081</v>
      </c>
      <c r="C21" s="255" t="n">
        <v>0.5</v>
      </c>
      <c r="D21" s="255" t="n">
        <v>0.5</v>
      </c>
      <c r="E21" s="207"/>
      <c r="F21" s="30" t="s">
        <v>127</v>
      </c>
      <c r="G21" s="207" t="s">
        <v>10082</v>
      </c>
      <c r="H21" s="30" t="s">
        <v>10065</v>
      </c>
      <c r="I21" s="30" t="s">
        <v>10066</v>
      </c>
      <c r="J21" s="6" t="s">
        <v>10067</v>
      </c>
      <c r="K21" s="207" t="n">
        <v>1</v>
      </c>
      <c r="L21" s="207" t="s">
        <v>8373</v>
      </c>
      <c r="M21" s="6" t="s">
        <v>10068</v>
      </c>
      <c r="N21" s="207" t="s">
        <v>8375</v>
      </c>
      <c r="O21" s="30" t="s">
        <v>8376</v>
      </c>
      <c r="P21" s="30" t="s">
        <v>809</v>
      </c>
      <c r="Q21" s="30" t="s">
        <v>10069</v>
      </c>
      <c r="R21" s="30" t="s">
        <v>809</v>
      </c>
      <c r="S21" s="30" t="s">
        <v>809</v>
      </c>
      <c r="T21" s="30" t="s">
        <v>809</v>
      </c>
      <c r="U21" s="30" t="s">
        <v>9134</v>
      </c>
      <c r="V21" s="6" t="s">
        <v>809</v>
      </c>
      <c r="W21" s="6" t="s">
        <v>10083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10084</v>
      </c>
      <c r="B22" s="6" t="s">
        <v>10085</v>
      </c>
      <c r="C22" s="255" t="n">
        <v>12.6</v>
      </c>
      <c r="D22" s="255" t="n">
        <v>12.3</v>
      </c>
      <c r="E22" s="255" t="n">
        <v>13</v>
      </c>
      <c r="F22" s="30" t="s">
        <v>1089</v>
      </c>
      <c r="G22" s="30" t="s">
        <v>10086</v>
      </c>
      <c r="H22" s="30" t="s">
        <v>1499</v>
      </c>
      <c r="I22" s="30" t="s">
        <v>9020</v>
      </c>
      <c r="J22" s="6" t="s">
        <v>10087</v>
      </c>
      <c r="K22" s="207" t="n">
        <v>2</v>
      </c>
      <c r="L22" s="207" t="s">
        <v>8373</v>
      </c>
      <c r="M22" s="6" t="s">
        <v>10088</v>
      </c>
      <c r="N22" s="207" t="s">
        <v>10089</v>
      </c>
      <c r="O22" s="30" t="s">
        <v>8376</v>
      </c>
      <c r="P22" s="30" t="s">
        <v>809</v>
      </c>
      <c r="Q22" s="30" t="s">
        <v>10090</v>
      </c>
      <c r="R22" s="30" t="s">
        <v>809</v>
      </c>
      <c r="S22" s="30" t="s">
        <v>809</v>
      </c>
      <c r="T22" s="30" t="s">
        <v>809</v>
      </c>
      <c r="U22" s="30" t="s">
        <v>10091</v>
      </c>
      <c r="V22" s="6" t="s">
        <v>10092</v>
      </c>
      <c r="W22" s="6" t="s">
        <v>10093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1584</v>
      </c>
      <c r="B23" s="6" t="s">
        <v>10094</v>
      </c>
      <c r="C23" s="255" t="n">
        <v>50</v>
      </c>
      <c r="D23" s="207"/>
      <c r="E23" s="207"/>
      <c r="F23" s="207" t="s">
        <v>1573</v>
      </c>
      <c r="G23" s="207" t="s">
        <v>10095</v>
      </c>
      <c r="H23" s="30" t="s">
        <v>10096</v>
      </c>
      <c r="I23" s="30" t="s">
        <v>10097</v>
      </c>
      <c r="J23" s="6" t="s">
        <v>10098</v>
      </c>
      <c r="K23" s="207" t="n">
        <v>1</v>
      </c>
      <c r="L23" s="207" t="s">
        <v>8373</v>
      </c>
      <c r="M23" s="6" t="s">
        <v>10099</v>
      </c>
      <c r="N23" s="207" t="s">
        <v>8375</v>
      </c>
      <c r="O23" s="30" t="s">
        <v>8376</v>
      </c>
      <c r="P23" s="30" t="s">
        <v>809</v>
      </c>
      <c r="Q23" s="30" t="s">
        <v>10100</v>
      </c>
      <c r="R23" s="30" t="s">
        <v>809</v>
      </c>
      <c r="S23" s="30" t="s">
        <v>809</v>
      </c>
      <c r="T23" s="30" t="s">
        <v>809</v>
      </c>
      <c r="U23" s="30" t="s">
        <v>10101</v>
      </c>
      <c r="V23" s="6" t="s">
        <v>10102</v>
      </c>
      <c r="W23" s="6" t="s">
        <v>10103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10104</v>
      </c>
      <c r="B24" s="6" t="s">
        <v>10105</v>
      </c>
      <c r="C24" s="255" t="n">
        <v>9</v>
      </c>
      <c r="D24" s="207"/>
      <c r="E24" s="207"/>
      <c r="F24" s="207" t="s">
        <v>1573</v>
      </c>
      <c r="G24" s="207" t="s">
        <v>10106</v>
      </c>
      <c r="H24" s="30" t="s">
        <v>10096</v>
      </c>
      <c r="I24" s="30" t="s">
        <v>10097</v>
      </c>
      <c r="J24" s="6" t="s">
        <v>10098</v>
      </c>
      <c r="K24" s="207" t="n">
        <v>1</v>
      </c>
      <c r="L24" s="207" t="s">
        <v>8373</v>
      </c>
      <c r="M24" s="6" t="s">
        <v>10099</v>
      </c>
      <c r="N24" s="207" t="s">
        <v>8375</v>
      </c>
      <c r="O24" s="30" t="s">
        <v>8376</v>
      </c>
      <c r="P24" s="30" t="s">
        <v>809</v>
      </c>
      <c r="Q24" s="30" t="s">
        <v>10100</v>
      </c>
      <c r="R24" s="30" t="s">
        <v>809</v>
      </c>
      <c r="S24" s="30" t="s">
        <v>809</v>
      </c>
      <c r="T24" s="30" t="s">
        <v>809</v>
      </c>
      <c r="U24" s="30" t="s">
        <v>10101</v>
      </c>
      <c r="V24" s="245" t="s">
        <v>10107</v>
      </c>
      <c r="W24" s="6" t="s">
        <v>10108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10109</v>
      </c>
      <c r="B25" s="6" t="s">
        <v>10110</v>
      </c>
      <c r="C25" s="255" t="n">
        <v>1.6</v>
      </c>
      <c r="D25" s="207"/>
      <c r="E25" s="207"/>
      <c r="F25" s="207" t="s">
        <v>1573</v>
      </c>
      <c r="G25" s="207" t="s">
        <v>10111</v>
      </c>
      <c r="H25" s="30" t="s">
        <v>10112</v>
      </c>
      <c r="I25" s="30" t="s">
        <v>10097</v>
      </c>
      <c r="J25" s="6" t="s">
        <v>10098</v>
      </c>
      <c r="K25" s="207" t="n">
        <v>1</v>
      </c>
      <c r="L25" s="207" t="s">
        <v>8373</v>
      </c>
      <c r="M25" s="6" t="s">
        <v>10099</v>
      </c>
      <c r="N25" s="207" t="s">
        <v>8375</v>
      </c>
      <c r="O25" s="30" t="s">
        <v>8376</v>
      </c>
      <c r="P25" s="30" t="s">
        <v>809</v>
      </c>
      <c r="Q25" s="30" t="s">
        <v>10100</v>
      </c>
      <c r="R25" s="30" t="s">
        <v>809</v>
      </c>
      <c r="S25" s="30" t="s">
        <v>809</v>
      </c>
      <c r="T25" s="30" t="s">
        <v>809</v>
      </c>
      <c r="U25" s="30" t="s">
        <v>10101</v>
      </c>
      <c r="V25" s="245" t="s">
        <v>10107</v>
      </c>
      <c r="W25" s="6" t="s">
        <v>10113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10114</v>
      </c>
      <c r="B26" s="6" t="s">
        <v>10115</v>
      </c>
      <c r="C26" s="255" t="n">
        <v>2</v>
      </c>
      <c r="D26" s="207"/>
      <c r="E26" s="207"/>
      <c r="F26" s="30" t="s">
        <v>10116</v>
      </c>
      <c r="G26" s="207" t="s">
        <v>10117</v>
      </c>
      <c r="H26" s="30" t="s">
        <v>1499</v>
      </c>
      <c r="I26" s="30" t="s">
        <v>10041</v>
      </c>
      <c r="J26" s="6" t="s">
        <v>10118</v>
      </c>
      <c r="K26" s="207" t="n">
        <v>1</v>
      </c>
      <c r="L26" s="207" t="s">
        <v>8373</v>
      </c>
      <c r="M26" s="6" t="s">
        <v>10099</v>
      </c>
      <c r="N26" s="207" t="s">
        <v>8375</v>
      </c>
      <c r="O26" s="30" t="s">
        <v>8376</v>
      </c>
      <c r="P26" s="30" t="s">
        <v>809</v>
      </c>
      <c r="Q26" s="30" t="s">
        <v>10119</v>
      </c>
      <c r="R26" s="30" t="s">
        <v>809</v>
      </c>
      <c r="S26" s="30" t="s">
        <v>809</v>
      </c>
      <c r="T26" s="30" t="s">
        <v>809</v>
      </c>
      <c r="U26" s="30" t="s">
        <v>10101</v>
      </c>
      <c r="V26" s="245" t="s">
        <v>10107</v>
      </c>
      <c r="W26" s="6" t="s">
        <v>10120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6906</v>
      </c>
      <c r="B27" s="6" t="s">
        <v>10121</v>
      </c>
      <c r="C27" s="255" t="n">
        <v>0.4</v>
      </c>
      <c r="D27" s="207"/>
      <c r="E27" s="207"/>
      <c r="F27" s="30" t="s">
        <v>127</v>
      </c>
      <c r="G27" s="207" t="s">
        <v>10122</v>
      </c>
      <c r="H27" s="30" t="s">
        <v>1499</v>
      </c>
      <c r="I27" s="30" t="s">
        <v>10041</v>
      </c>
      <c r="J27" s="6" t="s">
        <v>10118</v>
      </c>
      <c r="K27" s="207" t="n">
        <v>1</v>
      </c>
      <c r="L27" s="207" t="s">
        <v>8373</v>
      </c>
      <c r="M27" s="6" t="s">
        <v>10099</v>
      </c>
      <c r="N27" s="207" t="s">
        <v>8375</v>
      </c>
      <c r="O27" s="30" t="s">
        <v>8376</v>
      </c>
      <c r="P27" s="30" t="s">
        <v>809</v>
      </c>
      <c r="Q27" s="30" t="s">
        <v>10119</v>
      </c>
      <c r="R27" s="30" t="s">
        <v>809</v>
      </c>
      <c r="S27" s="30" t="s">
        <v>809</v>
      </c>
      <c r="T27" s="30" t="s">
        <v>809</v>
      </c>
      <c r="U27" s="30" t="s">
        <v>10101</v>
      </c>
      <c r="V27" s="245" t="s">
        <v>10107</v>
      </c>
      <c r="W27" s="6" t="s">
        <v>10123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1574</v>
      </c>
      <c r="B28" s="6" t="s">
        <v>10094</v>
      </c>
      <c r="C28" s="255" t="n">
        <v>15.5</v>
      </c>
      <c r="D28" s="207"/>
      <c r="E28" s="207"/>
      <c r="F28" s="207" t="s">
        <v>1573</v>
      </c>
      <c r="G28" s="207" t="s">
        <v>10124</v>
      </c>
      <c r="H28" s="30" t="s">
        <v>10096</v>
      </c>
      <c r="I28" s="30" t="s">
        <v>10125</v>
      </c>
      <c r="J28" s="6" t="s">
        <v>10126</v>
      </c>
      <c r="K28" s="207" t="n">
        <v>2</v>
      </c>
      <c r="L28" s="207" t="s">
        <v>8373</v>
      </c>
      <c r="M28" s="6" t="s">
        <v>10127</v>
      </c>
      <c r="N28" s="207" t="s">
        <v>8386</v>
      </c>
      <c r="O28" s="30" t="s">
        <v>8376</v>
      </c>
      <c r="P28" s="30" t="s">
        <v>809</v>
      </c>
      <c r="Q28" s="30" t="s">
        <v>10128</v>
      </c>
      <c r="R28" s="30" t="s">
        <v>809</v>
      </c>
      <c r="S28" s="30" t="s">
        <v>809</v>
      </c>
      <c r="T28" s="30" t="s">
        <v>809</v>
      </c>
      <c r="U28" s="30" t="s">
        <v>10101</v>
      </c>
      <c r="V28" s="6" t="s">
        <v>10129</v>
      </c>
      <c r="W28" s="6" t="s">
        <v>10130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1577</v>
      </c>
      <c r="B29" s="6" t="s">
        <v>10094</v>
      </c>
      <c r="C29" s="255" t="n">
        <v>20</v>
      </c>
      <c r="D29" s="207"/>
      <c r="E29" s="207"/>
      <c r="F29" s="207" t="s">
        <v>1573</v>
      </c>
      <c r="G29" s="207" t="s">
        <v>10131</v>
      </c>
      <c r="H29" s="30" t="s">
        <v>10096</v>
      </c>
      <c r="I29" s="30" t="s">
        <v>10125</v>
      </c>
      <c r="J29" s="6" t="s">
        <v>10132</v>
      </c>
      <c r="K29" s="207" t="n">
        <v>2</v>
      </c>
      <c r="L29" s="207" t="s">
        <v>8373</v>
      </c>
      <c r="M29" s="6" t="s">
        <v>10127</v>
      </c>
      <c r="N29" s="207" t="s">
        <v>8386</v>
      </c>
      <c r="O29" s="30" t="s">
        <v>8376</v>
      </c>
      <c r="P29" s="30" t="s">
        <v>809</v>
      </c>
      <c r="Q29" s="30" t="s">
        <v>10128</v>
      </c>
      <c r="R29" s="30" t="s">
        <v>809</v>
      </c>
      <c r="S29" s="30" t="s">
        <v>809</v>
      </c>
      <c r="T29" s="30" t="s">
        <v>809</v>
      </c>
      <c r="U29" s="30" t="s">
        <v>10101</v>
      </c>
      <c r="V29" s="6" t="s">
        <v>10133</v>
      </c>
      <c r="W29" s="6" t="s">
        <v>10134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1580</v>
      </c>
      <c r="B30" s="6" t="s">
        <v>10094</v>
      </c>
      <c r="C30" s="255" t="n">
        <v>35</v>
      </c>
      <c r="D30" s="207"/>
      <c r="E30" s="207"/>
      <c r="F30" s="207" t="s">
        <v>1573</v>
      </c>
      <c r="G30" s="207" t="s">
        <v>10135</v>
      </c>
      <c r="H30" s="30" t="s">
        <v>10096</v>
      </c>
      <c r="I30" s="30" t="s">
        <v>10136</v>
      </c>
      <c r="J30" s="6" t="s">
        <v>10137</v>
      </c>
      <c r="K30" s="207" t="n">
        <v>2</v>
      </c>
      <c r="L30" s="207" t="s">
        <v>8373</v>
      </c>
      <c r="M30" s="6" t="s">
        <v>10138</v>
      </c>
      <c r="N30" s="207" t="s">
        <v>8386</v>
      </c>
      <c r="O30" s="30" t="s">
        <v>8376</v>
      </c>
      <c r="P30" s="30" t="s">
        <v>809</v>
      </c>
      <c r="Q30" s="30" t="s">
        <v>10139</v>
      </c>
      <c r="R30" s="30" t="s">
        <v>809</v>
      </c>
      <c r="S30" s="30" t="s">
        <v>809</v>
      </c>
      <c r="T30" s="30" t="s">
        <v>809</v>
      </c>
      <c r="U30" s="30" t="s">
        <v>10101</v>
      </c>
      <c r="V30" s="6" t="s">
        <v>10133</v>
      </c>
      <c r="W30" s="6" t="s">
        <v>10140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10141</v>
      </c>
      <c r="B31" s="6" t="s">
        <v>10105</v>
      </c>
      <c r="C31" s="255" t="n">
        <v>2</v>
      </c>
      <c r="D31" s="207"/>
      <c r="E31" s="207"/>
      <c r="F31" s="207" t="s">
        <v>1573</v>
      </c>
      <c r="G31" s="207" t="s">
        <v>10142</v>
      </c>
      <c r="H31" s="30" t="s">
        <v>10096</v>
      </c>
      <c r="I31" s="30" t="s">
        <v>10143</v>
      </c>
      <c r="J31" s="6" t="s">
        <v>10144</v>
      </c>
      <c r="K31" s="207" t="n">
        <v>2</v>
      </c>
      <c r="L31" s="207" t="s">
        <v>8373</v>
      </c>
      <c r="M31" s="6" t="s">
        <v>10145</v>
      </c>
      <c r="N31" s="207" t="s">
        <v>8386</v>
      </c>
      <c r="O31" s="30" t="s">
        <v>8376</v>
      </c>
      <c r="P31" s="30" t="s">
        <v>809</v>
      </c>
      <c r="Q31" s="30" t="s">
        <v>10146</v>
      </c>
      <c r="R31" s="30" t="s">
        <v>809</v>
      </c>
      <c r="S31" s="30" t="s">
        <v>809</v>
      </c>
      <c r="T31" s="30" t="s">
        <v>809</v>
      </c>
      <c r="U31" s="30" t="s">
        <v>10101</v>
      </c>
      <c r="V31" s="245" t="s">
        <v>10107</v>
      </c>
      <c r="W31" s="6" t="s">
        <v>10147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10148</v>
      </c>
      <c r="B32" s="6" t="s">
        <v>10105</v>
      </c>
      <c r="C32" s="255" t="n">
        <v>3</v>
      </c>
      <c r="D32" s="207"/>
      <c r="E32" s="207"/>
      <c r="F32" s="207" t="s">
        <v>1573</v>
      </c>
      <c r="G32" s="207" t="s">
        <v>10149</v>
      </c>
      <c r="H32" s="30" t="s">
        <v>10096</v>
      </c>
      <c r="I32" s="30" t="s">
        <v>10150</v>
      </c>
      <c r="J32" s="6" t="s">
        <v>10151</v>
      </c>
      <c r="K32" s="207" t="n">
        <v>2</v>
      </c>
      <c r="L32" s="207" t="s">
        <v>8373</v>
      </c>
      <c r="M32" s="6" t="s">
        <v>10152</v>
      </c>
      <c r="N32" s="207" t="s">
        <v>8386</v>
      </c>
      <c r="O32" s="30" t="s">
        <v>8376</v>
      </c>
      <c r="P32" s="30" t="s">
        <v>809</v>
      </c>
      <c r="Q32" s="30" t="s">
        <v>10146</v>
      </c>
      <c r="R32" s="30" t="s">
        <v>809</v>
      </c>
      <c r="S32" s="30" t="s">
        <v>809</v>
      </c>
      <c r="T32" s="30" t="s">
        <v>809</v>
      </c>
      <c r="U32" s="30" t="s">
        <v>10101</v>
      </c>
      <c r="V32" s="245" t="s">
        <v>10107</v>
      </c>
      <c r="W32" s="6" t="s">
        <v>10153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10154</v>
      </c>
      <c r="B33" s="6" t="s">
        <v>10105</v>
      </c>
      <c r="C33" s="255" t="n">
        <v>5</v>
      </c>
      <c r="D33" s="207"/>
      <c r="E33" s="207"/>
      <c r="F33" s="207" t="s">
        <v>1573</v>
      </c>
      <c r="G33" s="207" t="s">
        <v>10155</v>
      </c>
      <c r="H33" s="30" t="s">
        <v>10096</v>
      </c>
      <c r="I33" s="30" t="s">
        <v>8813</v>
      </c>
      <c r="J33" s="6" t="s">
        <v>10156</v>
      </c>
      <c r="K33" s="207" t="n">
        <v>2</v>
      </c>
      <c r="L33" s="207" t="s">
        <v>8373</v>
      </c>
      <c r="M33" s="6" t="s">
        <v>10157</v>
      </c>
      <c r="N33" s="207" t="s">
        <v>8386</v>
      </c>
      <c r="O33" s="30" t="s">
        <v>8376</v>
      </c>
      <c r="P33" s="30" t="s">
        <v>809</v>
      </c>
      <c r="Q33" s="30" t="s">
        <v>10146</v>
      </c>
      <c r="R33" s="30" t="s">
        <v>809</v>
      </c>
      <c r="S33" s="30" t="s">
        <v>809</v>
      </c>
      <c r="T33" s="30" t="s">
        <v>809</v>
      </c>
      <c r="U33" s="30" t="s">
        <v>10101</v>
      </c>
      <c r="V33" s="245" t="s">
        <v>10107</v>
      </c>
      <c r="W33" s="6" t="s">
        <v>10158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10159</v>
      </c>
      <c r="B34" s="6" t="s">
        <v>10160</v>
      </c>
      <c r="C34" s="255" t="n">
        <v>7</v>
      </c>
      <c r="D34" s="207"/>
      <c r="E34" s="207"/>
      <c r="F34" s="207" t="s">
        <v>1573</v>
      </c>
      <c r="G34" s="207" t="s">
        <v>10161</v>
      </c>
      <c r="H34" s="30" t="s">
        <v>10096</v>
      </c>
      <c r="I34" s="30" t="s">
        <v>10162</v>
      </c>
      <c r="J34" s="6" t="s">
        <v>10163</v>
      </c>
      <c r="K34" s="207" t="n">
        <v>1</v>
      </c>
      <c r="L34" s="207" t="s">
        <v>8373</v>
      </c>
      <c r="M34" s="6" t="s">
        <v>10099</v>
      </c>
      <c r="N34" s="207" t="s">
        <v>8375</v>
      </c>
      <c r="O34" s="30" t="s">
        <v>8376</v>
      </c>
      <c r="P34" s="30" t="s">
        <v>809</v>
      </c>
      <c r="Q34" s="30" t="s">
        <v>10146</v>
      </c>
      <c r="R34" s="30" t="s">
        <v>809</v>
      </c>
      <c r="S34" s="30" t="s">
        <v>809</v>
      </c>
      <c r="T34" s="30" t="s">
        <v>809</v>
      </c>
      <c r="U34" s="30" t="s">
        <v>10101</v>
      </c>
      <c r="V34" s="245" t="s">
        <v>10107</v>
      </c>
      <c r="W34" s="6" t="s">
        <v>10164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10165</v>
      </c>
      <c r="B35" s="6" t="s">
        <v>10166</v>
      </c>
      <c r="C35" s="255" t="n">
        <v>4</v>
      </c>
      <c r="D35" s="207"/>
      <c r="E35" s="207"/>
      <c r="F35" s="207" t="s">
        <v>1573</v>
      </c>
      <c r="G35" s="207" t="s">
        <v>10167</v>
      </c>
      <c r="H35" s="30" t="s">
        <v>9815</v>
      </c>
      <c r="I35" s="30" t="s">
        <v>10033</v>
      </c>
      <c r="J35" s="6" t="s">
        <v>10168</v>
      </c>
      <c r="K35" s="207" t="n">
        <v>2</v>
      </c>
      <c r="L35" s="207" t="s">
        <v>8373</v>
      </c>
      <c r="M35" s="6" t="s">
        <v>10169</v>
      </c>
      <c r="N35" s="207" t="s">
        <v>8386</v>
      </c>
      <c r="O35" s="30" t="s">
        <v>8376</v>
      </c>
      <c r="P35" s="30" t="s">
        <v>809</v>
      </c>
      <c r="Q35" s="30" t="s">
        <v>10170</v>
      </c>
      <c r="R35" s="30" t="s">
        <v>809</v>
      </c>
      <c r="S35" s="30" t="s">
        <v>809</v>
      </c>
      <c r="T35" s="30" t="s">
        <v>809</v>
      </c>
      <c r="U35" s="30" t="s">
        <v>10101</v>
      </c>
      <c r="V35" s="245" t="s">
        <v>10171</v>
      </c>
      <c r="W35" s="6" t="s">
        <v>10172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10173</v>
      </c>
      <c r="B36" s="6" t="s">
        <v>10174</v>
      </c>
      <c r="C36" s="255" t="n">
        <v>300000</v>
      </c>
      <c r="D36" s="207"/>
      <c r="E36" s="207"/>
      <c r="F36" s="207" t="s">
        <v>10175</v>
      </c>
      <c r="G36" s="207" t="s">
        <v>10176</v>
      </c>
      <c r="H36" s="30" t="s">
        <v>1510</v>
      </c>
      <c r="I36" s="30" t="s">
        <v>10177</v>
      </c>
      <c r="J36" s="6" t="s">
        <v>10178</v>
      </c>
      <c r="K36" s="207" t="n">
        <v>1</v>
      </c>
      <c r="L36" s="207" t="s">
        <v>8373</v>
      </c>
      <c r="M36" s="6" t="s">
        <v>10179</v>
      </c>
      <c r="N36" s="207" t="s">
        <v>8375</v>
      </c>
      <c r="O36" s="30" t="s">
        <v>8376</v>
      </c>
      <c r="P36" s="30" t="s">
        <v>809</v>
      </c>
      <c r="Q36" s="30" t="s">
        <v>10180</v>
      </c>
      <c r="R36" s="30" t="s">
        <v>809</v>
      </c>
      <c r="S36" s="30" t="s">
        <v>809</v>
      </c>
      <c r="T36" s="30" t="s">
        <v>809</v>
      </c>
      <c r="U36" s="30" t="s">
        <v>10101</v>
      </c>
      <c r="V36" s="245" t="s">
        <v>10181</v>
      </c>
      <c r="W36" s="6" t="s">
        <v>10182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10183</v>
      </c>
      <c r="B37" s="6" t="s">
        <v>10184</v>
      </c>
      <c r="C37" s="255" t="n">
        <v>500</v>
      </c>
      <c r="D37" s="207"/>
      <c r="E37" s="207"/>
      <c r="F37" s="207" t="s">
        <v>10175</v>
      </c>
      <c r="G37" s="207" t="s">
        <v>10185</v>
      </c>
      <c r="H37" s="30" t="s">
        <v>1510</v>
      </c>
      <c r="I37" s="30" t="s">
        <v>10186</v>
      </c>
      <c r="J37" s="6" t="s">
        <v>10187</v>
      </c>
      <c r="K37" s="207" t="n">
        <v>1</v>
      </c>
      <c r="L37" s="207" t="s">
        <v>8373</v>
      </c>
      <c r="M37" s="6" t="s">
        <v>10179</v>
      </c>
      <c r="N37" s="207" t="s">
        <v>8375</v>
      </c>
      <c r="O37" s="30" t="s">
        <v>8376</v>
      </c>
      <c r="P37" s="30" t="s">
        <v>809</v>
      </c>
      <c r="Q37" s="30" t="s">
        <v>10180</v>
      </c>
      <c r="R37" s="30" t="s">
        <v>809</v>
      </c>
      <c r="S37" s="30" t="s">
        <v>809</v>
      </c>
      <c r="T37" s="30" t="s">
        <v>809</v>
      </c>
      <c r="U37" s="30" t="s">
        <v>10101</v>
      </c>
      <c r="V37" s="245" t="s">
        <v>10188</v>
      </c>
      <c r="W37" s="6" t="s">
        <v>10189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10190</v>
      </c>
      <c r="B38" s="6" t="s">
        <v>10191</v>
      </c>
      <c r="C38" s="255" t="n">
        <v>3.8</v>
      </c>
      <c r="D38" s="207"/>
      <c r="E38" s="207"/>
      <c r="F38" s="30" t="s">
        <v>1089</v>
      </c>
      <c r="G38" s="30" t="s">
        <v>10192</v>
      </c>
      <c r="H38" s="30" t="s">
        <v>1510</v>
      </c>
      <c r="I38" s="30" t="s">
        <v>9427</v>
      </c>
      <c r="J38" s="6" t="s">
        <v>10193</v>
      </c>
      <c r="K38" s="207" t="n">
        <v>2</v>
      </c>
      <c r="L38" s="207" t="s">
        <v>8373</v>
      </c>
      <c r="M38" s="6" t="s">
        <v>10194</v>
      </c>
      <c r="N38" s="207" t="s">
        <v>8386</v>
      </c>
      <c r="O38" s="30" t="s">
        <v>8376</v>
      </c>
      <c r="P38" s="30" t="s">
        <v>809</v>
      </c>
      <c r="Q38" s="30" t="s">
        <v>10195</v>
      </c>
      <c r="R38" s="30" t="s">
        <v>809</v>
      </c>
      <c r="S38" s="30" t="s">
        <v>809</v>
      </c>
      <c r="T38" s="30" t="s">
        <v>809</v>
      </c>
      <c r="U38" s="30" t="s">
        <v>10101</v>
      </c>
      <c r="V38" s="245" t="s">
        <v>10196</v>
      </c>
      <c r="W38" s="6" t="s">
        <v>10197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10198</v>
      </c>
      <c r="B39" s="6" t="s">
        <v>10199</v>
      </c>
      <c r="C39" s="255" t="n">
        <v>0.789</v>
      </c>
      <c r="D39" s="207"/>
      <c r="E39" s="207"/>
      <c r="F39" s="30" t="s">
        <v>1089</v>
      </c>
      <c r="G39" s="30" t="s">
        <v>10200</v>
      </c>
      <c r="H39" s="30" t="s">
        <v>1510</v>
      </c>
      <c r="I39" s="30" t="s">
        <v>9427</v>
      </c>
      <c r="J39" s="6" t="s">
        <v>10193</v>
      </c>
      <c r="K39" s="207" t="n">
        <v>2</v>
      </c>
      <c r="L39" s="207" t="s">
        <v>8373</v>
      </c>
      <c r="M39" s="6" t="s">
        <v>10194</v>
      </c>
      <c r="N39" s="207" t="s">
        <v>8386</v>
      </c>
      <c r="O39" s="30" t="s">
        <v>8376</v>
      </c>
      <c r="P39" s="30" t="s">
        <v>809</v>
      </c>
      <c r="Q39" s="30" t="s">
        <v>10195</v>
      </c>
      <c r="R39" s="30" t="s">
        <v>809</v>
      </c>
      <c r="S39" s="30" t="s">
        <v>809</v>
      </c>
      <c r="T39" s="30" t="s">
        <v>809</v>
      </c>
      <c r="U39" s="30" t="s">
        <v>10101</v>
      </c>
      <c r="V39" s="245" t="s">
        <v>10201</v>
      </c>
      <c r="W39" s="6" t="s">
        <v>10197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10202</v>
      </c>
      <c r="B40" s="6" t="s">
        <v>10203</v>
      </c>
      <c r="C40" s="255" t="n">
        <v>2.16</v>
      </c>
      <c r="D40" s="207"/>
      <c r="E40" s="207"/>
      <c r="F40" s="30" t="s">
        <v>1089</v>
      </c>
      <c r="G40" s="30" t="s">
        <v>10204</v>
      </c>
      <c r="H40" s="30" t="s">
        <v>1510</v>
      </c>
      <c r="I40" s="30" t="s">
        <v>9427</v>
      </c>
      <c r="J40" s="6" t="s">
        <v>10193</v>
      </c>
      <c r="K40" s="207" t="n">
        <v>2</v>
      </c>
      <c r="L40" s="207" t="s">
        <v>8373</v>
      </c>
      <c r="M40" s="6" t="s">
        <v>10194</v>
      </c>
      <c r="N40" s="207" t="s">
        <v>8386</v>
      </c>
      <c r="O40" s="30" t="s">
        <v>8376</v>
      </c>
      <c r="P40" s="30" t="s">
        <v>809</v>
      </c>
      <c r="Q40" s="30" t="s">
        <v>10195</v>
      </c>
      <c r="R40" s="30" t="s">
        <v>809</v>
      </c>
      <c r="S40" s="30" t="s">
        <v>809</v>
      </c>
      <c r="T40" s="30" t="s">
        <v>809</v>
      </c>
      <c r="U40" s="30" t="s">
        <v>10101</v>
      </c>
      <c r="V40" s="245" t="s">
        <v>10201</v>
      </c>
      <c r="W40" s="6" t="s">
        <v>10197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10205</v>
      </c>
      <c r="B41" s="6" t="s">
        <v>10206</v>
      </c>
      <c r="C41" s="255" t="n">
        <v>0.351</v>
      </c>
      <c r="D41" s="207"/>
      <c r="E41" s="207"/>
      <c r="F41" s="30" t="s">
        <v>1089</v>
      </c>
      <c r="G41" s="30" t="s">
        <v>10207</v>
      </c>
      <c r="H41" s="30" t="s">
        <v>1510</v>
      </c>
      <c r="I41" s="30" t="s">
        <v>9427</v>
      </c>
      <c r="J41" s="6" t="s">
        <v>10208</v>
      </c>
      <c r="K41" s="207" t="n">
        <v>2</v>
      </c>
      <c r="L41" s="207" t="s">
        <v>8373</v>
      </c>
      <c r="M41" s="6" t="s">
        <v>10194</v>
      </c>
      <c r="N41" s="207" t="s">
        <v>8386</v>
      </c>
      <c r="O41" s="30" t="s">
        <v>8376</v>
      </c>
      <c r="P41" s="30" t="s">
        <v>809</v>
      </c>
      <c r="Q41" s="30" t="s">
        <v>10195</v>
      </c>
      <c r="R41" s="30" t="s">
        <v>809</v>
      </c>
      <c r="S41" s="30" t="s">
        <v>809</v>
      </c>
      <c r="T41" s="30" t="s">
        <v>809</v>
      </c>
      <c r="U41" s="30" t="s">
        <v>10101</v>
      </c>
      <c r="V41" s="245" t="s">
        <v>10209</v>
      </c>
      <c r="W41" s="6" t="s">
        <v>10197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10210</v>
      </c>
      <c r="B42" s="6" t="s">
        <v>10211</v>
      </c>
      <c r="C42" s="255" t="n">
        <v>0.75</v>
      </c>
      <c r="D42" s="207"/>
      <c r="E42" s="207"/>
      <c r="F42" s="30" t="s">
        <v>127</v>
      </c>
      <c r="G42" s="207" t="s">
        <v>10212</v>
      </c>
      <c r="H42" s="30" t="s">
        <v>1499</v>
      </c>
      <c r="I42" s="30" t="s">
        <v>10213</v>
      </c>
      <c r="J42" s="6" t="s">
        <v>10214</v>
      </c>
      <c r="K42" s="207" t="n">
        <v>2</v>
      </c>
      <c r="L42" s="207" t="s">
        <v>8373</v>
      </c>
      <c r="M42" s="6" t="s">
        <v>10215</v>
      </c>
      <c r="N42" s="207" t="s">
        <v>8386</v>
      </c>
      <c r="O42" s="30" t="s">
        <v>8376</v>
      </c>
      <c r="P42" s="30" t="s">
        <v>809</v>
      </c>
      <c r="Q42" s="30" t="s">
        <v>10216</v>
      </c>
      <c r="R42" s="30" t="s">
        <v>809</v>
      </c>
      <c r="S42" s="30" t="s">
        <v>809</v>
      </c>
      <c r="T42" s="30" t="s">
        <v>809</v>
      </c>
      <c r="U42" s="30" t="s">
        <v>10101</v>
      </c>
      <c r="V42" s="245" t="s">
        <v>10107</v>
      </c>
      <c r="W42" s="6" t="s">
        <v>10217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6824</v>
      </c>
      <c r="B43" s="6" t="s">
        <v>10211</v>
      </c>
      <c r="C43" s="255" t="n">
        <v>0.7</v>
      </c>
      <c r="D43" s="207"/>
      <c r="E43" s="207"/>
      <c r="F43" s="30" t="s">
        <v>127</v>
      </c>
      <c r="G43" s="30" t="s">
        <v>10218</v>
      </c>
      <c r="H43" s="30" t="s">
        <v>1499</v>
      </c>
      <c r="I43" s="30" t="s">
        <v>10219</v>
      </c>
      <c r="J43" s="6" t="s">
        <v>10220</v>
      </c>
      <c r="K43" s="207" t="n">
        <v>2</v>
      </c>
      <c r="L43" s="207" t="s">
        <v>8373</v>
      </c>
      <c r="M43" s="6" t="s">
        <v>10127</v>
      </c>
      <c r="N43" s="207" t="s">
        <v>8386</v>
      </c>
      <c r="O43" s="30" t="s">
        <v>8376</v>
      </c>
      <c r="P43" s="30" t="s">
        <v>809</v>
      </c>
      <c r="Q43" s="30" t="s">
        <v>10216</v>
      </c>
      <c r="R43" s="30" t="s">
        <v>809</v>
      </c>
      <c r="S43" s="30" t="s">
        <v>809</v>
      </c>
      <c r="T43" s="30" t="s">
        <v>809</v>
      </c>
      <c r="U43" s="30" t="s">
        <v>10101</v>
      </c>
      <c r="V43" s="6" t="s">
        <v>10221</v>
      </c>
      <c r="W43" s="6" t="s">
        <v>10222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10223</v>
      </c>
      <c r="B44" s="6" t="s">
        <v>10224</v>
      </c>
      <c r="C44" s="255" t="n">
        <v>2.7</v>
      </c>
      <c r="D44" s="207"/>
      <c r="E44" s="207"/>
      <c r="F44" s="30" t="s">
        <v>1089</v>
      </c>
      <c r="G44" s="30" t="s">
        <v>10225</v>
      </c>
      <c r="H44" s="30" t="s">
        <v>1499</v>
      </c>
      <c r="I44" s="30" t="s">
        <v>10226</v>
      </c>
      <c r="J44" s="6" t="s">
        <v>10227</v>
      </c>
      <c r="K44" s="207" t="n">
        <v>2</v>
      </c>
      <c r="L44" s="207" t="s">
        <v>8373</v>
      </c>
      <c r="M44" s="6" t="s">
        <v>10228</v>
      </c>
      <c r="N44" s="207" t="s">
        <v>8386</v>
      </c>
      <c r="O44" s="30" t="s">
        <v>8376</v>
      </c>
      <c r="P44" s="30" t="s">
        <v>809</v>
      </c>
      <c r="Q44" s="30" t="s">
        <v>10216</v>
      </c>
      <c r="R44" s="30" t="s">
        <v>809</v>
      </c>
      <c r="S44" s="30" t="s">
        <v>809</v>
      </c>
      <c r="T44" s="30" t="s">
        <v>809</v>
      </c>
      <c r="U44" s="30" t="s">
        <v>10101</v>
      </c>
      <c r="V44" s="245" t="s">
        <v>10107</v>
      </c>
      <c r="W44" s="6" t="s">
        <v>10229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10230</v>
      </c>
      <c r="B45" s="6" t="s">
        <v>10231</v>
      </c>
      <c r="C45" s="255" t="n">
        <v>8</v>
      </c>
      <c r="D45" s="207"/>
      <c r="E45" s="207"/>
      <c r="F45" s="30" t="s">
        <v>1089</v>
      </c>
      <c r="G45" s="30" t="s">
        <v>10232</v>
      </c>
      <c r="H45" s="30" t="s">
        <v>1499</v>
      </c>
      <c r="I45" s="30" t="s">
        <v>10233</v>
      </c>
      <c r="J45" s="6" t="s">
        <v>10234</v>
      </c>
      <c r="K45" s="207" t="n">
        <v>2</v>
      </c>
      <c r="L45" s="207" t="s">
        <v>8373</v>
      </c>
      <c r="M45" s="6" t="s">
        <v>10235</v>
      </c>
      <c r="N45" s="207" t="s">
        <v>8386</v>
      </c>
      <c r="O45" s="30" t="s">
        <v>8376</v>
      </c>
      <c r="P45" s="30" t="s">
        <v>809</v>
      </c>
      <c r="Q45" s="30" t="s">
        <v>10216</v>
      </c>
      <c r="R45" s="30" t="s">
        <v>809</v>
      </c>
      <c r="S45" s="30" t="s">
        <v>809</v>
      </c>
      <c r="T45" s="30" t="s">
        <v>809</v>
      </c>
      <c r="U45" s="30" t="s">
        <v>10101</v>
      </c>
      <c r="V45" s="6" t="s">
        <v>10236</v>
      </c>
      <c r="W45" s="6" t="s">
        <v>10237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6899</v>
      </c>
      <c r="B46" s="6" t="s">
        <v>10238</v>
      </c>
      <c r="C46" s="255" t="n">
        <v>6.7</v>
      </c>
      <c r="D46" s="207"/>
      <c r="E46" s="207"/>
      <c r="F46" s="30" t="s">
        <v>1089</v>
      </c>
      <c r="G46" s="30" t="s">
        <v>10239</v>
      </c>
      <c r="H46" s="30" t="s">
        <v>1499</v>
      </c>
      <c r="I46" s="30" t="s">
        <v>10240</v>
      </c>
      <c r="J46" s="6" t="s">
        <v>10241</v>
      </c>
      <c r="K46" s="207" t="n">
        <v>2</v>
      </c>
      <c r="L46" s="207" t="s">
        <v>8373</v>
      </c>
      <c r="M46" s="6" t="s">
        <v>10127</v>
      </c>
      <c r="N46" s="207" t="s">
        <v>8386</v>
      </c>
      <c r="O46" s="30" t="s">
        <v>8376</v>
      </c>
      <c r="P46" s="30" t="s">
        <v>809</v>
      </c>
      <c r="Q46" s="30" t="s">
        <v>10242</v>
      </c>
      <c r="R46" s="30" t="s">
        <v>809</v>
      </c>
      <c r="S46" s="30" t="s">
        <v>809</v>
      </c>
      <c r="T46" s="30" t="s">
        <v>809</v>
      </c>
      <c r="U46" s="30" t="s">
        <v>10101</v>
      </c>
      <c r="V46" s="245" t="s">
        <v>10107</v>
      </c>
      <c r="W46" s="6" t="s">
        <v>10243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10244</v>
      </c>
      <c r="B47" s="6" t="s">
        <v>10245</v>
      </c>
      <c r="C47" s="255" t="n">
        <v>0.2</v>
      </c>
      <c r="D47" s="207"/>
      <c r="E47" s="207"/>
      <c r="F47" s="30" t="s">
        <v>127</v>
      </c>
      <c r="G47" s="30" t="s">
        <v>10246</v>
      </c>
      <c r="H47" s="30" t="s">
        <v>10247</v>
      </c>
      <c r="I47" s="30" t="s">
        <v>10248</v>
      </c>
      <c r="J47" s="6" t="s">
        <v>10249</v>
      </c>
      <c r="K47" s="207" t="n">
        <v>2</v>
      </c>
      <c r="L47" s="207" t="s">
        <v>8373</v>
      </c>
      <c r="M47" s="245" t="s">
        <v>10250</v>
      </c>
      <c r="N47" s="207" t="s">
        <v>8386</v>
      </c>
      <c r="O47" s="30" t="s">
        <v>8376</v>
      </c>
      <c r="P47" s="30" t="s">
        <v>809</v>
      </c>
      <c r="Q47" s="30" t="s">
        <v>10251</v>
      </c>
      <c r="R47" s="30" t="s">
        <v>809</v>
      </c>
      <c r="S47" s="30" t="s">
        <v>809</v>
      </c>
      <c r="T47" s="30" t="s">
        <v>809</v>
      </c>
      <c r="U47" s="30" t="s">
        <v>10101</v>
      </c>
      <c r="V47" s="245" t="s">
        <v>10252</v>
      </c>
      <c r="W47" s="6" t="s">
        <v>10253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10254</v>
      </c>
      <c r="B48" s="6" t="s">
        <v>10255</v>
      </c>
      <c r="C48" s="255" t="n">
        <v>13</v>
      </c>
      <c r="D48" s="207"/>
      <c r="E48" s="255" t="n">
        <v>30</v>
      </c>
      <c r="F48" s="30" t="s">
        <v>1635</v>
      </c>
      <c r="G48" s="207" t="s">
        <v>10256</v>
      </c>
      <c r="H48" s="30" t="s">
        <v>10257</v>
      </c>
      <c r="I48" s="30" t="s">
        <v>7700</v>
      </c>
      <c r="J48" s="6" t="s">
        <v>10258</v>
      </c>
      <c r="K48" s="207" t="n">
        <v>1</v>
      </c>
      <c r="L48" s="207" t="s">
        <v>8373</v>
      </c>
      <c r="M48" s="6" t="s">
        <v>10259</v>
      </c>
      <c r="N48" s="207" t="s">
        <v>8375</v>
      </c>
      <c r="O48" s="30" t="s">
        <v>8376</v>
      </c>
      <c r="P48" s="30" t="s">
        <v>809</v>
      </c>
      <c r="Q48" s="30" t="s">
        <v>10260</v>
      </c>
      <c r="R48" s="30" t="s">
        <v>809</v>
      </c>
      <c r="S48" s="30" t="s">
        <v>809</v>
      </c>
      <c r="T48" s="30" t="s">
        <v>809</v>
      </c>
      <c r="U48" s="30" t="s">
        <v>10101</v>
      </c>
      <c r="V48" s="6" t="s">
        <v>10261</v>
      </c>
      <c r="W48" s="6" t="s">
        <v>10262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10263</v>
      </c>
      <c r="B49" s="6" t="s">
        <v>10264</v>
      </c>
      <c r="C49" s="255" t="n">
        <v>6</v>
      </c>
      <c r="D49" s="207"/>
      <c r="E49" s="207"/>
      <c r="F49" s="207" t="s">
        <v>10077</v>
      </c>
      <c r="G49" s="30" t="s">
        <v>10265</v>
      </c>
      <c r="H49" s="30" t="s">
        <v>10266</v>
      </c>
      <c r="I49" s="30" t="s">
        <v>10267</v>
      </c>
      <c r="J49" s="6" t="s">
        <v>10268</v>
      </c>
      <c r="K49" s="207" t="n">
        <v>1</v>
      </c>
      <c r="L49" s="207" t="s">
        <v>8373</v>
      </c>
      <c r="M49" s="6" t="s">
        <v>10099</v>
      </c>
      <c r="N49" s="207" t="s">
        <v>8375</v>
      </c>
      <c r="O49" s="30" t="s">
        <v>8376</v>
      </c>
      <c r="P49" s="30" t="s">
        <v>809</v>
      </c>
      <c r="Q49" s="30" t="s">
        <v>10269</v>
      </c>
      <c r="R49" s="30" t="s">
        <v>809</v>
      </c>
      <c r="S49" s="30" t="s">
        <v>809</v>
      </c>
      <c r="T49" s="30" t="s">
        <v>809</v>
      </c>
      <c r="U49" s="30" t="s">
        <v>10101</v>
      </c>
      <c r="V49" s="245" t="s">
        <v>10270</v>
      </c>
      <c r="W49" s="6" t="s">
        <v>10271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6199</v>
      </c>
      <c r="B50" s="245" t="s">
        <v>10272</v>
      </c>
      <c r="C50" s="255" t="n">
        <v>0.993</v>
      </c>
      <c r="D50" s="207"/>
      <c r="E50" s="207"/>
      <c r="F50" s="30" t="s">
        <v>127</v>
      </c>
      <c r="G50" s="30" t="s">
        <v>10273</v>
      </c>
      <c r="H50" s="30" t="s">
        <v>10274</v>
      </c>
      <c r="I50" s="30" t="s">
        <v>10275</v>
      </c>
      <c r="J50" s="6" t="s">
        <v>10276</v>
      </c>
      <c r="K50" s="207" t="n">
        <v>1</v>
      </c>
      <c r="L50" s="207" t="s">
        <v>8480</v>
      </c>
      <c r="M50" s="245" t="s">
        <v>10277</v>
      </c>
      <c r="N50" s="207" t="s">
        <v>8375</v>
      </c>
      <c r="O50" s="30" t="s">
        <v>8376</v>
      </c>
      <c r="P50" s="30" t="s">
        <v>809</v>
      </c>
      <c r="Q50" s="30" t="s">
        <v>10278</v>
      </c>
      <c r="R50" s="30" t="s">
        <v>809</v>
      </c>
      <c r="S50" s="30" t="s">
        <v>809</v>
      </c>
      <c r="T50" s="30" t="s">
        <v>809</v>
      </c>
      <c r="U50" s="30" t="s">
        <v>10101</v>
      </c>
      <c r="V50" s="6" t="s">
        <v>10279</v>
      </c>
      <c r="W50" s="6" t="s">
        <v>10280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10281</v>
      </c>
      <c r="B51" s="245" t="s">
        <v>10282</v>
      </c>
      <c r="C51" s="255" t="n">
        <v>0.9987</v>
      </c>
      <c r="D51" s="207"/>
      <c r="E51" s="207"/>
      <c r="F51" s="30" t="s">
        <v>127</v>
      </c>
      <c r="G51" s="30" t="s">
        <v>10283</v>
      </c>
      <c r="H51" s="30" t="s">
        <v>10274</v>
      </c>
      <c r="I51" s="30" t="s">
        <v>10275</v>
      </c>
      <c r="J51" s="6" t="s">
        <v>10276</v>
      </c>
      <c r="K51" s="207" t="n">
        <v>1</v>
      </c>
      <c r="L51" s="207" t="s">
        <v>8480</v>
      </c>
      <c r="M51" s="245" t="s">
        <v>10277</v>
      </c>
      <c r="N51" s="207" t="s">
        <v>8375</v>
      </c>
      <c r="O51" s="30" t="s">
        <v>8376</v>
      </c>
      <c r="P51" s="30" t="s">
        <v>809</v>
      </c>
      <c r="Q51" s="30" t="s">
        <v>10278</v>
      </c>
      <c r="R51" s="30" t="s">
        <v>809</v>
      </c>
      <c r="S51" s="30" t="s">
        <v>809</v>
      </c>
      <c r="T51" s="30" t="s">
        <v>809</v>
      </c>
      <c r="U51" s="30" t="s">
        <v>10101</v>
      </c>
      <c r="V51" s="6" t="s">
        <v>10284</v>
      </c>
      <c r="W51" s="6" t="s">
        <v>10285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10286</v>
      </c>
      <c r="B52" s="6" t="s">
        <v>10287</v>
      </c>
      <c r="C52" s="255" t="n">
        <v>0.919</v>
      </c>
      <c r="D52" s="207"/>
      <c r="E52" s="207"/>
      <c r="F52" s="30" t="s">
        <v>127</v>
      </c>
      <c r="G52" s="30" t="s">
        <v>10288</v>
      </c>
      <c r="H52" s="30" t="s">
        <v>10289</v>
      </c>
      <c r="I52" s="30" t="s">
        <v>10290</v>
      </c>
      <c r="J52" s="6" t="s">
        <v>10291</v>
      </c>
      <c r="K52" s="207" t="n">
        <v>2</v>
      </c>
      <c r="L52" s="207" t="s">
        <v>8373</v>
      </c>
      <c r="M52" s="6" t="s">
        <v>10292</v>
      </c>
      <c r="N52" s="207" t="s">
        <v>8375</v>
      </c>
      <c r="O52" s="30" t="s">
        <v>8376</v>
      </c>
      <c r="P52" s="30" t="s">
        <v>809</v>
      </c>
      <c r="Q52" s="30" t="s">
        <v>10293</v>
      </c>
      <c r="R52" s="30" t="s">
        <v>809</v>
      </c>
      <c r="S52" s="30" t="s">
        <v>809</v>
      </c>
      <c r="T52" s="30" t="s">
        <v>809</v>
      </c>
      <c r="U52" s="30" t="s">
        <v>10101</v>
      </c>
      <c r="V52" s="6" t="s">
        <v>10279</v>
      </c>
      <c r="W52" s="6" t="s">
        <v>10294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10295</v>
      </c>
      <c r="B53" s="6" t="s">
        <v>10296</v>
      </c>
      <c r="C53" s="255" t="n">
        <v>0.451</v>
      </c>
      <c r="D53" s="207"/>
      <c r="E53" s="207"/>
      <c r="F53" s="30" t="s">
        <v>1871</v>
      </c>
      <c r="G53" s="207" t="s">
        <v>10297</v>
      </c>
      <c r="H53" s="30" t="s">
        <v>10096</v>
      </c>
      <c r="I53" s="30" t="s">
        <v>10298</v>
      </c>
      <c r="J53" s="6" t="s">
        <v>10299</v>
      </c>
      <c r="K53" s="207" t="n">
        <v>1</v>
      </c>
      <c r="L53" s="207" t="s">
        <v>8373</v>
      </c>
      <c r="M53" s="6" t="s">
        <v>10300</v>
      </c>
      <c r="N53" s="207" t="s">
        <v>8375</v>
      </c>
      <c r="O53" s="30" t="s">
        <v>8376</v>
      </c>
      <c r="P53" s="30" t="s">
        <v>809</v>
      </c>
      <c r="Q53" s="30" t="s">
        <v>10301</v>
      </c>
      <c r="R53" s="30" t="s">
        <v>809</v>
      </c>
      <c r="S53" s="30" t="s">
        <v>809</v>
      </c>
      <c r="T53" s="30" t="s">
        <v>809</v>
      </c>
      <c r="U53" s="30" t="s">
        <v>10302</v>
      </c>
      <c r="V53" s="245" t="s">
        <v>10107</v>
      </c>
      <c r="W53" s="6" t="s">
        <v>10303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10304</v>
      </c>
      <c r="B54" s="6" t="s">
        <v>10296</v>
      </c>
      <c r="C54" s="255" t="n">
        <v>2.627</v>
      </c>
      <c r="D54" s="207"/>
      <c r="E54" s="207"/>
      <c r="F54" s="30" t="s">
        <v>1871</v>
      </c>
      <c r="G54" s="207" t="s">
        <v>10305</v>
      </c>
      <c r="H54" s="30" t="s">
        <v>10096</v>
      </c>
      <c r="I54" s="30" t="s">
        <v>10298</v>
      </c>
      <c r="J54" s="6" t="s">
        <v>10299</v>
      </c>
      <c r="K54" s="207" t="n">
        <v>1</v>
      </c>
      <c r="L54" s="207" t="s">
        <v>8373</v>
      </c>
      <c r="M54" s="6" t="s">
        <v>10300</v>
      </c>
      <c r="N54" s="207" t="s">
        <v>8375</v>
      </c>
      <c r="O54" s="30" t="s">
        <v>8376</v>
      </c>
      <c r="P54" s="30" t="s">
        <v>809</v>
      </c>
      <c r="Q54" s="30" t="s">
        <v>10301</v>
      </c>
      <c r="R54" s="30" t="s">
        <v>809</v>
      </c>
      <c r="S54" s="30" t="s">
        <v>809</v>
      </c>
      <c r="T54" s="30" t="s">
        <v>809</v>
      </c>
      <c r="U54" s="30" t="s">
        <v>10302</v>
      </c>
      <c r="V54" s="245" t="s">
        <v>10107</v>
      </c>
      <c r="W54" s="6" t="s">
        <v>10306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6844</v>
      </c>
      <c r="B55" s="6" t="s">
        <v>10307</v>
      </c>
      <c r="C55" s="255" t="n">
        <v>0.07</v>
      </c>
      <c r="D55" s="255" t="n">
        <v>0.02</v>
      </c>
      <c r="E55" s="255" t="n">
        <v>0.07</v>
      </c>
      <c r="F55" s="30" t="s">
        <v>127</v>
      </c>
      <c r="G55" s="207" t="s">
        <v>10308</v>
      </c>
      <c r="H55" s="30" t="s">
        <v>10096</v>
      </c>
      <c r="I55" s="30" t="s">
        <v>10298</v>
      </c>
      <c r="J55" s="6" t="s">
        <v>10309</v>
      </c>
      <c r="K55" s="207" t="n">
        <v>1</v>
      </c>
      <c r="L55" s="207" t="s">
        <v>8373</v>
      </c>
      <c r="M55" s="6" t="s">
        <v>10099</v>
      </c>
      <c r="N55" s="207" t="s">
        <v>8375</v>
      </c>
      <c r="O55" s="30" t="s">
        <v>8376</v>
      </c>
      <c r="P55" s="30" t="s">
        <v>809</v>
      </c>
      <c r="Q55" s="30" t="s">
        <v>10310</v>
      </c>
      <c r="R55" s="30" t="s">
        <v>809</v>
      </c>
      <c r="S55" s="30" t="s">
        <v>809</v>
      </c>
      <c r="T55" s="30" t="s">
        <v>809</v>
      </c>
      <c r="U55" s="30" t="s">
        <v>10302</v>
      </c>
      <c r="V55" s="6" t="s">
        <v>10311</v>
      </c>
      <c r="W55" s="6" t="s">
        <v>10312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10313</v>
      </c>
      <c r="B56" s="6" t="s">
        <v>10314</v>
      </c>
      <c r="C56" s="255" t="n">
        <v>69.5</v>
      </c>
      <c r="D56" s="207"/>
      <c r="E56" s="207"/>
      <c r="F56" s="30" t="s">
        <v>333</v>
      </c>
      <c r="G56" s="30" t="s">
        <v>10315</v>
      </c>
      <c r="H56" s="30" t="s">
        <v>10316</v>
      </c>
      <c r="I56" s="30" t="s">
        <v>10317</v>
      </c>
      <c r="J56" s="6" t="s">
        <v>10318</v>
      </c>
      <c r="K56" s="207" t="n">
        <v>1</v>
      </c>
      <c r="L56" s="207" t="s">
        <v>8480</v>
      </c>
      <c r="M56" s="6" t="s">
        <v>10319</v>
      </c>
      <c r="N56" s="207" t="s">
        <v>8375</v>
      </c>
      <c r="O56" s="30" t="s">
        <v>8376</v>
      </c>
      <c r="P56" s="30" t="s">
        <v>809</v>
      </c>
      <c r="Q56" s="30" t="s">
        <v>10320</v>
      </c>
      <c r="R56" s="30" t="s">
        <v>809</v>
      </c>
      <c r="S56" s="30" t="s">
        <v>809</v>
      </c>
      <c r="T56" s="30" t="s">
        <v>809</v>
      </c>
      <c r="U56" s="30" t="s">
        <v>10302</v>
      </c>
      <c r="V56" s="245" t="s">
        <v>10321</v>
      </c>
      <c r="W56" s="6" t="s">
        <v>10322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10323</v>
      </c>
      <c r="B57" s="6" t="s">
        <v>10324</v>
      </c>
      <c r="C57" s="255" t="n">
        <v>295.6</v>
      </c>
      <c r="D57" s="207"/>
      <c r="E57" s="207"/>
      <c r="F57" s="30" t="s">
        <v>333</v>
      </c>
      <c r="G57" s="30" t="s">
        <v>10325</v>
      </c>
      <c r="H57" s="30" t="s">
        <v>10326</v>
      </c>
      <c r="I57" s="30" t="s">
        <v>10327</v>
      </c>
      <c r="J57" s="6" t="s">
        <v>10328</v>
      </c>
      <c r="K57" s="207" t="n">
        <v>1</v>
      </c>
      <c r="L57" s="207" t="s">
        <v>8480</v>
      </c>
      <c r="M57" s="6" t="s">
        <v>10329</v>
      </c>
      <c r="N57" s="207" t="s">
        <v>8375</v>
      </c>
      <c r="O57" s="30" t="s">
        <v>8376</v>
      </c>
      <c r="P57" s="30" t="s">
        <v>809</v>
      </c>
      <c r="Q57" s="30" t="s">
        <v>10330</v>
      </c>
      <c r="R57" s="30" t="s">
        <v>809</v>
      </c>
      <c r="S57" s="30" t="s">
        <v>809</v>
      </c>
      <c r="T57" s="30" t="s">
        <v>809</v>
      </c>
      <c r="U57" s="30" t="s">
        <v>10302</v>
      </c>
      <c r="V57" s="245" t="s">
        <v>10331</v>
      </c>
      <c r="W57" s="6" t="s">
        <v>10332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10333</v>
      </c>
      <c r="B58" s="245" t="s">
        <v>10334</v>
      </c>
      <c r="C58" s="255" t="n">
        <v>0.07</v>
      </c>
      <c r="D58" s="207"/>
      <c r="E58" s="255" t="n">
        <v>0.24</v>
      </c>
      <c r="F58" s="30" t="s">
        <v>127</v>
      </c>
      <c r="G58" s="30" t="s">
        <v>10335</v>
      </c>
      <c r="H58" s="30" t="s">
        <v>10096</v>
      </c>
      <c r="I58" s="30" t="s">
        <v>10336</v>
      </c>
      <c r="J58" s="6" t="s">
        <v>10337</v>
      </c>
      <c r="K58" s="207" t="n">
        <v>2</v>
      </c>
      <c r="L58" s="207" t="s">
        <v>8373</v>
      </c>
      <c r="M58" s="6" t="s">
        <v>10338</v>
      </c>
      <c r="N58" s="207" t="s">
        <v>10339</v>
      </c>
      <c r="O58" s="30" t="s">
        <v>8376</v>
      </c>
      <c r="P58" s="30" t="s">
        <v>809</v>
      </c>
      <c r="Q58" s="30" t="s">
        <v>10340</v>
      </c>
      <c r="R58" s="30" t="s">
        <v>809</v>
      </c>
      <c r="S58" s="30" t="s">
        <v>809</v>
      </c>
      <c r="T58" s="30" t="s">
        <v>809</v>
      </c>
      <c r="U58" s="30" t="s">
        <v>10302</v>
      </c>
      <c r="V58" s="245" t="s">
        <v>10341</v>
      </c>
      <c r="W58" s="6" t="s">
        <v>10342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10343</v>
      </c>
      <c r="B59" s="6" t="s">
        <v>10344</v>
      </c>
      <c r="C59" s="255" t="n">
        <v>27000</v>
      </c>
      <c r="D59" s="207"/>
      <c r="E59" s="255" t="n">
        <v>400000</v>
      </c>
      <c r="F59" s="30" t="s">
        <v>333</v>
      </c>
      <c r="G59" s="207" t="s">
        <v>10345</v>
      </c>
      <c r="H59" s="30" t="s">
        <v>10096</v>
      </c>
      <c r="I59" s="30" t="s">
        <v>10346</v>
      </c>
      <c r="J59" s="6" t="s">
        <v>10347</v>
      </c>
      <c r="K59" s="207" t="n">
        <v>1</v>
      </c>
      <c r="L59" s="207" t="s">
        <v>8373</v>
      </c>
      <c r="M59" s="6" t="s">
        <v>10099</v>
      </c>
      <c r="N59" s="207" t="s">
        <v>8375</v>
      </c>
      <c r="O59" s="30" t="s">
        <v>8376</v>
      </c>
      <c r="P59" s="30" t="s">
        <v>809</v>
      </c>
      <c r="Q59" s="30" t="s">
        <v>10348</v>
      </c>
      <c r="R59" s="30" t="s">
        <v>809</v>
      </c>
      <c r="S59" s="30" t="s">
        <v>809</v>
      </c>
      <c r="T59" s="30" t="s">
        <v>809</v>
      </c>
      <c r="U59" s="30" t="s">
        <v>10302</v>
      </c>
      <c r="V59" s="245" t="s">
        <v>10349</v>
      </c>
      <c r="W59" s="6" t="s">
        <v>10350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10351</v>
      </c>
      <c r="B60" s="6" t="s">
        <v>10352</v>
      </c>
      <c r="C60" s="255" t="n">
        <v>1</v>
      </c>
      <c r="D60" s="207"/>
      <c r="E60" s="207"/>
      <c r="F60" s="30" t="s">
        <v>10353</v>
      </c>
      <c r="G60" s="207" t="s">
        <v>10354</v>
      </c>
      <c r="H60" s="30" t="s">
        <v>10096</v>
      </c>
      <c r="I60" s="30" t="s">
        <v>10355</v>
      </c>
      <c r="J60" s="6" t="s">
        <v>10356</v>
      </c>
      <c r="K60" s="207" t="n">
        <v>2</v>
      </c>
      <c r="L60" s="207" t="s">
        <v>8373</v>
      </c>
      <c r="M60" s="6" t="s">
        <v>10357</v>
      </c>
      <c r="N60" s="207" t="s">
        <v>8386</v>
      </c>
      <c r="O60" s="30" t="s">
        <v>8376</v>
      </c>
      <c r="P60" s="30" t="s">
        <v>809</v>
      </c>
      <c r="Q60" s="30" t="s">
        <v>10358</v>
      </c>
      <c r="R60" s="30" t="s">
        <v>809</v>
      </c>
      <c r="S60" s="30" t="s">
        <v>809</v>
      </c>
      <c r="T60" s="30" t="s">
        <v>809</v>
      </c>
      <c r="U60" s="30" t="s">
        <v>10302</v>
      </c>
      <c r="V60" s="245" t="s">
        <v>10359</v>
      </c>
      <c r="W60" s="6" t="s">
        <v>10360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10361</v>
      </c>
      <c r="B61" s="6" t="s">
        <v>10362</v>
      </c>
      <c r="C61" s="255" t="n">
        <v>0.7</v>
      </c>
      <c r="D61" s="207"/>
      <c r="E61" s="207"/>
      <c r="F61" s="30" t="s">
        <v>10363</v>
      </c>
      <c r="G61" s="30" t="s">
        <v>10364</v>
      </c>
      <c r="H61" s="30" t="s">
        <v>10096</v>
      </c>
      <c r="I61" s="30" t="s">
        <v>10365</v>
      </c>
      <c r="J61" s="6" t="s">
        <v>10366</v>
      </c>
      <c r="K61" s="207" t="n">
        <v>2</v>
      </c>
      <c r="L61" s="207" t="s">
        <v>8373</v>
      </c>
      <c r="M61" s="6" t="s">
        <v>10357</v>
      </c>
      <c r="N61" s="207" t="s">
        <v>8386</v>
      </c>
      <c r="O61" s="30" t="s">
        <v>8376</v>
      </c>
      <c r="P61" s="30" t="s">
        <v>809</v>
      </c>
      <c r="Q61" s="30" t="s">
        <v>10367</v>
      </c>
      <c r="R61" s="30" t="s">
        <v>809</v>
      </c>
      <c r="S61" s="30" t="s">
        <v>809</v>
      </c>
      <c r="T61" s="30" t="s">
        <v>809</v>
      </c>
      <c r="U61" s="30" t="s">
        <v>10302</v>
      </c>
      <c r="V61" s="245" t="s">
        <v>10368</v>
      </c>
      <c r="W61" s="6" t="s">
        <v>10369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10370</v>
      </c>
      <c r="B62" s="6" t="s">
        <v>10371</v>
      </c>
      <c r="C62" s="255" t="n">
        <v>100</v>
      </c>
      <c r="D62" s="207"/>
      <c r="E62" s="207"/>
      <c r="F62" s="30" t="s">
        <v>10372</v>
      </c>
      <c r="G62" s="30" t="s">
        <v>10373</v>
      </c>
      <c r="H62" s="30" t="s">
        <v>1499</v>
      </c>
      <c r="I62" s="30" t="s">
        <v>9008</v>
      </c>
      <c r="J62" s="6" t="s">
        <v>10374</v>
      </c>
      <c r="K62" s="207" t="n">
        <v>2</v>
      </c>
      <c r="L62" s="207" t="s">
        <v>8373</v>
      </c>
      <c r="M62" s="6" t="s">
        <v>10357</v>
      </c>
      <c r="N62" s="207" t="s">
        <v>8386</v>
      </c>
      <c r="O62" s="30" t="s">
        <v>8376</v>
      </c>
      <c r="P62" s="30" t="s">
        <v>809</v>
      </c>
      <c r="Q62" s="30" t="s">
        <v>10375</v>
      </c>
      <c r="R62" s="30" t="s">
        <v>809</v>
      </c>
      <c r="S62" s="30" t="s">
        <v>809</v>
      </c>
      <c r="T62" s="30" t="s">
        <v>809</v>
      </c>
      <c r="U62" s="30" t="s">
        <v>10302</v>
      </c>
      <c r="V62" s="245" t="s">
        <v>10376</v>
      </c>
      <c r="W62" s="6" t="s">
        <v>10377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10378</v>
      </c>
      <c r="B63" s="245" t="s">
        <v>10379</v>
      </c>
      <c r="C63" s="255" t="n">
        <v>0.35</v>
      </c>
      <c r="D63" s="207"/>
      <c r="E63" s="207"/>
      <c r="F63" s="30" t="s">
        <v>127</v>
      </c>
      <c r="G63" s="30" t="s">
        <v>10380</v>
      </c>
      <c r="H63" s="30" t="s">
        <v>10381</v>
      </c>
      <c r="I63" s="30" t="s">
        <v>10382</v>
      </c>
      <c r="J63" s="6" t="s">
        <v>10383</v>
      </c>
      <c r="K63" s="207" t="n">
        <v>1</v>
      </c>
      <c r="L63" s="207" t="s">
        <v>8480</v>
      </c>
      <c r="M63" s="6" t="s">
        <v>10384</v>
      </c>
      <c r="N63" s="207" t="s">
        <v>8375</v>
      </c>
      <c r="O63" s="30" t="s">
        <v>8376</v>
      </c>
      <c r="P63" s="30" t="s">
        <v>809</v>
      </c>
      <c r="Q63" s="30" t="s">
        <v>10385</v>
      </c>
      <c r="R63" s="30" t="s">
        <v>809</v>
      </c>
      <c r="S63" s="30" t="s">
        <v>809</v>
      </c>
      <c r="T63" s="30" t="s">
        <v>809</v>
      </c>
      <c r="U63" s="30" t="s">
        <v>10302</v>
      </c>
      <c r="V63" s="245" t="s">
        <v>10386</v>
      </c>
      <c r="W63" s="6" t="s">
        <v>10387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10388</v>
      </c>
      <c r="B64" s="6" t="s">
        <v>10110</v>
      </c>
      <c r="C64" s="255" t="n">
        <v>8</v>
      </c>
      <c r="D64" s="207"/>
      <c r="E64" s="207"/>
      <c r="F64" s="207" t="s">
        <v>1573</v>
      </c>
      <c r="G64" s="207" t="s">
        <v>10389</v>
      </c>
      <c r="H64" s="30" t="s">
        <v>10112</v>
      </c>
      <c r="I64" s="30" t="s">
        <v>10390</v>
      </c>
      <c r="J64" s="6" t="s">
        <v>10391</v>
      </c>
      <c r="K64" s="207" t="n">
        <v>2</v>
      </c>
      <c r="L64" s="207" t="s">
        <v>8373</v>
      </c>
      <c r="M64" s="6" t="s">
        <v>10357</v>
      </c>
      <c r="N64" s="207" t="s">
        <v>8386</v>
      </c>
      <c r="O64" s="30" t="s">
        <v>8376</v>
      </c>
      <c r="P64" s="30" t="s">
        <v>809</v>
      </c>
      <c r="Q64" s="30" t="s">
        <v>10392</v>
      </c>
      <c r="R64" s="30" t="s">
        <v>809</v>
      </c>
      <c r="S64" s="30" t="s">
        <v>809</v>
      </c>
      <c r="T64" s="30" t="s">
        <v>809</v>
      </c>
      <c r="U64" s="30" t="s">
        <v>10302</v>
      </c>
      <c r="V64" s="245" t="s">
        <v>10393</v>
      </c>
      <c r="W64" s="6" t="s">
        <v>10394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10395</v>
      </c>
      <c r="B65" s="6" t="s">
        <v>10396</v>
      </c>
      <c r="C65" s="255" t="n">
        <v>3</v>
      </c>
      <c r="D65" s="207"/>
      <c r="E65" s="207"/>
      <c r="F65" s="30" t="s">
        <v>117</v>
      </c>
      <c r="G65" s="30" t="s">
        <v>10397</v>
      </c>
      <c r="H65" s="30" t="s">
        <v>1499</v>
      </c>
      <c r="I65" s="30" t="s">
        <v>10097</v>
      </c>
      <c r="J65" s="6" t="s">
        <v>10398</v>
      </c>
      <c r="K65" s="207" t="n">
        <v>1</v>
      </c>
      <c r="L65" s="207" t="s">
        <v>8373</v>
      </c>
      <c r="M65" s="6" t="s">
        <v>10099</v>
      </c>
      <c r="N65" s="207" t="s">
        <v>8375</v>
      </c>
      <c r="O65" s="30" t="s">
        <v>8376</v>
      </c>
      <c r="P65" s="30" t="s">
        <v>809</v>
      </c>
      <c r="Q65" s="30" t="s">
        <v>10399</v>
      </c>
      <c r="R65" s="30" t="s">
        <v>809</v>
      </c>
      <c r="S65" s="30" t="s">
        <v>809</v>
      </c>
      <c r="T65" s="30" t="s">
        <v>809</v>
      </c>
      <c r="U65" s="30" t="s">
        <v>10302</v>
      </c>
      <c r="V65" s="245" t="s">
        <v>10400</v>
      </c>
      <c r="W65" s="6" t="s">
        <v>10401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10402</v>
      </c>
      <c r="B66" s="6" t="s">
        <v>10403</v>
      </c>
      <c r="C66" s="255" t="n">
        <v>50</v>
      </c>
      <c r="D66" s="207"/>
      <c r="E66" s="255" t="n">
        <v>70</v>
      </c>
      <c r="F66" s="30" t="s">
        <v>2255</v>
      </c>
      <c r="G66" s="207" t="s">
        <v>10404</v>
      </c>
      <c r="H66" s="30" t="s">
        <v>1499</v>
      </c>
      <c r="I66" s="30" t="s">
        <v>4626</v>
      </c>
      <c r="J66" s="6" t="s">
        <v>10405</v>
      </c>
      <c r="K66" s="207" t="n">
        <v>2</v>
      </c>
      <c r="L66" s="207" t="s">
        <v>8373</v>
      </c>
      <c r="M66" s="245" t="s">
        <v>10406</v>
      </c>
      <c r="N66" s="207" t="s">
        <v>8386</v>
      </c>
      <c r="O66" s="30" t="s">
        <v>8376</v>
      </c>
      <c r="P66" s="30" t="s">
        <v>809</v>
      </c>
      <c r="Q66" s="30" t="s">
        <v>10407</v>
      </c>
      <c r="R66" s="30" t="s">
        <v>809</v>
      </c>
      <c r="S66" s="30" t="s">
        <v>809</v>
      </c>
      <c r="T66" s="30" t="s">
        <v>809</v>
      </c>
      <c r="U66" s="30" t="s">
        <v>10302</v>
      </c>
      <c r="V66" s="245" t="s">
        <v>10408</v>
      </c>
      <c r="W66" s="6" t="s">
        <v>10409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10410</v>
      </c>
      <c r="B67" s="6" t="s">
        <v>10411</v>
      </c>
      <c r="C67" s="255" t="n">
        <v>500</v>
      </c>
      <c r="D67" s="207"/>
      <c r="E67" s="207"/>
      <c r="F67" s="207" t="s">
        <v>1573</v>
      </c>
      <c r="G67" s="207" t="s">
        <v>10412</v>
      </c>
      <c r="H67" s="30" t="s">
        <v>10096</v>
      </c>
      <c r="I67" s="30" t="s">
        <v>10365</v>
      </c>
      <c r="J67" s="6" t="s">
        <v>10413</v>
      </c>
      <c r="K67" s="207" t="n">
        <v>2</v>
      </c>
      <c r="L67" s="207" t="s">
        <v>8373</v>
      </c>
      <c r="M67" s="6" t="s">
        <v>10357</v>
      </c>
      <c r="N67" s="207" t="s">
        <v>8386</v>
      </c>
      <c r="O67" s="30" t="s">
        <v>8376</v>
      </c>
      <c r="P67" s="30" t="s">
        <v>809</v>
      </c>
      <c r="Q67" s="30" t="s">
        <v>10414</v>
      </c>
      <c r="R67" s="30" t="s">
        <v>809</v>
      </c>
      <c r="S67" s="30" t="s">
        <v>809</v>
      </c>
      <c r="T67" s="30" t="s">
        <v>809</v>
      </c>
      <c r="U67" s="30" t="s">
        <v>10302</v>
      </c>
      <c r="V67" s="245" t="s">
        <v>10415</v>
      </c>
      <c r="W67" s="6" t="s">
        <v>10416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10417</v>
      </c>
      <c r="B68" s="6" t="s">
        <v>10411</v>
      </c>
      <c r="C68" s="255" t="n">
        <v>700</v>
      </c>
      <c r="D68" s="207"/>
      <c r="E68" s="207"/>
      <c r="F68" s="207" t="s">
        <v>1573</v>
      </c>
      <c r="G68" s="207" t="s">
        <v>10418</v>
      </c>
      <c r="H68" s="30" t="s">
        <v>10096</v>
      </c>
      <c r="I68" s="30" t="s">
        <v>10365</v>
      </c>
      <c r="J68" s="6" t="s">
        <v>10419</v>
      </c>
      <c r="K68" s="207" t="n">
        <v>2</v>
      </c>
      <c r="L68" s="207" t="s">
        <v>8373</v>
      </c>
      <c r="M68" s="6" t="s">
        <v>10357</v>
      </c>
      <c r="N68" s="207" t="s">
        <v>8386</v>
      </c>
      <c r="O68" s="30" t="s">
        <v>8376</v>
      </c>
      <c r="P68" s="30" t="s">
        <v>809</v>
      </c>
      <c r="Q68" s="30" t="s">
        <v>10414</v>
      </c>
      <c r="R68" s="30" t="s">
        <v>809</v>
      </c>
      <c r="S68" s="30" t="s">
        <v>809</v>
      </c>
      <c r="T68" s="30" t="s">
        <v>809</v>
      </c>
      <c r="U68" s="30" t="s">
        <v>10302</v>
      </c>
      <c r="V68" s="245" t="s">
        <v>10415</v>
      </c>
      <c r="W68" s="6" t="s">
        <v>10420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10421</v>
      </c>
      <c r="B69" s="6" t="s">
        <v>10411</v>
      </c>
      <c r="C69" s="255" t="n">
        <v>800</v>
      </c>
      <c r="D69" s="207"/>
      <c r="E69" s="207"/>
      <c r="F69" s="207" t="s">
        <v>1573</v>
      </c>
      <c r="G69" s="207" t="s">
        <v>10422</v>
      </c>
      <c r="H69" s="30" t="s">
        <v>10096</v>
      </c>
      <c r="I69" s="30" t="s">
        <v>10033</v>
      </c>
      <c r="J69" s="6" t="s">
        <v>10423</v>
      </c>
      <c r="K69" s="207" t="n">
        <v>2</v>
      </c>
      <c r="L69" s="207" t="s">
        <v>8373</v>
      </c>
      <c r="M69" s="6" t="s">
        <v>10357</v>
      </c>
      <c r="N69" s="207" t="s">
        <v>8386</v>
      </c>
      <c r="O69" s="30" t="s">
        <v>8376</v>
      </c>
      <c r="P69" s="30" t="s">
        <v>809</v>
      </c>
      <c r="Q69" s="30" t="s">
        <v>10414</v>
      </c>
      <c r="R69" s="30" t="s">
        <v>809</v>
      </c>
      <c r="S69" s="30" t="s">
        <v>809</v>
      </c>
      <c r="T69" s="30" t="s">
        <v>809</v>
      </c>
      <c r="U69" s="30" t="s">
        <v>10302</v>
      </c>
      <c r="V69" s="245" t="s">
        <v>10415</v>
      </c>
      <c r="W69" s="6" t="s">
        <v>10424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10425</v>
      </c>
      <c r="B70" s="6" t="s">
        <v>10411</v>
      </c>
      <c r="C70" s="255" t="n">
        <v>900</v>
      </c>
      <c r="D70" s="207"/>
      <c r="E70" s="207"/>
      <c r="F70" s="207" t="s">
        <v>1573</v>
      </c>
      <c r="G70" s="207" t="s">
        <v>10426</v>
      </c>
      <c r="H70" s="30" t="s">
        <v>10096</v>
      </c>
      <c r="I70" s="30" t="s">
        <v>10097</v>
      </c>
      <c r="J70" s="6" t="s">
        <v>10098</v>
      </c>
      <c r="K70" s="207" t="n">
        <v>1</v>
      </c>
      <c r="L70" s="207" t="s">
        <v>8373</v>
      </c>
      <c r="M70" s="6" t="s">
        <v>10099</v>
      </c>
      <c r="N70" s="207" t="s">
        <v>8375</v>
      </c>
      <c r="O70" s="30" t="s">
        <v>8376</v>
      </c>
      <c r="P70" s="30" t="s">
        <v>809</v>
      </c>
      <c r="Q70" s="30" t="s">
        <v>10414</v>
      </c>
      <c r="R70" s="30" t="s">
        <v>809</v>
      </c>
      <c r="S70" s="30" t="s">
        <v>809</v>
      </c>
      <c r="T70" s="30" t="s">
        <v>809</v>
      </c>
      <c r="U70" s="30" t="s">
        <v>10302</v>
      </c>
      <c r="V70" s="245" t="s">
        <v>10415</v>
      </c>
      <c r="W70" s="6" t="s">
        <v>10427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10428</v>
      </c>
      <c r="B71" s="6" t="s">
        <v>10411</v>
      </c>
      <c r="C71" s="255" t="n">
        <v>1000</v>
      </c>
      <c r="D71" s="207"/>
      <c r="E71" s="207"/>
      <c r="F71" s="207" t="s">
        <v>1573</v>
      </c>
      <c r="G71" s="207" t="s">
        <v>10429</v>
      </c>
      <c r="H71" s="30" t="s">
        <v>10096</v>
      </c>
      <c r="I71" s="30" t="s">
        <v>10430</v>
      </c>
      <c r="J71" s="6" t="s">
        <v>10431</v>
      </c>
      <c r="K71" s="207" t="n">
        <v>2</v>
      </c>
      <c r="L71" s="207" t="s">
        <v>8373</v>
      </c>
      <c r="M71" s="6" t="s">
        <v>10357</v>
      </c>
      <c r="N71" s="207" t="s">
        <v>8386</v>
      </c>
      <c r="O71" s="30" t="s">
        <v>8376</v>
      </c>
      <c r="P71" s="30" t="s">
        <v>809</v>
      </c>
      <c r="Q71" s="30" t="s">
        <v>10414</v>
      </c>
      <c r="R71" s="30" t="s">
        <v>809</v>
      </c>
      <c r="S71" s="30" t="s">
        <v>809</v>
      </c>
      <c r="T71" s="30" t="s">
        <v>809</v>
      </c>
      <c r="U71" s="30" t="s">
        <v>10302</v>
      </c>
      <c r="V71" s="245" t="s">
        <v>10415</v>
      </c>
      <c r="W71" s="6" t="s">
        <v>10432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10433</v>
      </c>
      <c r="B72" s="6" t="s">
        <v>10411</v>
      </c>
      <c r="C72" s="255" t="n">
        <v>1200</v>
      </c>
      <c r="D72" s="207"/>
      <c r="E72" s="207"/>
      <c r="F72" s="207" t="s">
        <v>1573</v>
      </c>
      <c r="G72" s="207" t="s">
        <v>10434</v>
      </c>
      <c r="H72" s="30" t="s">
        <v>10096</v>
      </c>
      <c r="I72" s="30" t="s">
        <v>7486</v>
      </c>
      <c r="J72" s="6" t="s">
        <v>10435</v>
      </c>
      <c r="K72" s="207" t="n">
        <v>1</v>
      </c>
      <c r="L72" s="207" t="s">
        <v>8373</v>
      </c>
      <c r="M72" s="6" t="s">
        <v>10099</v>
      </c>
      <c r="N72" s="207" t="s">
        <v>8375</v>
      </c>
      <c r="O72" s="30" t="s">
        <v>8376</v>
      </c>
      <c r="P72" s="30" t="s">
        <v>809</v>
      </c>
      <c r="Q72" s="30" t="s">
        <v>10414</v>
      </c>
      <c r="R72" s="30" t="s">
        <v>809</v>
      </c>
      <c r="S72" s="30" t="s">
        <v>809</v>
      </c>
      <c r="T72" s="30" t="s">
        <v>809</v>
      </c>
      <c r="U72" s="30" t="s">
        <v>10302</v>
      </c>
      <c r="V72" s="245" t="s">
        <v>10415</v>
      </c>
      <c r="W72" s="6" t="s">
        <v>10436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10437</v>
      </c>
      <c r="B73" s="6" t="s">
        <v>10238</v>
      </c>
      <c r="C73" s="255" t="n">
        <v>5.7</v>
      </c>
      <c r="D73" s="207"/>
      <c r="E73" s="207"/>
      <c r="F73" s="30" t="s">
        <v>1089</v>
      </c>
      <c r="G73" s="30" t="s">
        <v>10438</v>
      </c>
      <c r="H73" s="30" t="s">
        <v>1499</v>
      </c>
      <c r="I73" s="30" t="s">
        <v>9173</v>
      </c>
      <c r="J73" s="6" t="s">
        <v>10439</v>
      </c>
      <c r="K73" s="207" t="n">
        <v>2</v>
      </c>
      <c r="L73" s="207" t="s">
        <v>8373</v>
      </c>
      <c r="M73" s="6" t="s">
        <v>10357</v>
      </c>
      <c r="N73" s="207" t="s">
        <v>8386</v>
      </c>
      <c r="O73" s="30" t="s">
        <v>8376</v>
      </c>
      <c r="P73" s="30" t="s">
        <v>809</v>
      </c>
      <c r="Q73" s="30" t="s">
        <v>10440</v>
      </c>
      <c r="R73" s="30" t="s">
        <v>809</v>
      </c>
      <c r="S73" s="30" t="s">
        <v>809</v>
      </c>
      <c r="T73" s="30" t="s">
        <v>809</v>
      </c>
      <c r="U73" s="30" t="s">
        <v>10441</v>
      </c>
      <c r="V73" s="6" t="s">
        <v>10442</v>
      </c>
      <c r="W73" s="6" t="s">
        <v>10443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10444</v>
      </c>
      <c r="B74" s="6" t="s">
        <v>10445</v>
      </c>
      <c r="C74" s="255" t="n">
        <v>14.1</v>
      </c>
      <c r="D74" s="255" t="n">
        <v>12</v>
      </c>
      <c r="E74" s="255" t="n">
        <v>18</v>
      </c>
      <c r="F74" s="30" t="s">
        <v>1089</v>
      </c>
      <c r="G74" s="30" t="s">
        <v>10446</v>
      </c>
      <c r="H74" s="30" t="s">
        <v>1499</v>
      </c>
      <c r="I74" s="30" t="s">
        <v>8383</v>
      </c>
      <c r="J74" s="6" t="s">
        <v>10447</v>
      </c>
      <c r="K74" s="207" t="n">
        <v>3</v>
      </c>
      <c r="L74" s="207" t="s">
        <v>8373</v>
      </c>
      <c r="M74" s="6" t="s">
        <v>10448</v>
      </c>
      <c r="N74" s="207" t="s">
        <v>8386</v>
      </c>
      <c r="O74" s="30" t="s">
        <v>8422</v>
      </c>
      <c r="P74" s="30" t="s">
        <v>809</v>
      </c>
      <c r="Q74" s="30" t="s">
        <v>10449</v>
      </c>
      <c r="R74" s="30" t="s">
        <v>809</v>
      </c>
      <c r="S74" s="30" t="s">
        <v>809</v>
      </c>
      <c r="T74" s="30" t="s">
        <v>809</v>
      </c>
      <c r="U74" s="30" t="s">
        <v>10441</v>
      </c>
      <c r="V74" s="6" t="s">
        <v>10450</v>
      </c>
      <c r="W74" s="6" t="s">
        <v>10451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6855</v>
      </c>
      <c r="B75" s="6" t="s">
        <v>10452</v>
      </c>
      <c r="C75" s="255" t="n">
        <v>0.2</v>
      </c>
      <c r="D75" s="255" t="n">
        <v>0.15</v>
      </c>
      <c r="E75" s="255" t="n">
        <v>0.2</v>
      </c>
      <c r="F75" s="30" t="s">
        <v>127</v>
      </c>
      <c r="G75" s="30" t="s">
        <v>10453</v>
      </c>
      <c r="H75" s="30" t="s">
        <v>1499</v>
      </c>
      <c r="I75" s="30" t="s">
        <v>8383</v>
      </c>
      <c r="J75" s="6" t="s">
        <v>10454</v>
      </c>
      <c r="K75" s="207" t="n">
        <v>3</v>
      </c>
      <c r="L75" s="207" t="s">
        <v>8373</v>
      </c>
      <c r="M75" s="6" t="s">
        <v>10455</v>
      </c>
      <c r="N75" s="207" t="s">
        <v>8386</v>
      </c>
      <c r="O75" s="30" t="s">
        <v>8376</v>
      </c>
      <c r="P75" s="30" t="s">
        <v>809</v>
      </c>
      <c r="Q75" s="30" t="s">
        <v>10456</v>
      </c>
      <c r="R75" s="30" t="s">
        <v>809</v>
      </c>
      <c r="S75" s="30" t="s">
        <v>809</v>
      </c>
      <c r="T75" s="30" t="s">
        <v>809</v>
      </c>
      <c r="U75" s="30" t="s">
        <v>10441</v>
      </c>
      <c r="V75" s="6" t="s">
        <v>10457</v>
      </c>
      <c r="W75" s="6" t="s">
        <v>10458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6975</v>
      </c>
      <c r="B76" s="6" t="s">
        <v>10459</v>
      </c>
      <c r="C76" s="255" t="n">
        <v>1</v>
      </c>
      <c r="D76" s="207"/>
      <c r="E76" s="207"/>
      <c r="F76" s="30" t="s">
        <v>1089</v>
      </c>
      <c r="G76" s="207" t="s">
        <v>10460</v>
      </c>
      <c r="H76" s="30" t="s">
        <v>1499</v>
      </c>
      <c r="I76" s="30" t="s">
        <v>10461</v>
      </c>
      <c r="J76" s="6" t="s">
        <v>10462</v>
      </c>
      <c r="K76" s="207" t="n">
        <v>2</v>
      </c>
      <c r="L76" s="207" t="s">
        <v>8373</v>
      </c>
      <c r="M76" s="6" t="s">
        <v>10357</v>
      </c>
      <c r="N76" s="207" t="s">
        <v>8386</v>
      </c>
      <c r="O76" s="30" t="s">
        <v>8376</v>
      </c>
      <c r="P76" s="30" t="s">
        <v>809</v>
      </c>
      <c r="Q76" s="30" t="s">
        <v>10463</v>
      </c>
      <c r="R76" s="30" t="s">
        <v>809</v>
      </c>
      <c r="S76" s="30" t="s">
        <v>809</v>
      </c>
      <c r="T76" s="30" t="s">
        <v>809</v>
      </c>
      <c r="U76" s="30" t="s">
        <v>10464</v>
      </c>
      <c r="V76" s="6" t="s">
        <v>10465</v>
      </c>
      <c r="W76" s="6" t="s">
        <v>10466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10467</v>
      </c>
      <c r="B77" s="6" t="s">
        <v>10468</v>
      </c>
      <c r="C77" s="255" t="n">
        <v>7.5</v>
      </c>
      <c r="D77" s="207"/>
      <c r="E77" s="207"/>
      <c r="F77" s="30" t="s">
        <v>1089</v>
      </c>
      <c r="G77" s="207" t="s">
        <v>10469</v>
      </c>
      <c r="H77" s="30" t="s">
        <v>1499</v>
      </c>
      <c r="I77" s="30" t="s">
        <v>10470</v>
      </c>
      <c r="J77" s="6" t="s">
        <v>10471</v>
      </c>
      <c r="K77" s="207" t="n">
        <v>2</v>
      </c>
      <c r="L77" s="207" t="s">
        <v>8480</v>
      </c>
      <c r="M77" s="245" t="s">
        <v>10472</v>
      </c>
      <c r="N77" s="207" t="s">
        <v>10473</v>
      </c>
      <c r="O77" s="30" t="s">
        <v>8376</v>
      </c>
      <c r="P77" s="30" t="s">
        <v>809</v>
      </c>
      <c r="Q77" s="30" t="s">
        <v>10474</v>
      </c>
      <c r="R77" s="30" t="s">
        <v>809</v>
      </c>
      <c r="S77" s="30" t="s">
        <v>809</v>
      </c>
      <c r="T77" s="30" t="s">
        <v>809</v>
      </c>
      <c r="U77" s="30" t="s">
        <v>10475</v>
      </c>
      <c r="V77" s="6" t="s">
        <v>10476</v>
      </c>
      <c r="W77" s="6" t="s">
        <v>10477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10478</v>
      </c>
    </row>
    <row r="2" customFormat="false" ht="15" hidden="false" customHeight="false" outlineLevel="0" collapsed="false">
      <c r="A2" s="59" t="s">
        <v>10479</v>
      </c>
    </row>
    <row r="4" customFormat="false" ht="15" hidden="false" customHeight="false" outlineLevel="0" collapsed="false">
      <c r="A4" s="10" t="s">
        <v>8349</v>
      </c>
      <c r="B4" s="60" t="s">
        <v>12</v>
      </c>
      <c r="C4" s="60" t="s">
        <v>10480</v>
      </c>
      <c r="D4" s="60" t="s">
        <v>796</v>
      </c>
      <c r="E4" s="60" t="s">
        <v>4970</v>
      </c>
      <c r="F4" s="60" t="s">
        <v>10481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3354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3354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3354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3354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3354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3354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3354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3354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3354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3354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3354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3354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3354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3354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3354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3354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3354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3354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3354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3354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3354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3354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3354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3354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3354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3354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3354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3354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3354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3354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3354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3354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3354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3354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3354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3354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3354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3354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3354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3354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3354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3354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3354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3354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3354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3354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3354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3354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3354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3354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3354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3354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3354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3354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3354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3354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3354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3354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3354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3354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3354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3354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3354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3354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3354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3354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>SRC_HW_067</v>
      </c>
      <c r="B71" s="62" t="s">
        <v>3354</v>
      </c>
      <c r="C71" s="61" t="n">
        <v>71</v>
      </c>
      <c r="D71" s="92" t="str">
        <f aca="false">SRC_HW!$O71</f>
        <v>Active</v>
      </c>
      <c r="E71" s="92" t="n">
        <f aca="false">SRC_HW!$K71</f>
        <v>1</v>
      </c>
      <c r="F71" s="92" t="str">
        <f aca="false">SRC_HW!$S71</f>
        <v>—</v>
      </c>
    </row>
    <row r="72" customFormat="false" ht="15" hidden="false" customHeight="false" outlineLevel="0" collapsed="false">
      <c r="A72" s="92" t="str">
        <f aca="false">SRC_HW!$A72&amp;""</f>
        <v>SRC_HW_068</v>
      </c>
      <c r="B72" s="62" t="s">
        <v>3354</v>
      </c>
      <c r="C72" s="61" t="n">
        <v>72</v>
      </c>
      <c r="D72" s="92" t="str">
        <f aca="false">SRC_HW!$O72</f>
        <v>Active</v>
      </c>
      <c r="E72" s="92" t="n">
        <f aca="false">SRC_HW!$K72</f>
        <v>1</v>
      </c>
      <c r="F72" s="92" t="str">
        <f aca="false">SRC_HW!$S72</f>
        <v>—</v>
      </c>
    </row>
    <row r="73" customFormat="false" ht="15" hidden="false" customHeight="false" outlineLevel="0" collapsed="false">
      <c r="A73" s="92" t="str">
        <f aca="false">SRC_HW!$A73&amp;""</f>
        <v>SRC_HW_069</v>
      </c>
      <c r="B73" s="62" t="s">
        <v>3354</v>
      </c>
      <c r="C73" s="61" t="n">
        <v>73</v>
      </c>
      <c r="D73" s="92" t="str">
        <f aca="false">SRC_HW!$O73</f>
        <v>Active</v>
      </c>
      <c r="E73" s="92" t="n">
        <f aca="false">SRC_HW!$K73</f>
        <v>1</v>
      </c>
      <c r="F73" s="92" t="str">
        <f aca="false">SRC_HW!$S73</f>
        <v>—</v>
      </c>
    </row>
    <row r="74" customFormat="false" ht="15" hidden="false" customHeight="false" outlineLevel="0" collapsed="false">
      <c r="A74" s="92" t="str">
        <f aca="false">SRC_HW!$A74&amp;""</f>
        <v>SRC_HW_070</v>
      </c>
      <c r="B74" s="62" t="s">
        <v>3354</v>
      </c>
      <c r="C74" s="61" t="n">
        <v>74</v>
      </c>
      <c r="D74" s="92" t="str">
        <f aca="false">SRC_HW!$O74</f>
        <v>Active</v>
      </c>
      <c r="E74" s="92" t="n">
        <f aca="false">SRC_HW!$K74</f>
        <v>1</v>
      </c>
      <c r="F74" s="92" t="str">
        <f aca="false">SRC_HW!$S74</f>
        <v>—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3354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3354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3354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3354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3354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3354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3354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3354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3354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3354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3354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3354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3354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3354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3354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3354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3354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3354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3354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3354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3354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3354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3354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3354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3354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3354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3354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3354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3354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3354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3354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3354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3354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3354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3354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3354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3354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3354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3354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3354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3354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3354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3354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3354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3354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3354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SRC_HW!$A121&amp;""</f>
        <v/>
      </c>
      <c r="B121" s="62" t="s">
        <v>3354</v>
      </c>
      <c r="C121" s="61" t="n">
        <v>121</v>
      </c>
      <c r="D121" s="92" t="n">
        <f aca="false">SRC_HW!$O121</f>
        <v>0</v>
      </c>
      <c r="E121" s="92" t="n">
        <f aca="false">SRC_HW!$K121</f>
        <v>0</v>
      </c>
      <c r="F121" s="92" t="n">
        <f aca="false">SRC_HW!$S121</f>
        <v>0</v>
      </c>
    </row>
    <row r="122" customFormat="false" ht="15" hidden="false" customHeight="false" outlineLevel="0" collapsed="false">
      <c r="A122" s="92" t="str">
        <f aca="false">SRC_HW!$A122&amp;""</f>
        <v/>
      </c>
      <c r="B122" s="62" t="s">
        <v>3354</v>
      </c>
      <c r="C122" s="61" t="n">
        <v>122</v>
      </c>
      <c r="D122" s="92" t="n">
        <f aca="false">SRC_HW!$O122</f>
        <v>0</v>
      </c>
      <c r="E122" s="92" t="n">
        <f aca="false">SRC_HW!$K122</f>
        <v>0</v>
      </c>
      <c r="F122" s="92" t="n">
        <f aca="false">SRC_HW!$S122</f>
        <v>0</v>
      </c>
    </row>
    <row r="123" customFormat="false" ht="15" hidden="false" customHeight="false" outlineLevel="0" collapsed="false">
      <c r="A123" s="92" t="str">
        <f aca="false">SRC_HW!$A123&amp;""</f>
        <v/>
      </c>
      <c r="B123" s="62" t="s">
        <v>3354</v>
      </c>
      <c r="C123" s="61" t="n">
        <v>123</v>
      </c>
      <c r="D123" s="92" t="n">
        <f aca="false">SRC_HW!$O123</f>
        <v>0</v>
      </c>
      <c r="E123" s="92" t="n">
        <f aca="false">SRC_HW!$K123</f>
        <v>0</v>
      </c>
      <c r="F123" s="92" t="n">
        <f aca="false">SRC_HW!$S123</f>
        <v>0</v>
      </c>
    </row>
    <row r="124" customFormat="false" ht="15" hidden="false" customHeight="false" outlineLevel="0" collapsed="false">
      <c r="A124" s="92" t="str">
        <f aca="false">SRC_HW!$A124&amp;""</f>
        <v/>
      </c>
      <c r="B124" s="62" t="s">
        <v>3354</v>
      </c>
      <c r="C124" s="61" t="n">
        <v>124</v>
      </c>
      <c r="D124" s="92" t="n">
        <f aca="false">SRC_HW!$O124</f>
        <v>0</v>
      </c>
      <c r="E124" s="92" t="n">
        <f aca="false">SRC_HW!$K124</f>
        <v>0</v>
      </c>
      <c r="F124" s="92" t="n">
        <f aca="false">SRC_HW!$S124</f>
        <v>0</v>
      </c>
    </row>
    <row r="125" customFormat="false" ht="15" hidden="false" customHeight="false" outlineLevel="0" collapsed="false">
      <c r="A125" s="92" t="str">
        <f aca="false">SRC_DC!$A5&amp;""</f>
        <v>SRC_DC_001</v>
      </c>
      <c r="B125" s="62" t="s">
        <v>3367</v>
      </c>
      <c r="C125" s="61" t="n">
        <v>5</v>
      </c>
      <c r="D125" s="92" t="str">
        <f aca="false">SRC_DC!$O5</f>
        <v>Active</v>
      </c>
      <c r="E125" s="92" t="n">
        <f aca="false">SRC_DC!$K5</f>
        <v>3</v>
      </c>
      <c r="F125" s="92" t="str">
        <f aca="false">SRC_DC!$S5</f>
        <v>—</v>
      </c>
    </row>
    <row r="126" customFormat="false" ht="15" hidden="false" customHeight="false" outlineLevel="0" collapsed="false">
      <c r="A126" s="92" t="str">
        <f aca="false">SRC_DC!$A6&amp;""</f>
        <v>SRC_DC_002</v>
      </c>
      <c r="B126" s="62" t="s">
        <v>3367</v>
      </c>
      <c r="C126" s="61" t="n">
        <v>6</v>
      </c>
      <c r="D126" s="92" t="str">
        <f aca="false">SRC_DC!$O6</f>
        <v>Active</v>
      </c>
      <c r="E126" s="92" t="n">
        <f aca="false">SRC_DC!$K6</f>
        <v>3</v>
      </c>
      <c r="F126" s="92" t="str">
        <f aca="false">SRC_DC!$S6</f>
        <v>—</v>
      </c>
    </row>
    <row r="127" customFormat="false" ht="15" hidden="false" customHeight="false" outlineLevel="0" collapsed="false">
      <c r="A127" s="92" t="str">
        <f aca="false">SRC_DC!$A7&amp;""</f>
        <v>SRC_DC_003</v>
      </c>
      <c r="B127" s="62" t="s">
        <v>3367</v>
      </c>
      <c r="C127" s="61" t="n">
        <v>7</v>
      </c>
      <c r="D127" s="92" t="str">
        <f aca="false">SRC_DC!$O7</f>
        <v>Active</v>
      </c>
      <c r="E127" s="92" t="n">
        <f aca="false">SRC_DC!$K7</f>
        <v>3</v>
      </c>
      <c r="F127" s="92" t="str">
        <f aca="false">SRC_DC!$S7</f>
        <v>—</v>
      </c>
    </row>
    <row r="128" customFormat="false" ht="15" hidden="false" customHeight="false" outlineLevel="0" collapsed="false">
      <c r="A128" s="92" t="str">
        <f aca="false">SRC_DC!$A8&amp;""</f>
        <v>SRC_DC_004</v>
      </c>
      <c r="B128" s="62" t="s">
        <v>3367</v>
      </c>
      <c r="C128" s="61" t="n">
        <v>8</v>
      </c>
      <c r="D128" s="92" t="str">
        <f aca="false">SRC_DC!$O8</f>
        <v>Active</v>
      </c>
      <c r="E128" s="92" t="n">
        <f aca="false">SRC_DC!$K8</f>
        <v>3</v>
      </c>
      <c r="F128" s="92" t="str">
        <f aca="false">SRC_DC!$S8</f>
        <v>—</v>
      </c>
    </row>
    <row r="129" customFormat="false" ht="15" hidden="false" customHeight="false" outlineLevel="0" collapsed="false">
      <c r="A129" s="92" t="str">
        <f aca="false">SRC_DC!$A9&amp;""</f>
        <v>SRC_DC_005</v>
      </c>
      <c r="B129" s="62" t="s">
        <v>3367</v>
      </c>
      <c r="C129" s="61" t="n">
        <v>9</v>
      </c>
      <c r="D129" s="92" t="str">
        <f aca="false">SRC_DC!$O9</f>
        <v>Active</v>
      </c>
      <c r="E129" s="92" t="n">
        <f aca="false">SRC_DC!$K9</f>
        <v>2</v>
      </c>
      <c r="F129" s="92" t="str">
        <f aca="false">SRC_DC!$S9</f>
        <v>—</v>
      </c>
    </row>
    <row r="130" customFormat="false" ht="15" hidden="false" customHeight="false" outlineLevel="0" collapsed="false">
      <c r="A130" s="92" t="str">
        <f aca="false">SRC_DC!$A10&amp;""</f>
        <v>SRC_DC_006</v>
      </c>
      <c r="B130" s="62" t="s">
        <v>3367</v>
      </c>
      <c r="C130" s="61" t="n">
        <v>10</v>
      </c>
      <c r="D130" s="92" t="str">
        <f aca="false">SRC_DC!$O10</f>
        <v>Active</v>
      </c>
      <c r="E130" s="92" t="n">
        <f aca="false">SRC_DC!$K10</f>
        <v>2</v>
      </c>
      <c r="F130" s="92" t="str">
        <f aca="false">SRC_DC!$S10</f>
        <v>—</v>
      </c>
    </row>
    <row r="131" customFormat="false" ht="15" hidden="false" customHeight="false" outlineLevel="0" collapsed="false">
      <c r="A131" s="92" t="str">
        <f aca="false">SRC_DC!$A11&amp;""</f>
        <v>SRC_DC_007</v>
      </c>
      <c r="B131" s="62" t="s">
        <v>3367</v>
      </c>
      <c r="C131" s="61" t="n">
        <v>11</v>
      </c>
      <c r="D131" s="92" t="str">
        <f aca="false">SRC_DC!$O11</f>
        <v>Active</v>
      </c>
      <c r="E131" s="92" t="n">
        <f aca="false">SRC_DC!$K11</f>
        <v>2</v>
      </c>
      <c r="F131" s="92" t="str">
        <f aca="false">SRC_DC!$S11</f>
        <v>—</v>
      </c>
    </row>
    <row r="132" customFormat="false" ht="15" hidden="false" customHeight="false" outlineLevel="0" collapsed="false">
      <c r="A132" s="92" t="str">
        <f aca="false">SRC_DC!$A12&amp;""</f>
        <v>SRC_DC_008</v>
      </c>
      <c r="B132" s="62" t="s">
        <v>3367</v>
      </c>
      <c r="C132" s="61" t="n">
        <v>12</v>
      </c>
      <c r="D132" s="92" t="str">
        <f aca="false">SRC_DC!$O12</f>
        <v>Active</v>
      </c>
      <c r="E132" s="92" t="n">
        <f aca="false">SRC_DC!$K12</f>
        <v>2</v>
      </c>
      <c r="F132" s="92" t="str">
        <f aca="false">SRC_DC!$S12</f>
        <v>—</v>
      </c>
    </row>
    <row r="133" customFormat="false" ht="15" hidden="false" customHeight="false" outlineLevel="0" collapsed="false">
      <c r="A133" s="92" t="str">
        <f aca="false">SRC_DC!$A13&amp;""</f>
        <v>SRC_DC_009</v>
      </c>
      <c r="B133" s="62" t="s">
        <v>3367</v>
      </c>
      <c r="C133" s="61" t="n">
        <v>13</v>
      </c>
      <c r="D133" s="92" t="str">
        <f aca="false">SRC_DC!$O13</f>
        <v>Active</v>
      </c>
      <c r="E133" s="92" t="n">
        <f aca="false">SRC_DC!$K13</f>
        <v>2</v>
      </c>
      <c r="F133" s="92" t="str">
        <f aca="false">SRC_DC!$S13</f>
        <v>—</v>
      </c>
    </row>
    <row r="134" customFormat="false" ht="15" hidden="false" customHeight="false" outlineLevel="0" collapsed="false">
      <c r="A134" s="92" t="str">
        <f aca="false">SRC_DC!$A14&amp;""</f>
        <v>SRC_DC_010</v>
      </c>
      <c r="B134" s="62" t="s">
        <v>3367</v>
      </c>
      <c r="C134" s="61" t="n">
        <v>14</v>
      </c>
      <c r="D134" s="92" t="str">
        <f aca="false">SRC_DC!$O14</f>
        <v>Active</v>
      </c>
      <c r="E134" s="92" t="n">
        <f aca="false">SRC_DC!$K14</f>
        <v>3</v>
      </c>
      <c r="F134" s="92" t="str">
        <f aca="false">SRC_DC!$S14</f>
        <v>—</v>
      </c>
    </row>
    <row r="135" customFormat="false" ht="15" hidden="false" customHeight="false" outlineLevel="0" collapsed="false">
      <c r="A135" s="92" t="str">
        <f aca="false">SRC_DC!$A15&amp;""</f>
        <v>SRC_DC_011</v>
      </c>
      <c r="B135" s="62" t="s">
        <v>3367</v>
      </c>
      <c r="C135" s="61" t="n">
        <v>15</v>
      </c>
      <c r="D135" s="92" t="str">
        <f aca="false">SRC_DC!$O15</f>
        <v>Active</v>
      </c>
      <c r="E135" s="92" t="n">
        <f aca="false">SRC_DC!$K15</f>
        <v>3</v>
      </c>
      <c r="F135" s="92" t="str">
        <f aca="false">SRC_DC!$S15</f>
        <v>—</v>
      </c>
    </row>
    <row r="136" customFormat="false" ht="15" hidden="false" customHeight="false" outlineLevel="0" collapsed="false">
      <c r="A136" s="92" t="str">
        <f aca="false">SRC_DC!$A16&amp;""</f>
        <v>SRC_DC_012</v>
      </c>
      <c r="B136" s="62" t="s">
        <v>3367</v>
      </c>
      <c r="C136" s="61" t="n">
        <v>16</v>
      </c>
      <c r="D136" s="92" t="str">
        <f aca="false">SRC_DC!$O16</f>
        <v>Active</v>
      </c>
      <c r="E136" s="92" t="n">
        <f aca="false">SRC_DC!$K16</f>
        <v>2</v>
      </c>
      <c r="F136" s="92" t="str">
        <f aca="false">SRC_DC!$S16</f>
        <v>—</v>
      </c>
    </row>
    <row r="137" customFormat="false" ht="15" hidden="false" customHeight="false" outlineLevel="0" collapsed="false">
      <c r="A137" s="92" t="str">
        <f aca="false">SRC_DC!$A17&amp;""</f>
        <v>SRC_DC_013</v>
      </c>
      <c r="B137" s="62" t="s">
        <v>3367</v>
      </c>
      <c r="C137" s="61" t="n">
        <v>17</v>
      </c>
      <c r="D137" s="92" t="str">
        <f aca="false">SRC_DC!$O17</f>
        <v>Active</v>
      </c>
      <c r="E137" s="92" t="n">
        <f aca="false">SRC_DC!$K17</f>
        <v>2</v>
      </c>
      <c r="F137" s="92" t="str">
        <f aca="false">SRC_DC!$S17</f>
        <v>—</v>
      </c>
    </row>
    <row r="138" customFormat="false" ht="15" hidden="false" customHeight="false" outlineLevel="0" collapsed="false">
      <c r="A138" s="92" t="str">
        <f aca="false">SRC_DC!$A18&amp;""</f>
        <v>SRC_DC_014</v>
      </c>
      <c r="B138" s="62" t="s">
        <v>3367</v>
      </c>
      <c r="C138" s="61" t="n">
        <v>18</v>
      </c>
      <c r="D138" s="92" t="str">
        <f aca="false">SRC_DC!$O18</f>
        <v>Active</v>
      </c>
      <c r="E138" s="92" t="n">
        <f aca="false">SRC_DC!$K18</f>
        <v>1</v>
      </c>
      <c r="F138" s="92" t="str">
        <f aca="false">SRC_DC!$S18</f>
        <v>—</v>
      </c>
    </row>
    <row r="139" customFormat="false" ht="15" hidden="false" customHeight="false" outlineLevel="0" collapsed="false">
      <c r="A139" s="92" t="str">
        <f aca="false">SRC_DC!$A19&amp;""</f>
        <v>SRC_DC_015</v>
      </c>
      <c r="B139" s="62" t="s">
        <v>3367</v>
      </c>
      <c r="C139" s="61" t="n">
        <v>19</v>
      </c>
      <c r="D139" s="92" t="str">
        <f aca="false">SRC_DC!$O19</f>
        <v>Active</v>
      </c>
      <c r="E139" s="92" t="n">
        <f aca="false">SRC_DC!$K19</f>
        <v>1</v>
      </c>
      <c r="F139" s="92" t="str">
        <f aca="false">SRC_DC!$S19</f>
        <v>—</v>
      </c>
    </row>
    <row r="140" customFormat="false" ht="15" hidden="false" customHeight="false" outlineLevel="0" collapsed="false">
      <c r="A140" s="92" t="str">
        <f aca="false">SRC_DC!$A20&amp;""</f>
        <v>SRC_DC_016</v>
      </c>
      <c r="B140" s="62" t="s">
        <v>3367</v>
      </c>
      <c r="C140" s="61" t="n">
        <v>20</v>
      </c>
      <c r="D140" s="92" t="str">
        <f aca="false">SRC_DC!$O20</f>
        <v>Active</v>
      </c>
      <c r="E140" s="92" t="n">
        <f aca="false">SRC_DC!$K20</f>
        <v>1</v>
      </c>
      <c r="F140" s="92" t="str">
        <f aca="false">SRC_DC!$S20</f>
        <v>—</v>
      </c>
    </row>
    <row r="141" customFormat="false" ht="15" hidden="false" customHeight="false" outlineLevel="0" collapsed="false">
      <c r="A141" s="92" t="str">
        <f aca="false">SRC_DC!$A21&amp;""</f>
        <v>SRC_DC_017</v>
      </c>
      <c r="B141" s="62" t="s">
        <v>3367</v>
      </c>
      <c r="C141" s="61" t="n">
        <v>21</v>
      </c>
      <c r="D141" s="92" t="str">
        <f aca="false">SRC_DC!$O21</f>
        <v>Active</v>
      </c>
      <c r="E141" s="92" t="n">
        <f aca="false">SRC_DC!$K21</f>
        <v>2</v>
      </c>
      <c r="F141" s="92" t="str">
        <f aca="false">SRC_DC!$S21</f>
        <v>—</v>
      </c>
    </row>
    <row r="142" customFormat="false" ht="15" hidden="false" customHeight="false" outlineLevel="0" collapsed="false">
      <c r="A142" s="92" t="str">
        <f aca="false">SRC_DC!$A22&amp;""</f>
        <v>SRC_DC_018</v>
      </c>
      <c r="B142" s="62" t="s">
        <v>3367</v>
      </c>
      <c r="C142" s="61" t="n">
        <v>22</v>
      </c>
      <c r="D142" s="92" t="str">
        <f aca="false">SRC_DC!$O22</f>
        <v>Active</v>
      </c>
      <c r="E142" s="92" t="n">
        <f aca="false">SRC_DC!$K22</f>
        <v>1</v>
      </c>
      <c r="F142" s="92" t="str">
        <f aca="false">SRC_DC!$S22</f>
        <v>—</v>
      </c>
    </row>
    <row r="143" customFormat="false" ht="15" hidden="false" customHeight="false" outlineLevel="0" collapsed="false">
      <c r="A143" s="92" t="str">
        <f aca="false">SRC_DC!$A23&amp;""</f>
        <v>SRC_DC_019</v>
      </c>
      <c r="B143" s="62" t="s">
        <v>3367</v>
      </c>
      <c r="C143" s="61" t="n">
        <v>23</v>
      </c>
      <c r="D143" s="92" t="str">
        <f aca="false">SRC_DC!$O23</f>
        <v>Active</v>
      </c>
      <c r="E143" s="92" t="n">
        <f aca="false">SRC_DC!$K23</f>
        <v>2</v>
      </c>
      <c r="F143" s="92" t="str">
        <f aca="false">SRC_DC!$S23</f>
        <v>—</v>
      </c>
    </row>
    <row r="144" customFormat="false" ht="15" hidden="false" customHeight="false" outlineLevel="0" collapsed="false">
      <c r="A144" s="92" t="str">
        <f aca="false">SRC_DC!$A24&amp;""</f>
        <v/>
      </c>
      <c r="B144" s="62" t="s">
        <v>3367</v>
      </c>
      <c r="C144" s="61" t="n">
        <v>24</v>
      </c>
      <c r="D144" s="92" t="n">
        <f aca="false">SRC_DC!$O24</f>
        <v>0</v>
      </c>
      <c r="E144" s="92" t="n">
        <f aca="false">SRC_DC!$K24</f>
        <v>0</v>
      </c>
      <c r="F144" s="92" t="n">
        <f aca="false">SRC_DC!$S24</f>
        <v>0</v>
      </c>
    </row>
    <row r="145" customFormat="false" ht="15" hidden="false" customHeight="false" outlineLevel="0" collapsed="false">
      <c r="A145" s="92" t="str">
        <f aca="false">SRC_DC!$A25&amp;""</f>
        <v/>
      </c>
      <c r="B145" s="62" t="s">
        <v>3367</v>
      </c>
      <c r="C145" s="61" t="n">
        <v>25</v>
      </c>
      <c r="D145" s="92" t="n">
        <f aca="false">SRC_DC!$O25</f>
        <v>0</v>
      </c>
      <c r="E145" s="92" t="n">
        <f aca="false">SRC_DC!$K25</f>
        <v>0</v>
      </c>
      <c r="F145" s="92" t="n">
        <f aca="false">SRC_DC!$S25</f>
        <v>0</v>
      </c>
    </row>
    <row r="146" customFormat="false" ht="15" hidden="false" customHeight="false" outlineLevel="0" collapsed="false">
      <c r="A146" s="92" t="str">
        <f aca="false">SRC_DC!$A26&amp;""</f>
        <v/>
      </c>
      <c r="B146" s="62" t="s">
        <v>3367</v>
      </c>
      <c r="C146" s="61" t="n">
        <v>26</v>
      </c>
      <c r="D146" s="92" t="n">
        <f aca="false">SRC_DC!$O26</f>
        <v>0</v>
      </c>
      <c r="E146" s="92" t="n">
        <f aca="false">SRC_DC!$K26</f>
        <v>0</v>
      </c>
      <c r="F146" s="92" t="n">
        <f aca="false">SRC_DC!$S26</f>
        <v>0</v>
      </c>
    </row>
    <row r="147" customFormat="false" ht="15" hidden="false" customHeight="false" outlineLevel="0" collapsed="false">
      <c r="A147" s="92" t="str">
        <f aca="false">SRC_DC!$A27&amp;""</f>
        <v/>
      </c>
      <c r="B147" s="62" t="s">
        <v>3367</v>
      </c>
      <c r="C147" s="61" t="n">
        <v>27</v>
      </c>
      <c r="D147" s="92" t="n">
        <f aca="false">SRC_DC!$O27</f>
        <v>0</v>
      </c>
      <c r="E147" s="92" t="n">
        <f aca="false">SRC_DC!$K27</f>
        <v>0</v>
      </c>
      <c r="F147" s="92" t="n">
        <f aca="false">SRC_DC!$S27</f>
        <v>0</v>
      </c>
    </row>
    <row r="148" customFormat="false" ht="15" hidden="false" customHeight="false" outlineLevel="0" collapsed="false">
      <c r="A148" s="92" t="str">
        <f aca="false">SRC_DC!$A28&amp;""</f>
        <v/>
      </c>
      <c r="B148" s="62" t="s">
        <v>3367</v>
      </c>
      <c r="C148" s="61" t="n">
        <v>28</v>
      </c>
      <c r="D148" s="92" t="n">
        <f aca="false">SRC_DC!$O28</f>
        <v>0</v>
      </c>
      <c r="E148" s="92" t="n">
        <f aca="false">SRC_DC!$K28</f>
        <v>0</v>
      </c>
      <c r="F148" s="92" t="n">
        <f aca="false">SRC_DC!$S28</f>
        <v>0</v>
      </c>
    </row>
    <row r="149" customFormat="false" ht="15" hidden="false" customHeight="false" outlineLevel="0" collapsed="false">
      <c r="A149" s="92" t="str">
        <f aca="false">SRC_DC!$A29&amp;""</f>
        <v/>
      </c>
      <c r="B149" s="62" t="s">
        <v>3367</v>
      </c>
      <c r="C149" s="61" t="n">
        <v>29</v>
      </c>
      <c r="D149" s="92" t="n">
        <f aca="false">SRC_DC!$O29</f>
        <v>0</v>
      </c>
      <c r="E149" s="92" t="n">
        <f aca="false">SRC_DC!$K29</f>
        <v>0</v>
      </c>
      <c r="F149" s="92" t="n">
        <f aca="false">SRC_DC!$S29</f>
        <v>0</v>
      </c>
    </row>
    <row r="150" customFormat="false" ht="15" hidden="false" customHeight="false" outlineLevel="0" collapsed="false">
      <c r="A150" s="92" t="str">
        <f aca="false">SRC_DC!$A30&amp;""</f>
        <v/>
      </c>
      <c r="B150" s="62" t="s">
        <v>3367</v>
      </c>
      <c r="C150" s="61" t="n">
        <v>30</v>
      </c>
      <c r="D150" s="92" t="n">
        <f aca="false">SRC_DC!$O30</f>
        <v>0</v>
      </c>
      <c r="E150" s="92" t="n">
        <f aca="false">SRC_DC!$K30</f>
        <v>0</v>
      </c>
      <c r="F150" s="92" t="n">
        <f aca="false">SRC_DC!$S30</f>
        <v>0</v>
      </c>
    </row>
    <row r="151" customFormat="false" ht="15" hidden="false" customHeight="false" outlineLevel="0" collapsed="false">
      <c r="A151" s="92" t="str">
        <f aca="false">SRC_DC!$A31&amp;""</f>
        <v/>
      </c>
      <c r="B151" s="62" t="s">
        <v>3367</v>
      </c>
      <c r="C151" s="61" t="n">
        <v>31</v>
      </c>
      <c r="D151" s="92" t="n">
        <f aca="false">SRC_DC!$O31</f>
        <v>0</v>
      </c>
      <c r="E151" s="92" t="n">
        <f aca="false">SRC_DC!$K31</f>
        <v>0</v>
      </c>
      <c r="F151" s="92" t="n">
        <f aca="false">SRC_DC!$S31</f>
        <v>0</v>
      </c>
    </row>
    <row r="152" customFormat="false" ht="15" hidden="false" customHeight="false" outlineLevel="0" collapsed="false">
      <c r="A152" s="92" t="str">
        <f aca="false">SRC_DC!$A32&amp;""</f>
        <v/>
      </c>
      <c r="B152" s="62" t="s">
        <v>3367</v>
      </c>
      <c r="C152" s="61" t="n">
        <v>32</v>
      </c>
      <c r="D152" s="92" t="n">
        <f aca="false">SRC_DC!$O32</f>
        <v>0</v>
      </c>
      <c r="E152" s="92" t="n">
        <f aca="false">SRC_DC!$K32</f>
        <v>0</v>
      </c>
      <c r="F152" s="92" t="n">
        <f aca="false">SRC_DC!$S32</f>
        <v>0</v>
      </c>
    </row>
    <row r="153" customFormat="false" ht="15" hidden="false" customHeight="false" outlineLevel="0" collapsed="false">
      <c r="A153" s="92" t="str">
        <f aca="false">SRC_DC!$A33&amp;""</f>
        <v/>
      </c>
      <c r="B153" s="62" t="s">
        <v>3367</v>
      </c>
      <c r="C153" s="61" t="n">
        <v>33</v>
      </c>
      <c r="D153" s="92" t="n">
        <f aca="false">SRC_DC!$O33</f>
        <v>0</v>
      </c>
      <c r="E153" s="92" t="n">
        <f aca="false">SRC_DC!$K33</f>
        <v>0</v>
      </c>
      <c r="F153" s="92" t="n">
        <f aca="false">SRC_DC!$S33</f>
        <v>0</v>
      </c>
    </row>
    <row r="154" customFormat="false" ht="15" hidden="false" customHeight="false" outlineLevel="0" collapsed="false">
      <c r="A154" s="92" t="str">
        <f aca="false">SRC_DC!$A34&amp;""</f>
        <v/>
      </c>
      <c r="B154" s="62" t="s">
        <v>3367</v>
      </c>
      <c r="C154" s="61" t="n">
        <v>34</v>
      </c>
      <c r="D154" s="92" t="n">
        <f aca="false">SRC_DC!$O34</f>
        <v>0</v>
      </c>
      <c r="E154" s="92" t="n">
        <f aca="false">SRC_DC!$K34</f>
        <v>0</v>
      </c>
      <c r="F154" s="92" t="n">
        <f aca="false">SRC_DC!$S34</f>
        <v>0</v>
      </c>
    </row>
    <row r="155" customFormat="false" ht="15" hidden="false" customHeight="false" outlineLevel="0" collapsed="false">
      <c r="A155" s="92" t="str">
        <f aca="false">SRC_DC!$A35&amp;""</f>
        <v/>
      </c>
      <c r="B155" s="62" t="s">
        <v>3367</v>
      </c>
      <c r="C155" s="61" t="n">
        <v>35</v>
      </c>
      <c r="D155" s="92" t="n">
        <f aca="false">SRC_DC!$O35</f>
        <v>0</v>
      </c>
      <c r="E155" s="92" t="n">
        <f aca="false">SRC_DC!$K35</f>
        <v>0</v>
      </c>
      <c r="F155" s="92" t="n">
        <f aca="false">SRC_DC!$S35</f>
        <v>0</v>
      </c>
    </row>
    <row r="156" customFormat="false" ht="15" hidden="false" customHeight="false" outlineLevel="0" collapsed="false">
      <c r="A156" s="92" t="str">
        <f aca="false">SRC_DC!$A36&amp;""</f>
        <v/>
      </c>
      <c r="B156" s="62" t="s">
        <v>3367</v>
      </c>
      <c r="C156" s="61" t="n">
        <v>36</v>
      </c>
      <c r="D156" s="92" t="n">
        <f aca="false">SRC_DC!$O36</f>
        <v>0</v>
      </c>
      <c r="E156" s="92" t="n">
        <f aca="false">SRC_DC!$K36</f>
        <v>0</v>
      </c>
      <c r="F156" s="92" t="n">
        <f aca="false">SRC_DC!$S36</f>
        <v>0</v>
      </c>
    </row>
    <row r="157" customFormat="false" ht="15" hidden="false" customHeight="false" outlineLevel="0" collapsed="false">
      <c r="A157" s="92" t="str">
        <f aca="false">SRC_DC!$A37&amp;""</f>
        <v/>
      </c>
      <c r="B157" s="62" t="s">
        <v>3367</v>
      </c>
      <c r="C157" s="61" t="n">
        <v>37</v>
      </c>
      <c r="D157" s="92" t="n">
        <f aca="false">SRC_DC!$O37</f>
        <v>0</v>
      </c>
      <c r="E157" s="92" t="n">
        <f aca="false">SRC_DC!$K37</f>
        <v>0</v>
      </c>
      <c r="F157" s="92" t="n">
        <f aca="false">SRC_DC!$S37</f>
        <v>0</v>
      </c>
    </row>
    <row r="158" customFormat="false" ht="15" hidden="false" customHeight="false" outlineLevel="0" collapsed="false">
      <c r="A158" s="92" t="str">
        <f aca="false">SRC_DC!$A38&amp;""</f>
        <v/>
      </c>
      <c r="B158" s="62" t="s">
        <v>3367</v>
      </c>
      <c r="C158" s="61" t="n">
        <v>38</v>
      </c>
      <c r="D158" s="92" t="n">
        <f aca="false">SRC_DC!$O38</f>
        <v>0</v>
      </c>
      <c r="E158" s="92" t="n">
        <f aca="false">SRC_DC!$K38</f>
        <v>0</v>
      </c>
      <c r="F158" s="92" t="n">
        <f aca="false">SRC_DC!$S38</f>
        <v>0</v>
      </c>
    </row>
    <row r="159" customFormat="false" ht="15" hidden="false" customHeight="false" outlineLevel="0" collapsed="false">
      <c r="A159" s="92" t="str">
        <f aca="false">SRC_DC!$A39&amp;""</f>
        <v/>
      </c>
      <c r="B159" s="62" t="s">
        <v>3367</v>
      </c>
      <c r="C159" s="61" t="n">
        <v>39</v>
      </c>
      <c r="D159" s="92" t="n">
        <f aca="false">SRC_DC!$O39</f>
        <v>0</v>
      </c>
      <c r="E159" s="92" t="n">
        <f aca="false">SRC_DC!$K39</f>
        <v>0</v>
      </c>
      <c r="F159" s="92" t="n">
        <f aca="false">SRC_DC!$S39</f>
        <v>0</v>
      </c>
    </row>
    <row r="160" customFormat="false" ht="15" hidden="false" customHeight="false" outlineLevel="0" collapsed="false">
      <c r="A160" s="92" t="str">
        <f aca="false">SRC_DC!$A40&amp;""</f>
        <v/>
      </c>
      <c r="B160" s="62" t="s">
        <v>3367</v>
      </c>
      <c r="C160" s="61" t="n">
        <v>40</v>
      </c>
      <c r="D160" s="92" t="n">
        <f aca="false">SRC_DC!$O40</f>
        <v>0</v>
      </c>
      <c r="E160" s="92" t="n">
        <f aca="false">SRC_DC!$K40</f>
        <v>0</v>
      </c>
      <c r="F160" s="92" t="n">
        <f aca="false">SRC_DC!$S40</f>
        <v>0</v>
      </c>
    </row>
    <row r="161" customFormat="false" ht="15" hidden="false" customHeight="false" outlineLevel="0" collapsed="false">
      <c r="A161" s="92" t="str">
        <f aca="false">SRC_DC!$A41&amp;""</f>
        <v/>
      </c>
      <c r="B161" s="62" t="s">
        <v>3367</v>
      </c>
      <c r="C161" s="61" t="n">
        <v>41</v>
      </c>
      <c r="D161" s="92" t="n">
        <f aca="false">SRC_DC!$O41</f>
        <v>0</v>
      </c>
      <c r="E161" s="92" t="n">
        <f aca="false">SRC_DC!$K41</f>
        <v>0</v>
      </c>
      <c r="F161" s="92" t="n">
        <f aca="false">SRC_DC!$S41</f>
        <v>0</v>
      </c>
    </row>
    <row r="162" customFormat="false" ht="15" hidden="false" customHeight="false" outlineLevel="0" collapsed="false">
      <c r="A162" s="92" t="str">
        <f aca="false">SRC_DC!$A42&amp;""</f>
        <v/>
      </c>
      <c r="B162" s="62" t="s">
        <v>3367</v>
      </c>
      <c r="C162" s="61" t="n">
        <v>42</v>
      </c>
      <c r="D162" s="92" t="n">
        <f aca="false">SRC_DC!$O42</f>
        <v>0</v>
      </c>
      <c r="E162" s="92" t="n">
        <f aca="false">SRC_DC!$K42</f>
        <v>0</v>
      </c>
      <c r="F162" s="92" t="n">
        <f aca="false">SRC_DC!$S42</f>
        <v>0</v>
      </c>
    </row>
    <row r="163" customFormat="false" ht="15" hidden="false" customHeight="false" outlineLevel="0" collapsed="false">
      <c r="A163" s="92" t="str">
        <f aca="false">SRC_DC!$A43&amp;""</f>
        <v/>
      </c>
      <c r="B163" s="62" t="s">
        <v>3367</v>
      </c>
      <c r="C163" s="61" t="n">
        <v>43</v>
      </c>
      <c r="D163" s="92" t="n">
        <f aca="false">SRC_DC!$O43</f>
        <v>0</v>
      </c>
      <c r="E163" s="92" t="n">
        <f aca="false">SRC_DC!$K43</f>
        <v>0</v>
      </c>
      <c r="F163" s="92" t="n">
        <f aca="false">SRC_DC!$S43</f>
        <v>0</v>
      </c>
    </row>
    <row r="164" customFormat="false" ht="15" hidden="false" customHeight="false" outlineLevel="0" collapsed="false">
      <c r="A164" s="92" t="str">
        <f aca="false">SRC_DC!$A44&amp;""</f>
        <v/>
      </c>
      <c r="B164" s="62" t="s">
        <v>3367</v>
      </c>
      <c r="C164" s="61" t="n">
        <v>44</v>
      </c>
      <c r="D164" s="92" t="n">
        <f aca="false">SRC_DC!$O44</f>
        <v>0</v>
      </c>
      <c r="E164" s="92" t="n">
        <f aca="false">SRC_DC!$K44</f>
        <v>0</v>
      </c>
      <c r="F164" s="92" t="n">
        <f aca="false">SRC_DC!$S44</f>
        <v>0</v>
      </c>
    </row>
    <row r="165" customFormat="false" ht="15" hidden="false" customHeight="false" outlineLevel="0" collapsed="false">
      <c r="A165" s="92" t="str">
        <f aca="false">SRC_DC!$A45&amp;""</f>
        <v/>
      </c>
      <c r="B165" s="62" t="s">
        <v>3367</v>
      </c>
      <c r="C165" s="61" t="n">
        <v>45</v>
      </c>
      <c r="D165" s="92" t="n">
        <f aca="false">SRC_DC!$O45</f>
        <v>0</v>
      </c>
      <c r="E165" s="92" t="n">
        <f aca="false">SRC_DC!$K45</f>
        <v>0</v>
      </c>
      <c r="F165" s="92" t="n">
        <f aca="false">SRC_DC!$S45</f>
        <v>0</v>
      </c>
    </row>
    <row r="166" customFormat="false" ht="15" hidden="false" customHeight="false" outlineLevel="0" collapsed="false">
      <c r="A166" s="92" t="str">
        <f aca="false">SRC_DC!$A46&amp;""</f>
        <v/>
      </c>
      <c r="B166" s="62" t="s">
        <v>3367</v>
      </c>
      <c r="C166" s="61" t="n">
        <v>46</v>
      </c>
      <c r="D166" s="92" t="n">
        <f aca="false">SRC_DC!$O46</f>
        <v>0</v>
      </c>
      <c r="E166" s="92" t="n">
        <f aca="false">SRC_DC!$K46</f>
        <v>0</v>
      </c>
      <c r="F166" s="92" t="n">
        <f aca="false">SRC_DC!$S46</f>
        <v>0</v>
      </c>
    </row>
    <row r="167" customFormat="false" ht="15" hidden="false" customHeight="false" outlineLevel="0" collapsed="false">
      <c r="A167" s="92" t="str">
        <f aca="false">SRC_DC!$A47&amp;""</f>
        <v/>
      </c>
      <c r="B167" s="62" t="s">
        <v>3367</v>
      </c>
      <c r="C167" s="61" t="n">
        <v>47</v>
      </c>
      <c r="D167" s="92" t="n">
        <f aca="false">SRC_DC!$O47</f>
        <v>0</v>
      </c>
      <c r="E167" s="92" t="n">
        <f aca="false">SRC_DC!$K47</f>
        <v>0</v>
      </c>
      <c r="F167" s="92" t="n">
        <f aca="false">SRC_DC!$S47</f>
        <v>0</v>
      </c>
    </row>
    <row r="168" customFormat="false" ht="15" hidden="false" customHeight="false" outlineLevel="0" collapsed="false">
      <c r="A168" s="92" t="str">
        <f aca="false">SRC_DC!$A48&amp;""</f>
        <v/>
      </c>
      <c r="B168" s="62" t="s">
        <v>3367</v>
      </c>
      <c r="C168" s="61" t="n">
        <v>48</v>
      </c>
      <c r="D168" s="92" t="n">
        <f aca="false">SRC_DC!$O48</f>
        <v>0</v>
      </c>
      <c r="E168" s="92" t="n">
        <f aca="false">SRC_DC!$K48</f>
        <v>0</v>
      </c>
      <c r="F168" s="92" t="n">
        <f aca="false">SRC_DC!$S48</f>
        <v>0</v>
      </c>
    </row>
    <row r="169" customFormat="false" ht="15" hidden="false" customHeight="false" outlineLevel="0" collapsed="false">
      <c r="A169" s="92" t="str">
        <f aca="false">SRC_DC!$A49&amp;""</f>
        <v/>
      </c>
      <c r="B169" s="62" t="s">
        <v>3367</v>
      </c>
      <c r="C169" s="61" t="n">
        <v>49</v>
      </c>
      <c r="D169" s="92" t="n">
        <f aca="false">SRC_DC!$O49</f>
        <v>0</v>
      </c>
      <c r="E169" s="92" t="n">
        <f aca="false">SRC_DC!$K49</f>
        <v>0</v>
      </c>
      <c r="F169" s="92" t="n">
        <f aca="false">SRC_DC!$S49</f>
        <v>0</v>
      </c>
    </row>
    <row r="170" customFormat="false" ht="15" hidden="false" customHeight="false" outlineLevel="0" collapsed="false">
      <c r="A170" s="92" t="str">
        <f aca="false">SRC_DC!$A50&amp;""</f>
        <v/>
      </c>
      <c r="B170" s="62" t="s">
        <v>3367</v>
      </c>
      <c r="C170" s="61" t="n">
        <v>50</v>
      </c>
      <c r="D170" s="92" t="n">
        <f aca="false">SRC_DC!$O50</f>
        <v>0</v>
      </c>
      <c r="E170" s="92" t="n">
        <f aca="false">SRC_DC!$K50</f>
        <v>0</v>
      </c>
      <c r="F170" s="92" t="n">
        <f aca="false">SRC_DC!$S50</f>
        <v>0</v>
      </c>
    </row>
    <row r="171" customFormat="false" ht="15" hidden="false" customHeight="false" outlineLevel="0" collapsed="false">
      <c r="A171" s="92" t="str">
        <f aca="false">SRC_DC!$A51&amp;""</f>
        <v/>
      </c>
      <c r="B171" s="62" t="s">
        <v>3367</v>
      </c>
      <c r="C171" s="61" t="n">
        <v>51</v>
      </c>
      <c r="D171" s="92" t="n">
        <f aca="false">SRC_DC!$O51</f>
        <v>0</v>
      </c>
      <c r="E171" s="92" t="n">
        <f aca="false">SRC_DC!$K51</f>
        <v>0</v>
      </c>
      <c r="F171" s="92" t="n">
        <f aca="false">SRC_DC!$S51</f>
        <v>0</v>
      </c>
    </row>
    <row r="172" customFormat="false" ht="15" hidden="false" customHeight="false" outlineLevel="0" collapsed="false">
      <c r="A172" s="92" t="str">
        <f aca="false">SRC_DC!$A52&amp;""</f>
        <v/>
      </c>
      <c r="B172" s="62" t="s">
        <v>3367</v>
      </c>
      <c r="C172" s="61" t="n">
        <v>52</v>
      </c>
      <c r="D172" s="92" t="n">
        <f aca="false">SRC_DC!$O52</f>
        <v>0</v>
      </c>
      <c r="E172" s="92" t="n">
        <f aca="false">SRC_DC!$K52</f>
        <v>0</v>
      </c>
      <c r="F172" s="92" t="n">
        <f aca="false">SRC_DC!$S52</f>
        <v>0</v>
      </c>
    </row>
    <row r="173" customFormat="false" ht="15" hidden="false" customHeight="false" outlineLevel="0" collapsed="false">
      <c r="A173" s="92" t="str">
        <f aca="false">SRC_DC!$A53&amp;""</f>
        <v/>
      </c>
      <c r="B173" s="62" t="s">
        <v>3367</v>
      </c>
      <c r="C173" s="61" t="n">
        <v>53</v>
      </c>
      <c r="D173" s="92" t="n">
        <f aca="false">SRC_DC!$O53</f>
        <v>0</v>
      </c>
      <c r="E173" s="92" t="n">
        <f aca="false">SRC_DC!$K53</f>
        <v>0</v>
      </c>
      <c r="F173" s="92" t="n">
        <f aca="false">SRC_DC!$S53</f>
        <v>0</v>
      </c>
    </row>
    <row r="174" customFormat="false" ht="15" hidden="false" customHeight="false" outlineLevel="0" collapsed="false">
      <c r="A174" s="92" t="str">
        <f aca="false">SRC_DC!$A54&amp;""</f>
        <v/>
      </c>
      <c r="B174" s="62" t="s">
        <v>3367</v>
      </c>
      <c r="C174" s="61" t="n">
        <v>54</v>
      </c>
      <c r="D174" s="92" t="n">
        <f aca="false">SRC_DC!$O54</f>
        <v>0</v>
      </c>
      <c r="E174" s="92" t="n">
        <f aca="false">SRC_DC!$K54</f>
        <v>0</v>
      </c>
      <c r="F174" s="92" t="n">
        <f aca="false">SRC_DC!$S54</f>
        <v>0</v>
      </c>
    </row>
    <row r="175" customFormat="false" ht="15" hidden="false" customHeight="false" outlineLevel="0" collapsed="false">
      <c r="A175" s="92" t="str">
        <f aca="false">SRC_DC!$A55&amp;""</f>
        <v/>
      </c>
      <c r="B175" s="62" t="s">
        <v>3367</v>
      </c>
      <c r="C175" s="61" t="n">
        <v>55</v>
      </c>
      <c r="D175" s="92" t="n">
        <f aca="false">SRC_DC!$O55</f>
        <v>0</v>
      </c>
      <c r="E175" s="92" t="n">
        <f aca="false">SRC_DC!$K55</f>
        <v>0</v>
      </c>
      <c r="F175" s="92" t="n">
        <f aca="false">SRC_DC!$S55</f>
        <v>0</v>
      </c>
    </row>
    <row r="176" customFormat="false" ht="15" hidden="false" customHeight="false" outlineLevel="0" collapsed="false">
      <c r="A176" s="92" t="str">
        <f aca="false">SRC_DC!$A56&amp;""</f>
        <v/>
      </c>
      <c r="B176" s="62" t="s">
        <v>3367</v>
      </c>
      <c r="C176" s="61" t="n">
        <v>56</v>
      </c>
      <c r="D176" s="92" t="n">
        <f aca="false">SRC_DC!$O56</f>
        <v>0</v>
      </c>
      <c r="E176" s="92" t="n">
        <f aca="false">SRC_DC!$K56</f>
        <v>0</v>
      </c>
      <c r="F176" s="92" t="n">
        <f aca="false">SRC_DC!$S56</f>
        <v>0</v>
      </c>
    </row>
    <row r="177" customFormat="false" ht="15" hidden="false" customHeight="false" outlineLevel="0" collapsed="false">
      <c r="A177" s="92" t="str">
        <f aca="false">SRC_DC!$A57&amp;""</f>
        <v/>
      </c>
      <c r="B177" s="62" t="s">
        <v>3367</v>
      </c>
      <c r="C177" s="61" t="n">
        <v>57</v>
      </c>
      <c r="D177" s="92" t="n">
        <f aca="false">SRC_DC!$O57</f>
        <v>0</v>
      </c>
      <c r="E177" s="92" t="n">
        <f aca="false">SRC_DC!$K57</f>
        <v>0</v>
      </c>
      <c r="F177" s="92" t="n">
        <f aca="false">SRC_DC!$S57</f>
        <v>0</v>
      </c>
    </row>
    <row r="178" customFormat="false" ht="15" hidden="false" customHeight="false" outlineLevel="0" collapsed="false">
      <c r="A178" s="92" t="str">
        <f aca="false">SRC_DC!$A58&amp;""</f>
        <v/>
      </c>
      <c r="B178" s="62" t="s">
        <v>3367</v>
      </c>
      <c r="C178" s="61" t="n">
        <v>58</v>
      </c>
      <c r="D178" s="92" t="n">
        <f aca="false">SRC_DC!$O58</f>
        <v>0</v>
      </c>
      <c r="E178" s="92" t="n">
        <f aca="false">SRC_DC!$K58</f>
        <v>0</v>
      </c>
      <c r="F178" s="92" t="n">
        <f aca="false">SRC_DC!$S58</f>
        <v>0</v>
      </c>
    </row>
    <row r="179" customFormat="false" ht="15" hidden="false" customHeight="false" outlineLevel="0" collapsed="false">
      <c r="A179" s="92" t="str">
        <f aca="false">SRC_DC!$A59&amp;""</f>
        <v/>
      </c>
      <c r="B179" s="62" t="s">
        <v>3367</v>
      </c>
      <c r="C179" s="61" t="n">
        <v>59</v>
      </c>
      <c r="D179" s="92" t="n">
        <f aca="false">SRC_DC!$O59</f>
        <v>0</v>
      </c>
      <c r="E179" s="92" t="n">
        <f aca="false">SRC_DC!$K59</f>
        <v>0</v>
      </c>
      <c r="F179" s="92" t="n">
        <f aca="false">SRC_DC!$S59</f>
        <v>0</v>
      </c>
    </row>
    <row r="180" customFormat="false" ht="15" hidden="false" customHeight="false" outlineLevel="0" collapsed="false">
      <c r="A180" s="92" t="str">
        <f aca="false">SRC_DC!$A60&amp;""</f>
        <v/>
      </c>
      <c r="B180" s="62" t="s">
        <v>3367</v>
      </c>
      <c r="C180" s="61" t="n">
        <v>60</v>
      </c>
      <c r="D180" s="92" t="n">
        <f aca="false">SRC_DC!$O60</f>
        <v>0</v>
      </c>
      <c r="E180" s="92" t="n">
        <f aca="false">SRC_DC!$K60</f>
        <v>0</v>
      </c>
      <c r="F180" s="92" t="n">
        <f aca="false">SRC_DC!$S60</f>
        <v>0</v>
      </c>
    </row>
    <row r="181" customFormat="false" ht="15" hidden="false" customHeight="false" outlineLevel="0" collapsed="false">
      <c r="A181" s="92" t="str">
        <f aca="false">SRC_DC!$A61&amp;""</f>
        <v/>
      </c>
      <c r="B181" s="62" t="s">
        <v>3367</v>
      </c>
      <c r="C181" s="61" t="n">
        <v>61</v>
      </c>
      <c r="D181" s="92" t="n">
        <f aca="false">SRC_DC!$O61</f>
        <v>0</v>
      </c>
      <c r="E181" s="92" t="n">
        <f aca="false">SRC_DC!$K61</f>
        <v>0</v>
      </c>
      <c r="F181" s="92" t="n">
        <f aca="false">SRC_DC!$S61</f>
        <v>0</v>
      </c>
    </row>
    <row r="182" customFormat="false" ht="15" hidden="false" customHeight="false" outlineLevel="0" collapsed="false">
      <c r="A182" s="92" t="str">
        <f aca="false">SRC_DC!$A62&amp;""</f>
        <v/>
      </c>
      <c r="B182" s="62" t="s">
        <v>3367</v>
      </c>
      <c r="C182" s="61" t="n">
        <v>62</v>
      </c>
      <c r="D182" s="92" t="n">
        <f aca="false">SRC_DC!$O62</f>
        <v>0</v>
      </c>
      <c r="E182" s="92" t="n">
        <f aca="false">SRC_DC!$K62</f>
        <v>0</v>
      </c>
      <c r="F182" s="92" t="n">
        <f aca="false">SRC_DC!$S62</f>
        <v>0</v>
      </c>
    </row>
    <row r="183" customFormat="false" ht="15" hidden="false" customHeight="false" outlineLevel="0" collapsed="false">
      <c r="A183" s="92" t="str">
        <f aca="false">SRC_DC!$A63&amp;""</f>
        <v/>
      </c>
      <c r="B183" s="62" t="s">
        <v>3367</v>
      </c>
      <c r="C183" s="61" t="n">
        <v>63</v>
      </c>
      <c r="D183" s="92" t="n">
        <f aca="false">SRC_DC!$O63</f>
        <v>0</v>
      </c>
      <c r="E183" s="92" t="n">
        <f aca="false">SRC_DC!$K63</f>
        <v>0</v>
      </c>
      <c r="F183" s="92" t="n">
        <f aca="false">SRC_DC!$S63</f>
        <v>0</v>
      </c>
    </row>
    <row r="184" customFormat="false" ht="15" hidden="false" customHeight="false" outlineLevel="0" collapsed="false">
      <c r="A184" s="92" t="str">
        <f aca="false">SRC_DC!$A64&amp;""</f>
        <v/>
      </c>
      <c r="B184" s="62" t="s">
        <v>3367</v>
      </c>
      <c r="C184" s="61" t="n">
        <v>64</v>
      </c>
      <c r="D184" s="92" t="n">
        <f aca="false">SRC_DC!$O64</f>
        <v>0</v>
      </c>
      <c r="E184" s="92" t="n">
        <f aca="false">SRC_DC!$K64</f>
        <v>0</v>
      </c>
      <c r="F184" s="92" t="n">
        <f aca="false">SRC_DC!$S64</f>
        <v>0</v>
      </c>
    </row>
    <row r="185" customFormat="false" ht="15" hidden="false" customHeight="false" outlineLevel="0" collapsed="false">
      <c r="A185" s="92" t="str">
        <f aca="false">SRC_DC!$A65&amp;""</f>
        <v/>
      </c>
      <c r="B185" s="62" t="s">
        <v>3367</v>
      </c>
      <c r="C185" s="61" t="n">
        <v>65</v>
      </c>
      <c r="D185" s="92" t="n">
        <f aca="false">SRC_DC!$O65</f>
        <v>0</v>
      </c>
      <c r="E185" s="92" t="n">
        <f aca="false">SRC_DC!$K65</f>
        <v>0</v>
      </c>
      <c r="F185" s="92" t="n">
        <f aca="false">SRC_DC!$S65</f>
        <v>0</v>
      </c>
    </row>
    <row r="186" customFormat="false" ht="15" hidden="false" customHeight="false" outlineLevel="0" collapsed="false">
      <c r="A186" s="92" t="str">
        <f aca="false">SRC_DC!$A66&amp;""</f>
        <v/>
      </c>
      <c r="B186" s="62" t="s">
        <v>3367</v>
      </c>
      <c r="C186" s="61" t="n">
        <v>66</v>
      </c>
      <c r="D186" s="92" t="n">
        <f aca="false">SRC_DC!$O66</f>
        <v>0</v>
      </c>
      <c r="E186" s="92" t="n">
        <f aca="false">SRC_DC!$K66</f>
        <v>0</v>
      </c>
      <c r="F186" s="92" t="n">
        <f aca="false">SRC_DC!$S66</f>
        <v>0</v>
      </c>
    </row>
    <row r="187" customFormat="false" ht="15" hidden="false" customHeight="false" outlineLevel="0" collapsed="false">
      <c r="A187" s="92" t="str">
        <f aca="false">SRC_DC!$A67&amp;""</f>
        <v/>
      </c>
      <c r="B187" s="62" t="s">
        <v>3367</v>
      </c>
      <c r="C187" s="61" t="n">
        <v>67</v>
      </c>
      <c r="D187" s="92" t="n">
        <f aca="false">SRC_DC!$O67</f>
        <v>0</v>
      </c>
      <c r="E187" s="92" t="n">
        <f aca="false">SRC_DC!$K67</f>
        <v>0</v>
      </c>
      <c r="F187" s="92" t="n">
        <f aca="false">SRC_DC!$S67</f>
        <v>0</v>
      </c>
    </row>
    <row r="188" customFormat="false" ht="15" hidden="false" customHeight="false" outlineLevel="0" collapsed="false">
      <c r="A188" s="92" t="str">
        <f aca="false">SRC_DC!$A68&amp;""</f>
        <v/>
      </c>
      <c r="B188" s="62" t="s">
        <v>3367</v>
      </c>
      <c r="C188" s="61" t="n">
        <v>68</v>
      </c>
      <c r="D188" s="92" t="n">
        <f aca="false">SRC_DC!$O68</f>
        <v>0</v>
      </c>
      <c r="E188" s="92" t="n">
        <f aca="false">SRC_DC!$K68</f>
        <v>0</v>
      </c>
      <c r="F188" s="92" t="n">
        <f aca="false">SRC_DC!$S68</f>
        <v>0</v>
      </c>
    </row>
    <row r="189" customFormat="false" ht="15" hidden="false" customHeight="false" outlineLevel="0" collapsed="false">
      <c r="A189" s="92" t="str">
        <f aca="false">SRC_DC!$A69&amp;""</f>
        <v/>
      </c>
      <c r="B189" s="62" t="s">
        <v>3367</v>
      </c>
      <c r="C189" s="61" t="n">
        <v>69</v>
      </c>
      <c r="D189" s="92" t="n">
        <f aca="false">SRC_DC!$O69</f>
        <v>0</v>
      </c>
      <c r="E189" s="92" t="n">
        <f aca="false">SRC_DC!$K69</f>
        <v>0</v>
      </c>
      <c r="F189" s="92" t="n">
        <f aca="false">SRC_DC!$S69</f>
        <v>0</v>
      </c>
    </row>
    <row r="190" customFormat="false" ht="15" hidden="false" customHeight="false" outlineLevel="0" collapsed="false">
      <c r="A190" s="92" t="str">
        <f aca="false">SRC_DC!$A70&amp;""</f>
        <v/>
      </c>
      <c r="B190" s="62" t="s">
        <v>3367</v>
      </c>
      <c r="C190" s="61" t="n">
        <v>70</v>
      </c>
      <c r="D190" s="92" t="n">
        <f aca="false">SRC_DC!$O70</f>
        <v>0</v>
      </c>
      <c r="E190" s="92" t="n">
        <f aca="false">SRC_DC!$K70</f>
        <v>0</v>
      </c>
      <c r="F190" s="92" t="n">
        <f aca="false">SRC_DC!$S70</f>
        <v>0</v>
      </c>
    </row>
    <row r="191" customFormat="false" ht="15" hidden="false" customHeight="false" outlineLevel="0" collapsed="false">
      <c r="A191" s="92" t="str">
        <f aca="false">SRC_DC!$A71&amp;""</f>
        <v/>
      </c>
      <c r="B191" s="62" t="s">
        <v>3367</v>
      </c>
      <c r="C191" s="61" t="n">
        <v>71</v>
      </c>
      <c r="D191" s="92" t="n">
        <f aca="false">SRC_DC!$O71</f>
        <v>0</v>
      </c>
      <c r="E191" s="92" t="n">
        <f aca="false">SRC_DC!$K71</f>
        <v>0</v>
      </c>
      <c r="F191" s="92" t="n">
        <f aca="false">SRC_DC!$S71</f>
        <v>0</v>
      </c>
    </row>
    <row r="192" customFormat="false" ht="15" hidden="false" customHeight="false" outlineLevel="0" collapsed="false">
      <c r="A192" s="92" t="str">
        <f aca="false">SRC_DC!$A72&amp;""</f>
        <v/>
      </c>
      <c r="B192" s="62" t="s">
        <v>3367</v>
      </c>
      <c r="C192" s="61" t="n">
        <v>72</v>
      </c>
      <c r="D192" s="92" t="n">
        <f aca="false">SRC_DC!$O72</f>
        <v>0</v>
      </c>
      <c r="E192" s="92" t="n">
        <f aca="false">SRC_DC!$K72</f>
        <v>0</v>
      </c>
      <c r="F192" s="92" t="n">
        <f aca="false">SRC_DC!$S72</f>
        <v>0</v>
      </c>
    </row>
    <row r="193" customFormat="false" ht="15" hidden="false" customHeight="false" outlineLevel="0" collapsed="false">
      <c r="A193" s="92" t="str">
        <f aca="false">SRC_DC!$A73&amp;""</f>
        <v/>
      </c>
      <c r="B193" s="62" t="s">
        <v>3367</v>
      </c>
      <c r="C193" s="61" t="n">
        <v>73</v>
      </c>
      <c r="D193" s="92" t="n">
        <f aca="false">SRC_DC!$O73</f>
        <v>0</v>
      </c>
      <c r="E193" s="92" t="n">
        <f aca="false">SRC_DC!$K73</f>
        <v>0</v>
      </c>
      <c r="F193" s="92" t="n">
        <f aca="false">SRC_DC!$S73</f>
        <v>0</v>
      </c>
    </row>
    <row r="194" customFormat="false" ht="15" hidden="false" customHeight="false" outlineLevel="0" collapsed="false">
      <c r="A194" s="92" t="str">
        <f aca="false">SRC_Model!$A5&amp;""</f>
        <v>SRC_MOD_001</v>
      </c>
      <c r="B194" s="62" t="s">
        <v>3369</v>
      </c>
      <c r="C194" s="61" t="n">
        <v>5</v>
      </c>
      <c r="D194" s="92" t="str">
        <f aca="false">SRC_Model!$O5</f>
        <v>Active</v>
      </c>
      <c r="E194" s="92" t="n">
        <f aca="false">SRC_Model!$K5</f>
        <v>3</v>
      </c>
      <c r="F194" s="92" t="str">
        <f aca="false">SRC_Model!$S5</f>
        <v>—</v>
      </c>
    </row>
    <row r="195" customFormat="false" ht="15" hidden="false" customHeight="false" outlineLevel="0" collapsed="false">
      <c r="A195" s="92" t="str">
        <f aca="false">SRC_Model!$A6&amp;""</f>
        <v>SRC_MOD_002</v>
      </c>
      <c r="B195" s="62" t="s">
        <v>3369</v>
      </c>
      <c r="C195" s="61" t="n">
        <v>6</v>
      </c>
      <c r="D195" s="92" t="str">
        <f aca="false">SRC_Model!$O6</f>
        <v>Active</v>
      </c>
      <c r="E195" s="92" t="n">
        <f aca="false">SRC_Model!$K6</f>
        <v>1</v>
      </c>
      <c r="F195" s="92" t="str">
        <f aca="false">SRC_Model!$S6</f>
        <v>2026-10-05</v>
      </c>
    </row>
    <row r="196" customFormat="false" ht="15" hidden="false" customHeight="false" outlineLevel="0" collapsed="false">
      <c r="A196" s="92" t="str">
        <f aca="false">SRC_Model!$A7&amp;""</f>
        <v>SRC_MOD_003</v>
      </c>
      <c r="B196" s="62" t="s">
        <v>3369</v>
      </c>
      <c r="C196" s="61" t="n">
        <v>7</v>
      </c>
      <c r="D196" s="92" t="str">
        <f aca="false">SRC_Model!$O7</f>
        <v>Active</v>
      </c>
      <c r="E196" s="92" t="n">
        <f aca="false">SRC_Model!$K7</f>
        <v>3</v>
      </c>
      <c r="F196" s="92" t="str">
        <f aca="false">SRC_Model!$S7</f>
        <v>—</v>
      </c>
    </row>
    <row r="197" customFormat="false" ht="15" hidden="false" customHeight="false" outlineLevel="0" collapsed="false">
      <c r="A197" s="92" t="str">
        <f aca="false">SRC_Model!$A8&amp;""</f>
        <v>SRC_MOD_004</v>
      </c>
      <c r="B197" s="62" t="s">
        <v>3369</v>
      </c>
      <c r="C197" s="61" t="n">
        <v>8</v>
      </c>
      <c r="D197" s="92" t="str">
        <f aca="false">SRC_Model!$O8</f>
        <v>Active</v>
      </c>
      <c r="E197" s="92" t="n">
        <f aca="false">SRC_Model!$K8</f>
        <v>3</v>
      </c>
      <c r="F197" s="92" t="str">
        <f aca="false">SRC_Model!$S8</f>
        <v>—</v>
      </c>
    </row>
    <row r="198" customFormat="false" ht="15" hidden="false" customHeight="false" outlineLevel="0" collapsed="false">
      <c r="A198" s="92" t="str">
        <f aca="false">SRC_Model!$A9&amp;""</f>
        <v>SRC_MOD_005</v>
      </c>
      <c r="B198" s="62" t="s">
        <v>3369</v>
      </c>
      <c r="C198" s="61" t="n">
        <v>9</v>
      </c>
      <c r="D198" s="92" t="str">
        <f aca="false">SRC_Model!$O9</f>
        <v>Active</v>
      </c>
      <c r="E198" s="92" t="n">
        <f aca="false">SRC_Model!$K9</f>
        <v>3</v>
      </c>
      <c r="F198" s="92" t="str">
        <f aca="false">SRC_Model!$S9</f>
        <v>—</v>
      </c>
    </row>
    <row r="199" customFormat="false" ht="15" hidden="false" customHeight="false" outlineLevel="0" collapsed="false">
      <c r="A199" s="92" t="str">
        <f aca="false">SRC_Model!$A10&amp;""</f>
        <v>SRC_MOD_006</v>
      </c>
      <c r="B199" s="62" t="s">
        <v>3369</v>
      </c>
      <c r="C199" s="61" t="n">
        <v>10</v>
      </c>
      <c r="D199" s="92" t="str">
        <f aca="false">SRC_Model!$O10</f>
        <v>Active</v>
      </c>
      <c r="E199" s="92" t="n">
        <f aca="false">SRC_Model!$K10</f>
        <v>1</v>
      </c>
      <c r="F199" s="92" t="str">
        <f aca="false">SRC_Model!$S10</f>
        <v>2026-10-05</v>
      </c>
    </row>
    <row r="200" customFormat="false" ht="15" hidden="false" customHeight="false" outlineLevel="0" collapsed="false">
      <c r="A200" s="92" t="str">
        <f aca="false">SRC_Model!$A11&amp;""</f>
        <v>SRC_MOD_007</v>
      </c>
      <c r="B200" s="62" t="s">
        <v>3369</v>
      </c>
      <c r="C200" s="61" t="n">
        <v>11</v>
      </c>
      <c r="D200" s="92" t="str">
        <f aca="false">SRC_Model!$O11</f>
        <v>Active</v>
      </c>
      <c r="E200" s="92" t="n">
        <f aca="false">SRC_Model!$K11</f>
        <v>1</v>
      </c>
      <c r="F200" s="92" t="str">
        <f aca="false">SRC_Model!$S11</f>
        <v>2026-10-05</v>
      </c>
    </row>
    <row r="201" customFormat="false" ht="15" hidden="false" customHeight="false" outlineLevel="0" collapsed="false">
      <c r="A201" s="92" t="str">
        <f aca="false">SRC_Model!$A12&amp;""</f>
        <v>SRC_MOD_008</v>
      </c>
      <c r="B201" s="62" t="s">
        <v>3369</v>
      </c>
      <c r="C201" s="61" t="n">
        <v>12</v>
      </c>
      <c r="D201" s="92" t="str">
        <f aca="false">SRC_Model!$O12</f>
        <v>Active</v>
      </c>
      <c r="E201" s="92" t="n">
        <f aca="false">SRC_Model!$K12</f>
        <v>3</v>
      </c>
      <c r="F201" s="92" t="str">
        <f aca="false">SRC_Model!$S12</f>
        <v>—</v>
      </c>
    </row>
    <row r="202" customFormat="false" ht="15" hidden="false" customHeight="false" outlineLevel="0" collapsed="false">
      <c r="A202" s="92" t="str">
        <f aca="false">SRC_Model!$A13&amp;""</f>
        <v>SRC_MOD_009</v>
      </c>
      <c r="B202" s="62" t="s">
        <v>3369</v>
      </c>
      <c r="C202" s="61" t="n">
        <v>13</v>
      </c>
      <c r="D202" s="92" t="str">
        <f aca="false">SRC_Model!$O13</f>
        <v>Active</v>
      </c>
      <c r="E202" s="92" t="n">
        <f aca="false">SRC_Model!$K13</f>
        <v>1</v>
      </c>
      <c r="F202" s="92" t="str">
        <f aca="false">SRC_Model!$S13</f>
        <v>2026-10-05</v>
      </c>
    </row>
    <row r="203" customFormat="false" ht="15" hidden="false" customHeight="false" outlineLevel="0" collapsed="false">
      <c r="A203" s="92" t="str">
        <f aca="false">SRC_Model!$A14&amp;""</f>
        <v>SRC_MOD_010</v>
      </c>
      <c r="B203" s="62" t="s">
        <v>3369</v>
      </c>
      <c r="C203" s="61" t="n">
        <v>14</v>
      </c>
      <c r="D203" s="92" t="str">
        <f aca="false">SRC_Model!$O14</f>
        <v>Active</v>
      </c>
      <c r="E203" s="92" t="n">
        <f aca="false">SRC_Model!$K14</f>
        <v>1</v>
      </c>
      <c r="F203" s="92" t="str">
        <f aca="false">SRC_Model!$S14</f>
        <v>2026-10-05</v>
      </c>
    </row>
    <row r="204" customFormat="false" ht="15" hidden="false" customHeight="false" outlineLevel="0" collapsed="false">
      <c r="A204" s="92" t="str">
        <f aca="false">SRC_Model!$A15&amp;""</f>
        <v>SRC_MOD_011</v>
      </c>
      <c r="B204" s="62" t="s">
        <v>3369</v>
      </c>
      <c r="C204" s="61" t="n">
        <v>15</v>
      </c>
      <c r="D204" s="92" t="str">
        <f aca="false">SRC_Model!$O15</f>
        <v>Active</v>
      </c>
      <c r="E204" s="92" t="n">
        <f aca="false">SRC_Model!$K15</f>
        <v>1</v>
      </c>
      <c r="F204" s="92" t="str">
        <f aca="false">SRC_Model!$S15</f>
        <v>2026-10-05</v>
      </c>
    </row>
    <row r="205" customFormat="false" ht="15" hidden="false" customHeight="false" outlineLevel="0" collapsed="false">
      <c r="A205" s="92" t="str">
        <f aca="false">SRC_Model!$A16&amp;""</f>
        <v>SRC_MOD_012</v>
      </c>
      <c r="B205" s="62" t="s">
        <v>3369</v>
      </c>
      <c r="C205" s="61" t="n">
        <v>16</v>
      </c>
      <c r="D205" s="92" t="str">
        <f aca="false">SRC_Model!$O16</f>
        <v>Active</v>
      </c>
      <c r="E205" s="92" t="n">
        <f aca="false">SRC_Model!$K16</f>
        <v>1</v>
      </c>
      <c r="F205" s="92" t="str">
        <f aca="false">SRC_Model!$S16</f>
        <v>2026-10-05</v>
      </c>
    </row>
    <row r="206" customFormat="false" ht="15" hidden="false" customHeight="false" outlineLevel="0" collapsed="false">
      <c r="A206" s="92" t="str">
        <f aca="false">SRC_Model!$A17&amp;""</f>
        <v>SRC_MOD_013</v>
      </c>
      <c r="B206" s="62" t="s">
        <v>3369</v>
      </c>
      <c r="C206" s="61" t="n">
        <v>17</v>
      </c>
      <c r="D206" s="92" t="str">
        <f aca="false">SRC_Model!$O17</f>
        <v>Active</v>
      </c>
      <c r="E206" s="92" t="n">
        <f aca="false">SRC_Model!$K17</f>
        <v>1</v>
      </c>
      <c r="F206" s="92" t="str">
        <f aca="false">SRC_Model!$S17</f>
        <v>2026-10-05</v>
      </c>
    </row>
    <row r="207" customFormat="false" ht="15" hidden="false" customHeight="false" outlineLevel="0" collapsed="false">
      <c r="A207" s="92" t="str">
        <f aca="false">SRC_Model!$A18&amp;""</f>
        <v>SRC_MOD_014</v>
      </c>
      <c r="B207" s="62" t="s">
        <v>3369</v>
      </c>
      <c r="C207" s="61" t="n">
        <v>18</v>
      </c>
      <c r="D207" s="92" t="str">
        <f aca="false">SRC_Model!$O18</f>
        <v>Active</v>
      </c>
      <c r="E207" s="92" t="n">
        <f aca="false">SRC_Model!$K18</f>
        <v>1</v>
      </c>
      <c r="F207" s="92" t="str">
        <f aca="false">SRC_Model!$S18</f>
        <v>2026-10-05</v>
      </c>
    </row>
    <row r="208" customFormat="false" ht="15" hidden="false" customHeight="false" outlineLevel="0" collapsed="false">
      <c r="A208" s="92" t="str">
        <f aca="false">SRC_Model!$A19&amp;""</f>
        <v>SRC_MOD_015</v>
      </c>
      <c r="B208" s="62" t="s">
        <v>3369</v>
      </c>
      <c r="C208" s="61" t="n">
        <v>19</v>
      </c>
      <c r="D208" s="92" t="str">
        <f aca="false">SRC_Model!$O19</f>
        <v>Active</v>
      </c>
      <c r="E208" s="92" t="n">
        <f aca="false">SRC_Model!$K19</f>
        <v>1</v>
      </c>
      <c r="F208" s="92" t="str">
        <f aca="false">SRC_Model!$S19</f>
        <v>2026-10-05</v>
      </c>
    </row>
    <row r="209" customFormat="false" ht="15" hidden="false" customHeight="false" outlineLevel="0" collapsed="false">
      <c r="A209" s="92" t="str">
        <f aca="false">SRC_Model!$A20&amp;""</f>
        <v>SRC_MOD_016</v>
      </c>
      <c r="B209" s="62" t="s">
        <v>3369</v>
      </c>
      <c r="C209" s="61" t="n">
        <v>20</v>
      </c>
      <c r="D209" s="92" t="str">
        <f aca="false">SRC_Model!$O20</f>
        <v>Active</v>
      </c>
      <c r="E209" s="92" t="n">
        <f aca="false">SRC_Model!$K20</f>
        <v>1</v>
      </c>
      <c r="F209" s="92" t="str">
        <f aca="false">SRC_Model!$S20</f>
        <v>2026-10-05</v>
      </c>
    </row>
    <row r="210" customFormat="false" ht="15" hidden="false" customHeight="false" outlineLevel="0" collapsed="false">
      <c r="A210" s="92" t="str">
        <f aca="false">SRC_Model!$A21&amp;""</f>
        <v>SRC_MOD_017</v>
      </c>
      <c r="B210" s="62" t="s">
        <v>3369</v>
      </c>
      <c r="C210" s="61" t="n">
        <v>21</v>
      </c>
      <c r="D210" s="92" t="str">
        <f aca="false">SRC_Model!$O21</f>
        <v>Active</v>
      </c>
      <c r="E210" s="92" t="n">
        <f aca="false">SRC_Model!$K21</f>
        <v>1</v>
      </c>
      <c r="F210" s="92" t="str">
        <f aca="false">SRC_Model!$S21</f>
        <v>2026-10-05</v>
      </c>
    </row>
    <row r="211" customFormat="false" ht="15" hidden="false" customHeight="false" outlineLevel="0" collapsed="false">
      <c r="A211" s="92" t="str">
        <f aca="false">SRC_Model!$A22&amp;""</f>
        <v>SRC_MOD_018</v>
      </c>
      <c r="B211" s="62" t="s">
        <v>3369</v>
      </c>
      <c r="C211" s="61" t="n">
        <v>22</v>
      </c>
      <c r="D211" s="92" t="str">
        <f aca="false">SRC_Model!$O22</f>
        <v>Active</v>
      </c>
      <c r="E211" s="92" t="n">
        <f aca="false">SRC_Model!$K22</f>
        <v>3</v>
      </c>
      <c r="F211" s="92" t="str">
        <f aca="false">SRC_Model!$S22</f>
        <v>—</v>
      </c>
    </row>
    <row r="212" customFormat="false" ht="15" hidden="false" customHeight="false" outlineLevel="0" collapsed="false">
      <c r="A212" s="92" t="str">
        <f aca="false">SRC_Model!$A23&amp;""</f>
        <v>SRC_MOD_019</v>
      </c>
      <c r="B212" s="62" t="s">
        <v>3369</v>
      </c>
      <c r="C212" s="61" t="n">
        <v>23</v>
      </c>
      <c r="D212" s="92" t="str">
        <f aca="false">SRC_Model!$O23</f>
        <v>Active</v>
      </c>
      <c r="E212" s="92" t="n">
        <f aca="false">SRC_Model!$K23</f>
        <v>3</v>
      </c>
      <c r="F212" s="92" t="str">
        <f aca="false">SRC_Model!$S23</f>
        <v>—</v>
      </c>
    </row>
    <row r="213" customFormat="false" ht="15" hidden="false" customHeight="false" outlineLevel="0" collapsed="false">
      <c r="A213" s="92" t="str">
        <f aca="false">SRC_Model!$A24&amp;""</f>
        <v>SRC_MOD_020</v>
      </c>
      <c r="B213" s="62" t="s">
        <v>3369</v>
      </c>
      <c r="C213" s="61" t="n">
        <v>24</v>
      </c>
      <c r="D213" s="92" t="str">
        <f aca="false">SRC_Model!$O24</f>
        <v>Active</v>
      </c>
      <c r="E213" s="92" t="n">
        <f aca="false">SRC_Model!$K24</f>
        <v>3</v>
      </c>
      <c r="F213" s="92" t="str">
        <f aca="false">SRC_Model!$S24</f>
        <v>—</v>
      </c>
    </row>
    <row r="214" customFormat="false" ht="15" hidden="false" customHeight="false" outlineLevel="0" collapsed="false">
      <c r="A214" s="92" t="str">
        <f aca="false">SRC_Model!$A25&amp;""</f>
        <v>SRC_MOD_021</v>
      </c>
      <c r="B214" s="62" t="s">
        <v>3369</v>
      </c>
      <c r="C214" s="61" t="n">
        <v>25</v>
      </c>
      <c r="D214" s="92" t="str">
        <f aca="false">SRC_Model!$O25</f>
        <v>Active</v>
      </c>
      <c r="E214" s="92" t="n">
        <f aca="false">SRC_Model!$K25</f>
        <v>3</v>
      </c>
      <c r="F214" s="92" t="str">
        <f aca="false">SRC_Model!$S25</f>
        <v>—</v>
      </c>
    </row>
    <row r="215" customFormat="false" ht="15" hidden="false" customHeight="false" outlineLevel="0" collapsed="false">
      <c r="A215" s="92" t="str">
        <f aca="false">SRC_Model!$A26&amp;""</f>
        <v>SRC_MOD_022</v>
      </c>
      <c r="B215" s="62" t="s">
        <v>3369</v>
      </c>
      <c r="C215" s="61" t="n">
        <v>26</v>
      </c>
      <c r="D215" s="92" t="str">
        <f aca="false">SRC_Model!$O26</f>
        <v>Active</v>
      </c>
      <c r="E215" s="92" t="n">
        <f aca="false">SRC_Model!$K26</f>
        <v>3</v>
      </c>
      <c r="F215" s="92" t="str">
        <f aca="false">SRC_Model!$S26</f>
        <v>—</v>
      </c>
    </row>
    <row r="216" customFormat="false" ht="15" hidden="false" customHeight="false" outlineLevel="0" collapsed="false">
      <c r="A216" s="92" t="str">
        <f aca="false">SRC_Model!$A27&amp;""</f>
        <v>SRC_MOD_023</v>
      </c>
      <c r="B216" s="62" t="s">
        <v>3369</v>
      </c>
      <c r="C216" s="61" t="n">
        <v>27</v>
      </c>
      <c r="D216" s="92" t="str">
        <f aca="false">SRC_Model!$O27</f>
        <v>Active</v>
      </c>
      <c r="E216" s="92" t="n">
        <f aca="false">SRC_Model!$K27</f>
        <v>3</v>
      </c>
      <c r="F216" s="92" t="str">
        <f aca="false">SRC_Model!$S27</f>
        <v>—</v>
      </c>
    </row>
    <row r="217" customFormat="false" ht="15" hidden="false" customHeight="false" outlineLevel="0" collapsed="false">
      <c r="A217" s="92" t="str">
        <f aca="false">SRC_Model!$A28&amp;""</f>
        <v>SRC_MOD_024</v>
      </c>
      <c r="B217" s="62" t="s">
        <v>3369</v>
      </c>
      <c r="C217" s="61" t="n">
        <v>28</v>
      </c>
      <c r="D217" s="92" t="str">
        <f aca="false">SRC_Model!$O28</f>
        <v>Active</v>
      </c>
      <c r="E217" s="92" t="n">
        <f aca="false">SRC_Model!$K28</f>
        <v>3</v>
      </c>
      <c r="F217" s="92" t="str">
        <f aca="false">SRC_Model!$S28</f>
        <v>—</v>
      </c>
    </row>
    <row r="218" customFormat="false" ht="15" hidden="false" customHeight="false" outlineLevel="0" collapsed="false">
      <c r="A218" s="92" t="str">
        <f aca="false">SRC_Model!$A29&amp;""</f>
        <v>SRC_MOD_025</v>
      </c>
      <c r="B218" s="62" t="s">
        <v>3369</v>
      </c>
      <c r="C218" s="61" t="n">
        <v>29</v>
      </c>
      <c r="D218" s="92" t="str">
        <f aca="false">SRC_Model!$O29</f>
        <v>Active</v>
      </c>
      <c r="E218" s="92" t="n">
        <f aca="false">SRC_Model!$K29</f>
        <v>3</v>
      </c>
      <c r="F218" s="92" t="str">
        <f aca="false">SRC_Model!$S29</f>
        <v>—</v>
      </c>
    </row>
    <row r="219" customFormat="false" ht="15" hidden="false" customHeight="false" outlineLevel="0" collapsed="false">
      <c r="A219" s="92" t="str">
        <f aca="false">SRC_Model!$A30&amp;""</f>
        <v>SRC_MOD_026</v>
      </c>
      <c r="B219" s="62" t="s">
        <v>3369</v>
      </c>
      <c r="C219" s="61" t="n">
        <v>30</v>
      </c>
      <c r="D219" s="92" t="str">
        <f aca="false">SRC_Model!$O30</f>
        <v>Active</v>
      </c>
      <c r="E219" s="92" t="n">
        <f aca="false">SRC_Model!$K30</f>
        <v>3</v>
      </c>
      <c r="F219" s="92" t="str">
        <f aca="false">SRC_Model!$S30</f>
        <v>—</v>
      </c>
    </row>
    <row r="220" customFormat="false" ht="15" hidden="false" customHeight="false" outlineLevel="0" collapsed="false">
      <c r="A220" s="92" t="str">
        <f aca="false">SRC_Model!$A31&amp;""</f>
        <v>SRC_MOD_027</v>
      </c>
      <c r="B220" s="62" t="s">
        <v>3369</v>
      </c>
      <c r="C220" s="61" t="n">
        <v>31</v>
      </c>
      <c r="D220" s="92" t="str">
        <f aca="false">SRC_Model!$O31</f>
        <v>Active</v>
      </c>
      <c r="E220" s="92" t="n">
        <f aca="false">SRC_Model!$K31</f>
        <v>3</v>
      </c>
      <c r="F220" s="92" t="str">
        <f aca="false">SRC_Model!$S31</f>
        <v>—</v>
      </c>
    </row>
    <row r="221" customFormat="false" ht="15" hidden="false" customHeight="false" outlineLevel="0" collapsed="false">
      <c r="A221" s="92" t="str">
        <f aca="false">SRC_Model!$A32&amp;""</f>
        <v>SRC_MOD_028</v>
      </c>
      <c r="B221" s="62" t="s">
        <v>3369</v>
      </c>
      <c r="C221" s="61" t="n">
        <v>32</v>
      </c>
      <c r="D221" s="92" t="str">
        <f aca="false">SRC_Model!$O32</f>
        <v>Active</v>
      </c>
      <c r="E221" s="92" t="n">
        <f aca="false">SRC_Model!$K32</f>
        <v>3</v>
      </c>
      <c r="F221" s="92" t="str">
        <f aca="false">SRC_Model!$S32</f>
        <v>—</v>
      </c>
    </row>
    <row r="222" customFormat="false" ht="15" hidden="false" customHeight="false" outlineLevel="0" collapsed="false">
      <c r="A222" s="92" t="str">
        <f aca="false">SRC_Model!$A33&amp;""</f>
        <v>SRC_MOD_029</v>
      </c>
      <c r="B222" s="62" t="s">
        <v>3369</v>
      </c>
      <c r="C222" s="61" t="n">
        <v>33</v>
      </c>
      <c r="D222" s="92" t="str">
        <f aca="false">SRC_Model!$O33</f>
        <v>Active</v>
      </c>
      <c r="E222" s="92" t="n">
        <f aca="false">SRC_Model!$K33</f>
        <v>1</v>
      </c>
      <c r="F222" s="92" t="str">
        <f aca="false">SRC_Model!$S33</f>
        <v>—</v>
      </c>
    </row>
    <row r="223" customFormat="false" ht="15" hidden="false" customHeight="false" outlineLevel="0" collapsed="false">
      <c r="A223" s="92" t="str">
        <f aca="false">SRC_Model!$A34&amp;""</f>
        <v>SRC_MOD_030</v>
      </c>
      <c r="B223" s="62" t="s">
        <v>3369</v>
      </c>
      <c r="C223" s="61" t="n">
        <v>34</v>
      </c>
      <c r="D223" s="92" t="str">
        <f aca="false">SRC_Model!$O34</f>
        <v>Active</v>
      </c>
      <c r="E223" s="92" t="n">
        <f aca="false">SRC_Model!$K34</f>
        <v>1</v>
      </c>
      <c r="F223" s="92" t="str">
        <f aca="false">SRC_Model!$S34</f>
        <v>—</v>
      </c>
    </row>
    <row r="224" customFormat="false" ht="15" hidden="false" customHeight="false" outlineLevel="0" collapsed="false">
      <c r="A224" s="92" t="str">
        <f aca="false">SRC_Model!$A35&amp;""</f>
        <v>SRC_MOD_031</v>
      </c>
      <c r="B224" s="62" t="s">
        <v>3369</v>
      </c>
      <c r="C224" s="61" t="n">
        <v>35</v>
      </c>
      <c r="D224" s="92" t="str">
        <f aca="false">SRC_Model!$O35</f>
        <v>Active</v>
      </c>
      <c r="E224" s="92" t="n">
        <f aca="false">SRC_Model!$K35</f>
        <v>1</v>
      </c>
      <c r="F224" s="92" t="str">
        <f aca="false">SRC_Model!$S35</f>
        <v>—</v>
      </c>
    </row>
    <row r="225" customFormat="false" ht="15" hidden="false" customHeight="false" outlineLevel="0" collapsed="false">
      <c r="A225" s="92" t="str">
        <f aca="false">SRC_Model!$A36&amp;""</f>
        <v>SRC_MOD_032</v>
      </c>
      <c r="B225" s="62" t="s">
        <v>3369</v>
      </c>
      <c r="C225" s="61" t="n">
        <v>36</v>
      </c>
      <c r="D225" s="92" t="str">
        <f aca="false">SRC_Model!$O36</f>
        <v>Active</v>
      </c>
      <c r="E225" s="92" t="n">
        <f aca="false">SRC_Model!$K36</f>
        <v>1</v>
      </c>
      <c r="F225" s="92" t="str">
        <f aca="false">SRC_Model!$S36</f>
        <v>—</v>
      </c>
    </row>
    <row r="226" customFormat="false" ht="15" hidden="false" customHeight="false" outlineLevel="0" collapsed="false">
      <c r="A226" s="92" t="str">
        <f aca="false">SRC_Model!$A37&amp;""</f>
        <v>SRC_MOD_033</v>
      </c>
      <c r="B226" s="62" t="s">
        <v>3369</v>
      </c>
      <c r="C226" s="61" t="n">
        <v>37</v>
      </c>
      <c r="D226" s="92" t="str">
        <f aca="false">SRC_Model!$O37</f>
        <v>Active</v>
      </c>
      <c r="E226" s="92" t="n">
        <f aca="false">SRC_Model!$K37</f>
        <v>1</v>
      </c>
      <c r="F226" s="92" t="str">
        <f aca="false">SRC_Model!$S37</f>
        <v>—</v>
      </c>
    </row>
    <row r="227" customFormat="false" ht="15" hidden="false" customHeight="false" outlineLevel="0" collapsed="false">
      <c r="A227" s="92" t="str">
        <f aca="false">SRC_Model!$A38&amp;""</f>
        <v>SRC_MOD_034</v>
      </c>
      <c r="B227" s="62" t="s">
        <v>3369</v>
      </c>
      <c r="C227" s="61" t="n">
        <v>38</v>
      </c>
      <c r="D227" s="92" t="str">
        <f aca="false">SRC_Model!$O38</f>
        <v>Active</v>
      </c>
      <c r="E227" s="92" t="n">
        <f aca="false">SRC_Model!$K38</f>
        <v>2</v>
      </c>
      <c r="F227" s="92" t="str">
        <f aca="false">SRC_Model!$S38</f>
        <v>—</v>
      </c>
    </row>
    <row r="228" customFormat="false" ht="15" hidden="false" customHeight="false" outlineLevel="0" collapsed="false">
      <c r="A228" s="92" t="str">
        <f aca="false">SRC_Model!$A39&amp;""</f>
        <v>SRC_MOD_035</v>
      </c>
      <c r="B228" s="62" t="s">
        <v>3369</v>
      </c>
      <c r="C228" s="61" t="n">
        <v>39</v>
      </c>
      <c r="D228" s="92" t="str">
        <f aca="false">SRC_Model!$O39</f>
        <v>Active</v>
      </c>
      <c r="E228" s="92" t="n">
        <f aca="false">SRC_Model!$K39</f>
        <v>2</v>
      </c>
      <c r="F228" s="92" t="str">
        <f aca="false">SRC_Model!$S39</f>
        <v>—</v>
      </c>
    </row>
    <row r="229" customFormat="false" ht="15" hidden="false" customHeight="false" outlineLevel="0" collapsed="false">
      <c r="A229" s="92" t="str">
        <f aca="false">SRC_Model!$A40&amp;""</f>
        <v>SRC_MOD_036</v>
      </c>
      <c r="B229" s="62" t="s">
        <v>3369</v>
      </c>
      <c r="C229" s="61" t="n">
        <v>40</v>
      </c>
      <c r="D229" s="92" t="str">
        <f aca="false">SRC_Model!$O40</f>
        <v>Active</v>
      </c>
      <c r="E229" s="92" t="n">
        <f aca="false">SRC_Model!$K40</f>
        <v>1</v>
      </c>
      <c r="F229" s="92" t="str">
        <f aca="false">SRC_Model!$S40</f>
        <v>—</v>
      </c>
    </row>
    <row r="230" customFormat="false" ht="15" hidden="false" customHeight="false" outlineLevel="0" collapsed="false">
      <c r="A230" s="92" t="str">
        <f aca="false">SRC_Model!$A41&amp;""</f>
        <v>SRC_MOD_037</v>
      </c>
      <c r="B230" s="62" t="s">
        <v>3369</v>
      </c>
      <c r="C230" s="61" t="n">
        <v>41</v>
      </c>
      <c r="D230" s="92" t="str">
        <f aca="false">SRC_Model!$O41</f>
        <v>Active</v>
      </c>
      <c r="E230" s="92" t="n">
        <f aca="false">SRC_Model!$K41</f>
        <v>1</v>
      </c>
      <c r="F230" s="92" t="str">
        <f aca="false">SRC_Model!$S41</f>
        <v>—</v>
      </c>
    </row>
    <row r="231" customFormat="false" ht="15" hidden="false" customHeight="false" outlineLevel="0" collapsed="false">
      <c r="A231" s="92" t="str">
        <f aca="false">SRC_Model!$A42&amp;""</f>
        <v>SRC_MOD_038</v>
      </c>
      <c r="B231" s="62" t="s">
        <v>3369</v>
      </c>
      <c r="C231" s="61" t="n">
        <v>42</v>
      </c>
      <c r="D231" s="92" t="str">
        <f aca="false">SRC_Model!$O42</f>
        <v>Active</v>
      </c>
      <c r="E231" s="92" t="n">
        <f aca="false">SRC_Model!$K42</f>
        <v>1</v>
      </c>
      <c r="F231" s="92" t="str">
        <f aca="false">SRC_Model!$S42</f>
        <v>—</v>
      </c>
    </row>
    <row r="232" customFormat="false" ht="15" hidden="false" customHeight="false" outlineLevel="0" collapsed="false">
      <c r="A232" s="92" t="str">
        <f aca="false">SRC_Model!$A43&amp;""</f>
        <v>SRC_MOD_039</v>
      </c>
      <c r="B232" s="62" t="s">
        <v>3369</v>
      </c>
      <c r="C232" s="61" t="n">
        <v>43</v>
      </c>
      <c r="D232" s="92" t="str">
        <f aca="false">SRC_Model!$O43</f>
        <v>Active</v>
      </c>
      <c r="E232" s="92" t="n">
        <f aca="false">SRC_Model!$K43</f>
        <v>3</v>
      </c>
      <c r="F232" s="92" t="str">
        <f aca="false">SRC_Model!$S43</f>
        <v>—</v>
      </c>
    </row>
    <row r="233" customFormat="false" ht="15" hidden="false" customHeight="false" outlineLevel="0" collapsed="false">
      <c r="A233" s="92" t="str">
        <f aca="false">SRC_Model!$A44&amp;""</f>
        <v>SRC_MOD_040</v>
      </c>
      <c r="B233" s="62" t="s">
        <v>3369</v>
      </c>
      <c r="C233" s="61" t="n">
        <v>44</v>
      </c>
      <c r="D233" s="92" t="str">
        <f aca="false">SRC_Model!$O44</f>
        <v>Active</v>
      </c>
      <c r="E233" s="92" t="n">
        <f aca="false">SRC_Model!$K44</f>
        <v>3</v>
      </c>
      <c r="F233" s="92" t="str">
        <f aca="false">SRC_Model!$S44</f>
        <v>—</v>
      </c>
    </row>
    <row r="234" customFormat="false" ht="15" hidden="false" customHeight="false" outlineLevel="0" collapsed="false">
      <c r="A234" s="92" t="str">
        <f aca="false">SRC_Model!$A45&amp;""</f>
        <v>SRC_MOD_041</v>
      </c>
      <c r="B234" s="62" t="s">
        <v>3369</v>
      </c>
      <c r="C234" s="61" t="n">
        <v>45</v>
      </c>
      <c r="D234" s="92" t="str">
        <f aca="false">SRC_Model!$O45</f>
        <v>Active</v>
      </c>
      <c r="E234" s="92" t="n">
        <f aca="false">SRC_Model!$K45</f>
        <v>3</v>
      </c>
      <c r="F234" s="92" t="str">
        <f aca="false">SRC_Model!$S45</f>
        <v>—</v>
      </c>
    </row>
    <row r="235" customFormat="false" ht="15" hidden="false" customHeight="false" outlineLevel="0" collapsed="false">
      <c r="A235" s="92" t="str">
        <f aca="false">SRC_Model!$A46&amp;""</f>
        <v>SRC_MOD_042</v>
      </c>
      <c r="B235" s="62" t="s">
        <v>3369</v>
      </c>
      <c r="C235" s="61" t="n">
        <v>46</v>
      </c>
      <c r="D235" s="92" t="str">
        <f aca="false">SRC_Model!$O46</f>
        <v>Active</v>
      </c>
      <c r="E235" s="92" t="n">
        <f aca="false">SRC_Model!$K46</f>
        <v>3</v>
      </c>
      <c r="F235" s="92" t="str">
        <f aca="false">SRC_Model!$S46</f>
        <v>—</v>
      </c>
    </row>
    <row r="236" customFormat="false" ht="15" hidden="false" customHeight="false" outlineLevel="0" collapsed="false">
      <c r="A236" s="92" t="str">
        <f aca="false">SRC_Model!$A47&amp;""</f>
        <v>SRC_MOD_043</v>
      </c>
      <c r="B236" s="62" t="s">
        <v>3369</v>
      </c>
      <c r="C236" s="61" t="n">
        <v>47</v>
      </c>
      <c r="D236" s="92" t="str">
        <f aca="false">SRC_Model!$O47</f>
        <v>Active</v>
      </c>
      <c r="E236" s="92" t="n">
        <f aca="false">SRC_Model!$K47</f>
        <v>1</v>
      </c>
      <c r="F236" s="92" t="str">
        <f aca="false">SRC_Model!$S47</f>
        <v>—</v>
      </c>
    </row>
    <row r="237" customFormat="false" ht="15" hidden="false" customHeight="false" outlineLevel="0" collapsed="false">
      <c r="A237" s="92" t="str">
        <f aca="false">SRC_Model!$A48&amp;""</f>
        <v>SRC_MOD_044</v>
      </c>
      <c r="B237" s="62" t="s">
        <v>3369</v>
      </c>
      <c r="C237" s="61" t="n">
        <v>48</v>
      </c>
      <c r="D237" s="92" t="str">
        <f aca="false">SRC_Model!$O48</f>
        <v>Active</v>
      </c>
      <c r="E237" s="92" t="n">
        <f aca="false">SRC_Model!$K48</f>
        <v>1</v>
      </c>
      <c r="F237" s="92" t="str">
        <f aca="false">SRC_Model!$S48</f>
        <v>—</v>
      </c>
    </row>
    <row r="238" customFormat="false" ht="15" hidden="false" customHeight="false" outlineLevel="0" collapsed="false">
      <c r="A238" s="92" t="str">
        <f aca="false">SRC_Model!$A49&amp;""</f>
        <v>SRC_MOD_045</v>
      </c>
      <c r="B238" s="62" t="s">
        <v>3369</v>
      </c>
      <c r="C238" s="61" t="n">
        <v>49</v>
      </c>
      <c r="D238" s="92" t="str">
        <f aca="false">SRC_Model!$O49</f>
        <v>Active</v>
      </c>
      <c r="E238" s="92" t="n">
        <f aca="false">SRC_Model!$K49</f>
        <v>2</v>
      </c>
      <c r="F238" s="92" t="str">
        <f aca="false">SRC_Model!$S49</f>
        <v>—</v>
      </c>
    </row>
    <row r="239" customFormat="false" ht="15" hidden="false" customHeight="false" outlineLevel="0" collapsed="false">
      <c r="A239" s="92" t="str">
        <f aca="false">SRC_Model!$A50&amp;""</f>
        <v>SRC_MOD_046</v>
      </c>
      <c r="B239" s="62" t="s">
        <v>3369</v>
      </c>
      <c r="C239" s="61" t="n">
        <v>50</v>
      </c>
      <c r="D239" s="92" t="str">
        <f aca="false">SRC_Model!$O50</f>
        <v>Active</v>
      </c>
      <c r="E239" s="92" t="n">
        <f aca="false">SRC_Model!$K50</f>
        <v>2</v>
      </c>
      <c r="F239" s="92" t="str">
        <f aca="false">SRC_Model!$S50</f>
        <v>—</v>
      </c>
    </row>
    <row r="240" customFormat="false" ht="15" hidden="false" customHeight="false" outlineLevel="0" collapsed="false">
      <c r="A240" s="92" t="str">
        <f aca="false">SRC_Model!$A51&amp;""</f>
        <v>SRC_MOD_047</v>
      </c>
      <c r="B240" s="62" t="s">
        <v>3369</v>
      </c>
      <c r="C240" s="61" t="n">
        <v>51</v>
      </c>
      <c r="D240" s="92" t="str">
        <f aca="false">SRC_Model!$O51</f>
        <v>Active</v>
      </c>
      <c r="E240" s="92" t="n">
        <f aca="false">SRC_Model!$K51</f>
        <v>1</v>
      </c>
      <c r="F240" s="92" t="str">
        <f aca="false">SRC_Model!$S51</f>
        <v>—</v>
      </c>
    </row>
    <row r="241" customFormat="false" ht="15" hidden="false" customHeight="false" outlineLevel="0" collapsed="false">
      <c r="A241" s="92" t="str">
        <f aca="false">SRC_Model!$A52&amp;""</f>
        <v>SRC_MOD_048</v>
      </c>
      <c r="B241" s="62" t="s">
        <v>3369</v>
      </c>
      <c r="C241" s="61" t="n">
        <v>52</v>
      </c>
      <c r="D241" s="92" t="str">
        <f aca="false">SRC_Model!$O52</f>
        <v>Active</v>
      </c>
      <c r="E241" s="92" t="n">
        <f aca="false">SRC_Model!$K52</f>
        <v>1</v>
      </c>
      <c r="F241" s="92" t="str">
        <f aca="false">SRC_Model!$S52</f>
        <v>—</v>
      </c>
    </row>
    <row r="242" customFormat="false" ht="15" hidden="false" customHeight="false" outlineLevel="0" collapsed="false">
      <c r="A242" s="92" t="str">
        <f aca="false">SRC_Model!$A53&amp;""</f>
        <v>SRC_MOD_049</v>
      </c>
      <c r="B242" s="62" t="s">
        <v>3369</v>
      </c>
      <c r="C242" s="61" t="n">
        <v>53</v>
      </c>
      <c r="D242" s="92" t="str">
        <f aca="false">SRC_Model!$O53</f>
        <v>Active</v>
      </c>
      <c r="E242" s="92" t="n">
        <f aca="false">SRC_Model!$K53</f>
        <v>3</v>
      </c>
      <c r="F242" s="92" t="str">
        <f aca="false">SRC_Model!$S53</f>
        <v>—</v>
      </c>
    </row>
    <row r="243" customFormat="false" ht="15" hidden="false" customHeight="false" outlineLevel="0" collapsed="false">
      <c r="A243" s="92" t="str">
        <f aca="false">SRC_Model!$A54&amp;""</f>
        <v>SRC_MOD_050</v>
      </c>
      <c r="B243" s="62" t="s">
        <v>3369</v>
      </c>
      <c r="C243" s="61" t="n">
        <v>54</v>
      </c>
      <c r="D243" s="92" t="str">
        <f aca="false">SRC_Model!$O54</f>
        <v>Active</v>
      </c>
      <c r="E243" s="92" t="n">
        <f aca="false">SRC_Model!$K54</f>
        <v>3</v>
      </c>
      <c r="F243" s="92" t="str">
        <f aca="false">SRC_Model!$S54</f>
        <v>—</v>
      </c>
    </row>
    <row r="244" customFormat="false" ht="15" hidden="false" customHeight="false" outlineLevel="0" collapsed="false">
      <c r="A244" s="92" t="str">
        <f aca="false">SRC_Model!$A55&amp;""</f>
        <v>SRC_MOD_051</v>
      </c>
      <c r="B244" s="62" t="s">
        <v>3369</v>
      </c>
      <c r="C244" s="61" t="n">
        <v>55</v>
      </c>
      <c r="D244" s="92" t="str">
        <f aca="false">SRC_Model!$O55</f>
        <v>Active</v>
      </c>
      <c r="E244" s="92" t="n">
        <f aca="false">SRC_Model!$K55</f>
        <v>3</v>
      </c>
      <c r="F244" s="92" t="str">
        <f aca="false">SRC_Model!$S55</f>
        <v>—</v>
      </c>
    </row>
    <row r="245" customFormat="false" ht="15" hidden="false" customHeight="false" outlineLevel="0" collapsed="false">
      <c r="A245" s="92" t="str">
        <f aca="false">SRC_Model!$A56&amp;""</f>
        <v>SRC_MOD_052</v>
      </c>
      <c r="B245" s="62" t="s">
        <v>3369</v>
      </c>
      <c r="C245" s="61" t="n">
        <v>56</v>
      </c>
      <c r="D245" s="92" t="str">
        <f aca="false">SRC_Model!$O56</f>
        <v>Active</v>
      </c>
      <c r="E245" s="92" t="n">
        <f aca="false">SRC_Model!$K56</f>
        <v>1</v>
      </c>
      <c r="F245" s="92" t="str">
        <f aca="false">SRC_Model!$S56</f>
        <v>—</v>
      </c>
    </row>
    <row r="246" customFormat="false" ht="15" hidden="false" customHeight="false" outlineLevel="0" collapsed="false">
      <c r="A246" s="92" t="str">
        <f aca="false">SRC_Model!$A57&amp;""</f>
        <v>SRC_MOD_053</v>
      </c>
      <c r="B246" s="62" t="s">
        <v>3369</v>
      </c>
      <c r="C246" s="61" t="n">
        <v>57</v>
      </c>
      <c r="D246" s="92" t="str">
        <f aca="false">SRC_Model!$O57</f>
        <v>Active</v>
      </c>
      <c r="E246" s="92" t="n">
        <f aca="false">SRC_Model!$K57</f>
        <v>1</v>
      </c>
      <c r="F246" s="92" t="str">
        <f aca="false">SRC_Model!$S57</f>
        <v>—</v>
      </c>
    </row>
    <row r="247" customFormat="false" ht="15" hidden="false" customHeight="false" outlineLevel="0" collapsed="false">
      <c r="A247" s="92" t="str">
        <f aca="false">SRC_Model!$A58&amp;""</f>
        <v>SRC_MOD_054</v>
      </c>
      <c r="B247" s="62" t="s">
        <v>3369</v>
      </c>
      <c r="C247" s="61" t="n">
        <v>58</v>
      </c>
      <c r="D247" s="92" t="str">
        <f aca="false">SRC_Model!$O58</f>
        <v>Active</v>
      </c>
      <c r="E247" s="92" t="n">
        <f aca="false">SRC_Model!$K58</f>
        <v>1</v>
      </c>
      <c r="F247" s="92" t="str">
        <f aca="false">SRC_Model!$S58</f>
        <v>—</v>
      </c>
    </row>
    <row r="248" customFormat="false" ht="15" hidden="false" customHeight="false" outlineLevel="0" collapsed="false">
      <c r="A248" s="92" t="str">
        <f aca="false">SRC_Model!$A59&amp;""</f>
        <v>SRC_MOD_055</v>
      </c>
      <c r="B248" s="62" t="s">
        <v>3369</v>
      </c>
      <c r="C248" s="61" t="n">
        <v>59</v>
      </c>
      <c r="D248" s="92" t="str">
        <f aca="false">SRC_Model!$O59</f>
        <v>Active</v>
      </c>
      <c r="E248" s="92" t="n">
        <f aca="false">SRC_Model!$K59</f>
        <v>1</v>
      </c>
      <c r="F248" s="92" t="str">
        <f aca="false">SRC_Model!$S59</f>
        <v>—</v>
      </c>
    </row>
    <row r="249" customFormat="false" ht="15" hidden="false" customHeight="false" outlineLevel="0" collapsed="false">
      <c r="A249" s="92" t="str">
        <f aca="false">SRC_Model!$A60&amp;""</f>
        <v>SRC_MOD_057</v>
      </c>
      <c r="B249" s="62" t="s">
        <v>3369</v>
      </c>
      <c r="C249" s="61" t="n">
        <v>60</v>
      </c>
      <c r="D249" s="92" t="str">
        <f aca="false">SRC_Model!$O60</f>
        <v>Active</v>
      </c>
      <c r="E249" s="92" t="n">
        <f aca="false">SRC_Model!$K60</f>
        <v>1</v>
      </c>
      <c r="F249" s="92" t="str">
        <f aca="false">SRC_Model!$S60</f>
        <v>—</v>
      </c>
    </row>
    <row r="250" customFormat="false" ht="15" hidden="false" customHeight="false" outlineLevel="0" collapsed="false">
      <c r="A250" s="92" t="str">
        <f aca="false">SRC_Model!$A61&amp;""</f>
        <v>SRC_MOD_058</v>
      </c>
      <c r="B250" s="62" t="s">
        <v>3369</v>
      </c>
      <c r="C250" s="61" t="n">
        <v>61</v>
      </c>
      <c r="D250" s="92" t="str">
        <f aca="false">SRC_Model!$O61</f>
        <v>Active</v>
      </c>
      <c r="E250" s="92" t="n">
        <f aca="false">SRC_Model!$K61</f>
        <v>1</v>
      </c>
      <c r="F250" s="92" t="str">
        <f aca="false">SRC_Model!$S61</f>
        <v>—</v>
      </c>
    </row>
    <row r="251" customFormat="false" ht="15" hidden="false" customHeight="false" outlineLevel="0" collapsed="false">
      <c r="A251" s="92" t="str">
        <f aca="false">SRC_Model!$A62&amp;""</f>
        <v>SRC_MOD_059</v>
      </c>
      <c r="B251" s="62" t="s">
        <v>3369</v>
      </c>
      <c r="C251" s="61" t="n">
        <v>62</v>
      </c>
      <c r="D251" s="92" t="str">
        <f aca="false">SRC_Model!$O62</f>
        <v>Active</v>
      </c>
      <c r="E251" s="92" t="n">
        <f aca="false">SRC_Model!$K62</f>
        <v>1</v>
      </c>
      <c r="F251" s="92" t="str">
        <f aca="false">SRC_Model!$S62</f>
        <v>—</v>
      </c>
    </row>
    <row r="252" customFormat="false" ht="15" hidden="false" customHeight="false" outlineLevel="0" collapsed="false">
      <c r="A252" s="92" t="str">
        <f aca="false">SRC_Model!$A63&amp;""</f>
        <v>SRC_MOD_060</v>
      </c>
      <c r="B252" s="62" t="s">
        <v>3369</v>
      </c>
      <c r="C252" s="61" t="n">
        <v>63</v>
      </c>
      <c r="D252" s="92" t="str">
        <f aca="false">SRC_Model!$O63</f>
        <v>Active</v>
      </c>
      <c r="E252" s="92" t="n">
        <f aca="false">SRC_Model!$K63</f>
        <v>1</v>
      </c>
      <c r="F252" s="92" t="str">
        <f aca="false">SRC_Model!$S63</f>
        <v>—</v>
      </c>
    </row>
    <row r="253" customFormat="false" ht="15" hidden="false" customHeight="false" outlineLevel="0" collapsed="false">
      <c r="A253" s="92" t="str">
        <f aca="false">SRC_Model!$A64&amp;""</f>
        <v>SRC_MOD_061</v>
      </c>
      <c r="B253" s="62" t="s">
        <v>3369</v>
      </c>
      <c r="C253" s="61" t="n">
        <v>64</v>
      </c>
      <c r="D253" s="92" t="str">
        <f aca="false">SRC_Model!$O64</f>
        <v>Active</v>
      </c>
      <c r="E253" s="92" t="n">
        <f aca="false">SRC_Model!$K64</f>
        <v>1</v>
      </c>
      <c r="F253" s="92" t="str">
        <f aca="false">SRC_Model!$S64</f>
        <v>—</v>
      </c>
    </row>
    <row r="254" customFormat="false" ht="15" hidden="false" customHeight="false" outlineLevel="0" collapsed="false">
      <c r="A254" s="92" t="str">
        <f aca="false">SRC_Model!$A65&amp;""</f>
        <v>SRC_MOD_062</v>
      </c>
      <c r="B254" s="62" t="s">
        <v>3369</v>
      </c>
      <c r="C254" s="61" t="n">
        <v>65</v>
      </c>
      <c r="D254" s="92" t="str">
        <f aca="false">SRC_Model!$O65</f>
        <v>Active</v>
      </c>
      <c r="E254" s="92" t="n">
        <f aca="false">SRC_Model!$K65</f>
        <v>1</v>
      </c>
      <c r="F254" s="92" t="str">
        <f aca="false">SRC_Model!$S65</f>
        <v>—</v>
      </c>
    </row>
    <row r="255" customFormat="false" ht="15" hidden="false" customHeight="false" outlineLevel="0" collapsed="false">
      <c r="A255" s="92" t="str">
        <f aca="false">SRC_Model!$A66&amp;""</f>
        <v/>
      </c>
      <c r="B255" s="62" t="s">
        <v>3369</v>
      </c>
      <c r="C255" s="61" t="n">
        <v>66</v>
      </c>
      <c r="D255" s="92" t="n">
        <f aca="false">SRC_Model!$O66</f>
        <v>0</v>
      </c>
      <c r="E255" s="92" t="n">
        <f aca="false">SRC_Model!$K66</f>
        <v>0</v>
      </c>
      <c r="F255" s="92" t="n">
        <f aca="false">SRC_Model!$S66</f>
        <v>0</v>
      </c>
    </row>
    <row r="256" customFormat="false" ht="15" hidden="false" customHeight="false" outlineLevel="0" collapsed="false">
      <c r="A256" s="92" t="str">
        <f aca="false">SRC_Model!$A67&amp;""</f>
        <v/>
      </c>
      <c r="B256" s="62" t="s">
        <v>3369</v>
      </c>
      <c r="C256" s="61" t="n">
        <v>67</v>
      </c>
      <c r="D256" s="92" t="n">
        <f aca="false">SRC_Model!$O67</f>
        <v>0</v>
      </c>
      <c r="E256" s="92" t="n">
        <f aca="false">SRC_Model!$K67</f>
        <v>0</v>
      </c>
      <c r="F256" s="92" t="n">
        <f aca="false">SRC_Model!$S67</f>
        <v>0</v>
      </c>
    </row>
    <row r="257" customFormat="false" ht="15" hidden="false" customHeight="false" outlineLevel="0" collapsed="false">
      <c r="A257" s="92" t="str">
        <f aca="false">SRC_Model!$A68&amp;""</f>
        <v/>
      </c>
      <c r="B257" s="62" t="s">
        <v>3369</v>
      </c>
      <c r="C257" s="61" t="n">
        <v>68</v>
      </c>
      <c r="D257" s="92" t="n">
        <f aca="false">SRC_Model!$O68</f>
        <v>0</v>
      </c>
      <c r="E257" s="92" t="n">
        <f aca="false">SRC_Model!$K68</f>
        <v>0</v>
      </c>
      <c r="F257" s="92" t="n">
        <f aca="false">SRC_Model!$S68</f>
        <v>0</v>
      </c>
    </row>
    <row r="258" customFormat="false" ht="15" hidden="false" customHeight="false" outlineLevel="0" collapsed="false">
      <c r="A258" s="92" t="str">
        <f aca="false">SRC_Model!$A69&amp;""</f>
        <v/>
      </c>
      <c r="B258" s="62" t="s">
        <v>3369</v>
      </c>
      <c r="C258" s="61" t="n">
        <v>69</v>
      </c>
      <c r="D258" s="92" t="n">
        <f aca="false">SRC_Model!$O69</f>
        <v>0</v>
      </c>
      <c r="E258" s="92" t="n">
        <f aca="false">SRC_Model!$K69</f>
        <v>0</v>
      </c>
      <c r="F258" s="92" t="n">
        <f aca="false">SRC_Model!$S69</f>
        <v>0</v>
      </c>
    </row>
    <row r="259" customFormat="false" ht="15" hidden="false" customHeight="false" outlineLevel="0" collapsed="false">
      <c r="A259" s="92" t="str">
        <f aca="false">SRC_Model!$A70&amp;""</f>
        <v/>
      </c>
      <c r="B259" s="62" t="s">
        <v>3369</v>
      </c>
      <c r="C259" s="61" t="n">
        <v>70</v>
      </c>
      <c r="D259" s="92" t="n">
        <f aca="false">SRC_Model!$O70</f>
        <v>0</v>
      </c>
      <c r="E259" s="92" t="n">
        <f aca="false">SRC_Model!$K70</f>
        <v>0</v>
      </c>
      <c r="F259" s="92" t="n">
        <f aca="false">SRC_Model!$S70</f>
        <v>0</v>
      </c>
    </row>
    <row r="260" customFormat="false" ht="15" hidden="false" customHeight="false" outlineLevel="0" collapsed="false">
      <c r="A260" s="92" t="str">
        <f aca="false">SRC_Model!$A71&amp;""</f>
        <v/>
      </c>
      <c r="B260" s="62" t="s">
        <v>3369</v>
      </c>
      <c r="C260" s="61" t="n">
        <v>71</v>
      </c>
      <c r="D260" s="92" t="n">
        <f aca="false">SRC_Model!$O71</f>
        <v>0</v>
      </c>
      <c r="E260" s="92" t="n">
        <f aca="false">SRC_Model!$K71</f>
        <v>0</v>
      </c>
      <c r="F260" s="92" t="n">
        <f aca="false">SRC_Model!$S71</f>
        <v>0</v>
      </c>
    </row>
    <row r="261" customFormat="false" ht="15" hidden="false" customHeight="false" outlineLevel="0" collapsed="false">
      <c r="A261" s="92" t="str">
        <f aca="false">SRC_Model!$A72&amp;""</f>
        <v/>
      </c>
      <c r="B261" s="62" t="s">
        <v>3369</v>
      </c>
      <c r="C261" s="61" t="n">
        <v>72</v>
      </c>
      <c r="D261" s="92" t="n">
        <f aca="false">SRC_Model!$O72</f>
        <v>0</v>
      </c>
      <c r="E261" s="92" t="n">
        <f aca="false">SRC_Model!$K72</f>
        <v>0</v>
      </c>
      <c r="F261" s="92" t="n">
        <f aca="false">SRC_Model!$S72</f>
        <v>0</v>
      </c>
    </row>
    <row r="262" customFormat="false" ht="15" hidden="false" customHeight="false" outlineLevel="0" collapsed="false">
      <c r="A262" s="92" t="str">
        <f aca="false">SRC_Model!$A73&amp;""</f>
        <v/>
      </c>
      <c r="B262" s="62" t="s">
        <v>3369</v>
      </c>
      <c r="C262" s="61" t="n">
        <v>73</v>
      </c>
      <c r="D262" s="92" t="n">
        <f aca="false">SRC_Model!$O73</f>
        <v>0</v>
      </c>
      <c r="E262" s="92" t="n">
        <f aca="false">SRC_Model!$K73</f>
        <v>0</v>
      </c>
      <c r="F262" s="92" t="n">
        <f aca="false">SRC_Model!$S73</f>
        <v>0</v>
      </c>
    </row>
    <row r="263" customFormat="false" ht="15" hidden="false" customHeight="false" outlineLevel="0" collapsed="false">
      <c r="A263" s="92" t="str">
        <f aca="false">SRC_Model!$A74&amp;""</f>
        <v/>
      </c>
      <c r="B263" s="62" t="s">
        <v>3369</v>
      </c>
      <c r="C263" s="61" t="n">
        <v>74</v>
      </c>
      <c r="D263" s="92" t="n">
        <f aca="false">SRC_Model!$O74</f>
        <v>0</v>
      </c>
      <c r="E263" s="92" t="n">
        <f aca="false">SRC_Model!$K74</f>
        <v>0</v>
      </c>
      <c r="F263" s="92" t="n">
        <f aca="false">SRC_Model!$S74</f>
        <v>0</v>
      </c>
    </row>
    <row r="264" customFormat="false" ht="15" hidden="false" customHeight="false" outlineLevel="0" collapsed="false">
      <c r="A264" s="92" t="str">
        <f aca="false">SRC_Model!$A75&amp;""</f>
        <v/>
      </c>
      <c r="B264" s="62" t="s">
        <v>3369</v>
      </c>
      <c r="C264" s="61" t="n">
        <v>75</v>
      </c>
      <c r="D264" s="92" t="n">
        <f aca="false">SRC_Model!$O75</f>
        <v>0</v>
      </c>
      <c r="E264" s="92" t="n">
        <f aca="false">SRC_Model!$K75</f>
        <v>0</v>
      </c>
      <c r="F264" s="92" t="n">
        <f aca="false">SRC_Model!$S75</f>
        <v>0</v>
      </c>
    </row>
    <row r="265" customFormat="false" ht="15" hidden="false" customHeight="false" outlineLevel="0" collapsed="false">
      <c r="A265" s="92" t="str">
        <f aca="false">SRC_Model!$A76&amp;""</f>
        <v/>
      </c>
      <c r="B265" s="62" t="s">
        <v>3369</v>
      </c>
      <c r="C265" s="61" t="n">
        <v>76</v>
      </c>
      <c r="D265" s="92" t="n">
        <f aca="false">SRC_Model!$O76</f>
        <v>0</v>
      </c>
      <c r="E265" s="92" t="n">
        <f aca="false">SRC_Model!$K76</f>
        <v>0</v>
      </c>
      <c r="F265" s="92" t="n">
        <f aca="false">SRC_Model!$S76</f>
        <v>0</v>
      </c>
    </row>
    <row r="266" customFormat="false" ht="15" hidden="false" customHeight="false" outlineLevel="0" collapsed="false">
      <c r="A266" s="92" t="str">
        <f aca="false">SRC_Model!$A77&amp;""</f>
        <v/>
      </c>
      <c r="B266" s="62" t="s">
        <v>3369</v>
      </c>
      <c r="C266" s="61" t="n">
        <v>77</v>
      </c>
      <c r="D266" s="92" t="n">
        <f aca="false">SRC_Model!$O77</f>
        <v>0</v>
      </c>
      <c r="E266" s="92" t="n">
        <f aca="false">SRC_Model!$K77</f>
        <v>0</v>
      </c>
      <c r="F266" s="92" t="n">
        <f aca="false">SRC_Model!$S77</f>
        <v>0</v>
      </c>
    </row>
    <row r="267" customFormat="false" ht="15" hidden="false" customHeight="false" outlineLevel="0" collapsed="false">
      <c r="A267" s="92" t="str">
        <f aca="false">SRC_Model!$A78&amp;""</f>
        <v/>
      </c>
      <c r="B267" s="62" t="s">
        <v>3369</v>
      </c>
      <c r="C267" s="61" t="n">
        <v>78</v>
      </c>
      <c r="D267" s="92" t="n">
        <f aca="false">SRC_Model!$O78</f>
        <v>0</v>
      </c>
      <c r="E267" s="92" t="n">
        <f aca="false">SRC_Model!$K78</f>
        <v>0</v>
      </c>
      <c r="F267" s="92" t="n">
        <f aca="false">SRC_Model!$S78</f>
        <v>0</v>
      </c>
    </row>
    <row r="268" customFormat="false" ht="15" hidden="false" customHeight="false" outlineLevel="0" collapsed="false">
      <c r="A268" s="92" t="str">
        <f aca="false">SRC_Model!$A79&amp;""</f>
        <v/>
      </c>
      <c r="B268" s="62" t="s">
        <v>3369</v>
      </c>
      <c r="C268" s="61" t="n">
        <v>79</v>
      </c>
      <c r="D268" s="92" t="n">
        <f aca="false">SRC_Model!$O79</f>
        <v>0</v>
      </c>
      <c r="E268" s="92" t="n">
        <f aca="false">SRC_Model!$K79</f>
        <v>0</v>
      </c>
      <c r="F268" s="92" t="n">
        <f aca="false">SRC_Model!$S79</f>
        <v>0</v>
      </c>
    </row>
    <row r="269" customFormat="false" ht="15" hidden="false" customHeight="false" outlineLevel="0" collapsed="false">
      <c r="A269" s="92" t="str">
        <f aca="false">SRC_Model!$A80&amp;""</f>
        <v/>
      </c>
      <c r="B269" s="62" t="s">
        <v>3369</v>
      </c>
      <c r="C269" s="61" t="n">
        <v>80</v>
      </c>
      <c r="D269" s="92" t="n">
        <f aca="false">SRC_Model!$O80</f>
        <v>0</v>
      </c>
      <c r="E269" s="92" t="n">
        <f aca="false">SRC_Model!$K80</f>
        <v>0</v>
      </c>
      <c r="F269" s="92" t="n">
        <f aca="false">SRC_Model!$S80</f>
        <v>0</v>
      </c>
    </row>
    <row r="270" customFormat="false" ht="15" hidden="false" customHeight="false" outlineLevel="0" collapsed="false">
      <c r="A270" s="92" t="str">
        <f aca="false">SRC_Model!$A81&amp;""</f>
        <v/>
      </c>
      <c r="B270" s="62" t="s">
        <v>3369</v>
      </c>
      <c r="C270" s="61" t="n">
        <v>81</v>
      </c>
      <c r="D270" s="92" t="n">
        <f aca="false">SRC_Model!$O81</f>
        <v>0</v>
      </c>
      <c r="E270" s="92" t="n">
        <f aca="false">SRC_Model!$K81</f>
        <v>0</v>
      </c>
      <c r="F270" s="92" t="n">
        <f aca="false">SRC_Model!$S81</f>
        <v>0</v>
      </c>
    </row>
    <row r="271" customFormat="false" ht="15" hidden="false" customHeight="false" outlineLevel="0" collapsed="false">
      <c r="A271" s="92" t="str">
        <f aca="false">SRC_Model!$A82&amp;""</f>
        <v/>
      </c>
      <c r="B271" s="62" t="s">
        <v>3369</v>
      </c>
      <c r="C271" s="61" t="n">
        <v>82</v>
      </c>
      <c r="D271" s="92" t="n">
        <f aca="false">SRC_Model!$O82</f>
        <v>0</v>
      </c>
      <c r="E271" s="92" t="n">
        <f aca="false">SRC_Model!$K82</f>
        <v>0</v>
      </c>
      <c r="F271" s="92" t="n">
        <f aca="false">SRC_Model!$S82</f>
        <v>0</v>
      </c>
    </row>
    <row r="272" customFormat="false" ht="15" hidden="false" customHeight="false" outlineLevel="0" collapsed="false">
      <c r="A272" s="92" t="str">
        <f aca="false">SRC_Model!$A83&amp;""</f>
        <v/>
      </c>
      <c r="B272" s="62" t="s">
        <v>3369</v>
      </c>
      <c r="C272" s="61" t="n">
        <v>83</v>
      </c>
      <c r="D272" s="92" t="n">
        <f aca="false">SRC_Model!$O83</f>
        <v>0</v>
      </c>
      <c r="E272" s="92" t="n">
        <f aca="false">SRC_Model!$K83</f>
        <v>0</v>
      </c>
      <c r="F272" s="92" t="n">
        <f aca="false">SRC_Model!$S83</f>
        <v>0</v>
      </c>
    </row>
    <row r="273" customFormat="false" ht="15" hidden="false" customHeight="false" outlineLevel="0" collapsed="false">
      <c r="A273" s="92" t="str">
        <f aca="false">SRC_Model!$A84&amp;""</f>
        <v/>
      </c>
      <c r="B273" s="62" t="s">
        <v>3369</v>
      </c>
      <c r="C273" s="61" t="n">
        <v>84</v>
      </c>
      <c r="D273" s="92" t="n">
        <f aca="false">SRC_Model!$O84</f>
        <v>0</v>
      </c>
      <c r="E273" s="92" t="n">
        <f aca="false">SRC_Model!$K84</f>
        <v>0</v>
      </c>
      <c r="F273" s="92" t="n">
        <f aca="false">SRC_Model!$S84</f>
        <v>0</v>
      </c>
    </row>
    <row r="274" customFormat="false" ht="15" hidden="false" customHeight="false" outlineLevel="0" collapsed="false">
      <c r="A274" s="92" t="str">
        <f aca="false">SRC_Model!$A85&amp;""</f>
        <v/>
      </c>
      <c r="B274" s="62" t="s">
        <v>3369</v>
      </c>
      <c r="C274" s="61" t="n">
        <v>85</v>
      </c>
      <c r="D274" s="92" t="n">
        <f aca="false">SRC_Model!$O85</f>
        <v>0</v>
      </c>
      <c r="E274" s="92" t="n">
        <f aca="false">SRC_Model!$K85</f>
        <v>0</v>
      </c>
      <c r="F274" s="92" t="n">
        <f aca="false">SRC_Model!$S85</f>
        <v>0</v>
      </c>
    </row>
    <row r="275" customFormat="false" ht="15" hidden="false" customHeight="false" outlineLevel="0" collapsed="false">
      <c r="A275" s="92" t="str">
        <f aca="false">SRC_Model!$A86&amp;""</f>
        <v/>
      </c>
      <c r="B275" s="62" t="s">
        <v>3369</v>
      </c>
      <c r="C275" s="61" t="n">
        <v>86</v>
      </c>
      <c r="D275" s="92" t="n">
        <f aca="false">SRC_Model!$O86</f>
        <v>0</v>
      </c>
      <c r="E275" s="92" t="n">
        <f aca="false">SRC_Model!$K86</f>
        <v>0</v>
      </c>
      <c r="F275" s="92" t="n">
        <f aca="false">SRC_Model!$S86</f>
        <v>0</v>
      </c>
    </row>
    <row r="276" customFormat="false" ht="15" hidden="false" customHeight="false" outlineLevel="0" collapsed="false">
      <c r="A276" s="92" t="str">
        <f aca="false">SRC_Model!$A87&amp;""</f>
        <v/>
      </c>
      <c r="B276" s="62" t="s">
        <v>3369</v>
      </c>
      <c r="C276" s="61" t="n">
        <v>87</v>
      </c>
      <c r="D276" s="92" t="n">
        <f aca="false">SRC_Model!$O87</f>
        <v>0</v>
      </c>
      <c r="E276" s="92" t="n">
        <f aca="false">SRC_Model!$K87</f>
        <v>0</v>
      </c>
      <c r="F276" s="92" t="n">
        <f aca="false">SRC_Model!$S87</f>
        <v>0</v>
      </c>
    </row>
    <row r="277" customFormat="false" ht="15" hidden="false" customHeight="false" outlineLevel="0" collapsed="false">
      <c r="A277" s="92" t="str">
        <f aca="false">SRC_Model!$A88&amp;""</f>
        <v/>
      </c>
      <c r="B277" s="62" t="s">
        <v>3369</v>
      </c>
      <c r="C277" s="61" t="n">
        <v>88</v>
      </c>
      <c r="D277" s="92" t="n">
        <f aca="false">SRC_Model!$O88</f>
        <v>0</v>
      </c>
      <c r="E277" s="92" t="n">
        <f aca="false">SRC_Model!$K88</f>
        <v>0</v>
      </c>
      <c r="F277" s="92" t="n">
        <f aca="false">SRC_Model!$S88</f>
        <v>0</v>
      </c>
    </row>
    <row r="278" customFormat="false" ht="15" hidden="false" customHeight="false" outlineLevel="0" collapsed="false">
      <c r="A278" s="92" t="str">
        <f aca="false">SRC_Model!$A89&amp;""</f>
        <v/>
      </c>
      <c r="B278" s="62" t="s">
        <v>3369</v>
      </c>
      <c r="C278" s="61" t="n">
        <v>89</v>
      </c>
      <c r="D278" s="92" t="n">
        <f aca="false">SRC_Model!$O89</f>
        <v>0</v>
      </c>
      <c r="E278" s="92" t="n">
        <f aca="false">SRC_Model!$K89</f>
        <v>0</v>
      </c>
      <c r="F278" s="92" t="n">
        <f aca="false">SRC_Model!$S89</f>
        <v>0</v>
      </c>
    </row>
    <row r="279" customFormat="false" ht="15" hidden="false" customHeight="false" outlineLevel="0" collapsed="false">
      <c r="A279" s="92" t="str">
        <f aca="false">SRC_Model!$A90&amp;""</f>
        <v/>
      </c>
      <c r="B279" s="62" t="s">
        <v>3369</v>
      </c>
      <c r="C279" s="61" t="n">
        <v>90</v>
      </c>
      <c r="D279" s="92" t="n">
        <f aca="false">SRC_Model!$O90</f>
        <v>0</v>
      </c>
      <c r="E279" s="92" t="n">
        <f aca="false">SRC_Model!$K90</f>
        <v>0</v>
      </c>
      <c r="F279" s="92" t="n">
        <f aca="false">SRC_Model!$S90</f>
        <v>0</v>
      </c>
    </row>
    <row r="280" customFormat="false" ht="15" hidden="false" customHeight="false" outlineLevel="0" collapsed="false">
      <c r="A280" s="92" t="str">
        <f aca="false">SRC_Model!$A91&amp;""</f>
        <v/>
      </c>
      <c r="B280" s="62" t="s">
        <v>3369</v>
      </c>
      <c r="C280" s="61" t="n">
        <v>91</v>
      </c>
      <c r="D280" s="92" t="n">
        <f aca="false">SRC_Model!$O91</f>
        <v>0</v>
      </c>
      <c r="E280" s="92" t="n">
        <f aca="false">SRC_Model!$K91</f>
        <v>0</v>
      </c>
      <c r="F280" s="92" t="n">
        <f aca="false">SRC_Model!$S91</f>
        <v>0</v>
      </c>
    </row>
    <row r="281" customFormat="false" ht="15" hidden="false" customHeight="false" outlineLevel="0" collapsed="false">
      <c r="A281" s="92" t="str">
        <f aca="false">SRC_Model!$A92&amp;""</f>
        <v/>
      </c>
      <c r="B281" s="62" t="s">
        <v>3369</v>
      </c>
      <c r="C281" s="61" t="n">
        <v>92</v>
      </c>
      <c r="D281" s="92" t="n">
        <f aca="false">SRC_Model!$O92</f>
        <v>0</v>
      </c>
      <c r="E281" s="92" t="n">
        <f aca="false">SRC_Model!$K92</f>
        <v>0</v>
      </c>
      <c r="F281" s="92" t="n">
        <f aca="false">SRC_Model!$S92</f>
        <v>0</v>
      </c>
    </row>
    <row r="282" customFormat="false" ht="15" hidden="false" customHeight="false" outlineLevel="0" collapsed="false">
      <c r="A282" s="92" t="str">
        <f aca="false">SRC_Model!$A93&amp;""</f>
        <v/>
      </c>
      <c r="B282" s="62" t="s">
        <v>3369</v>
      </c>
      <c r="C282" s="61" t="n">
        <v>93</v>
      </c>
      <c r="D282" s="92" t="n">
        <f aca="false">SRC_Model!$O93</f>
        <v>0</v>
      </c>
      <c r="E282" s="92" t="n">
        <f aca="false">SRC_Model!$K93</f>
        <v>0</v>
      </c>
      <c r="F282" s="92" t="n">
        <f aca="false">SRC_Model!$S93</f>
        <v>0</v>
      </c>
    </row>
    <row r="283" customFormat="false" ht="15" hidden="false" customHeight="false" outlineLevel="0" collapsed="false">
      <c r="A283" s="92" t="str">
        <f aca="false">SRC_Model!$A94&amp;""</f>
        <v/>
      </c>
      <c r="B283" s="62" t="s">
        <v>3369</v>
      </c>
      <c r="C283" s="61" t="n">
        <v>94</v>
      </c>
      <c r="D283" s="92" t="n">
        <f aca="false">SRC_Model!$O94</f>
        <v>0</v>
      </c>
      <c r="E283" s="92" t="n">
        <f aca="false">SRC_Model!$K94</f>
        <v>0</v>
      </c>
      <c r="F283" s="92" t="n">
        <f aca="false">SRC_Model!$S94</f>
        <v>0</v>
      </c>
    </row>
    <row r="284" customFormat="false" ht="15" hidden="false" customHeight="false" outlineLevel="0" collapsed="false">
      <c r="A284" s="92" t="str">
        <f aca="false">SRC_Model!$A95&amp;""</f>
        <v/>
      </c>
      <c r="B284" s="62" t="s">
        <v>3369</v>
      </c>
      <c r="C284" s="61" t="n">
        <v>95</v>
      </c>
      <c r="D284" s="92" t="n">
        <f aca="false">SRC_Model!$O95</f>
        <v>0</v>
      </c>
      <c r="E284" s="92" t="n">
        <f aca="false">SRC_Model!$K95</f>
        <v>0</v>
      </c>
      <c r="F284" s="92" t="n">
        <f aca="false">SRC_Model!$S95</f>
        <v>0</v>
      </c>
    </row>
    <row r="285" customFormat="false" ht="15" hidden="false" customHeight="false" outlineLevel="0" collapsed="false">
      <c r="A285" s="92" t="str">
        <f aca="false">SRC_Model!$A96&amp;""</f>
        <v/>
      </c>
      <c r="B285" s="62" t="s">
        <v>3369</v>
      </c>
      <c r="C285" s="61" t="n">
        <v>96</v>
      </c>
      <c r="D285" s="92" t="n">
        <f aca="false">SRC_Model!$O96</f>
        <v>0</v>
      </c>
      <c r="E285" s="92" t="n">
        <f aca="false">SRC_Model!$K96</f>
        <v>0</v>
      </c>
      <c r="F285" s="92" t="n">
        <f aca="false">SRC_Model!$S96</f>
        <v>0</v>
      </c>
    </row>
    <row r="286" customFormat="false" ht="15" hidden="false" customHeight="false" outlineLevel="0" collapsed="false">
      <c r="A286" s="92" t="str">
        <f aca="false">SRC_Model!$A97&amp;""</f>
        <v/>
      </c>
      <c r="B286" s="62" t="s">
        <v>3369</v>
      </c>
      <c r="C286" s="61" t="n">
        <v>97</v>
      </c>
      <c r="D286" s="92" t="n">
        <f aca="false">SRC_Model!$O97</f>
        <v>0</v>
      </c>
      <c r="E286" s="92" t="n">
        <f aca="false">SRC_Model!$K97</f>
        <v>0</v>
      </c>
      <c r="F286" s="92" t="n">
        <f aca="false">SRC_Model!$S97</f>
        <v>0</v>
      </c>
    </row>
    <row r="287" customFormat="false" ht="15" hidden="false" customHeight="false" outlineLevel="0" collapsed="false">
      <c r="A287" s="92" t="str">
        <f aca="false">SRC_Model!$A98&amp;""</f>
        <v/>
      </c>
      <c r="B287" s="62" t="s">
        <v>3369</v>
      </c>
      <c r="C287" s="61" t="n">
        <v>98</v>
      </c>
      <c r="D287" s="92" t="n">
        <f aca="false">SRC_Model!$O98</f>
        <v>0</v>
      </c>
      <c r="E287" s="92" t="n">
        <f aca="false">SRC_Model!$K98</f>
        <v>0</v>
      </c>
      <c r="F287" s="92" t="n">
        <f aca="false">SRC_Model!$S98</f>
        <v>0</v>
      </c>
    </row>
    <row r="288" customFormat="false" ht="15" hidden="false" customHeight="false" outlineLevel="0" collapsed="false">
      <c r="A288" s="92" t="str">
        <f aca="false">SRC_Model!$A99&amp;""</f>
        <v/>
      </c>
      <c r="B288" s="62" t="s">
        <v>3369</v>
      </c>
      <c r="C288" s="61" t="n">
        <v>99</v>
      </c>
      <c r="D288" s="92" t="n">
        <f aca="false">SRC_Model!$O99</f>
        <v>0</v>
      </c>
      <c r="E288" s="92" t="n">
        <f aca="false">SRC_Model!$K99</f>
        <v>0</v>
      </c>
      <c r="F288" s="92" t="n">
        <f aca="false">SRC_Model!$S99</f>
        <v>0</v>
      </c>
    </row>
    <row r="289" customFormat="false" ht="15" hidden="false" customHeight="false" outlineLevel="0" collapsed="false">
      <c r="A289" s="92" t="str">
        <f aca="false">SRC_Model!$A100&amp;""</f>
        <v/>
      </c>
      <c r="B289" s="62" t="s">
        <v>3369</v>
      </c>
      <c r="C289" s="61" t="n">
        <v>100</v>
      </c>
      <c r="D289" s="92" t="n">
        <f aca="false">SRC_Model!$O100</f>
        <v>0</v>
      </c>
      <c r="E289" s="92" t="n">
        <f aca="false">SRC_Model!$K100</f>
        <v>0</v>
      </c>
      <c r="F289" s="92" t="n">
        <f aca="false">SRC_Model!$S100</f>
        <v>0</v>
      </c>
    </row>
    <row r="290" customFormat="false" ht="15" hidden="false" customHeight="false" outlineLevel="0" collapsed="false">
      <c r="A290" s="92" t="str">
        <f aca="false">SRC_Model!$A101&amp;""</f>
        <v/>
      </c>
      <c r="B290" s="62" t="s">
        <v>3369</v>
      </c>
      <c r="C290" s="61" t="n">
        <v>101</v>
      </c>
      <c r="D290" s="92" t="n">
        <f aca="false">SRC_Model!$O101</f>
        <v>0</v>
      </c>
      <c r="E290" s="92" t="n">
        <f aca="false">SRC_Model!$K101</f>
        <v>0</v>
      </c>
      <c r="F290" s="92" t="n">
        <f aca="false">SRC_Model!$S101</f>
        <v>0</v>
      </c>
    </row>
    <row r="291" customFormat="false" ht="15" hidden="false" customHeight="false" outlineLevel="0" collapsed="false">
      <c r="A291" s="92" t="str">
        <f aca="false">SRC_Model!$A102&amp;""</f>
        <v/>
      </c>
      <c r="B291" s="62" t="s">
        <v>3369</v>
      </c>
      <c r="C291" s="61" t="n">
        <v>102</v>
      </c>
      <c r="D291" s="92" t="n">
        <f aca="false">SRC_Model!$O102</f>
        <v>0</v>
      </c>
      <c r="E291" s="92" t="n">
        <f aca="false">SRC_Model!$K102</f>
        <v>0</v>
      </c>
      <c r="F291" s="92" t="n">
        <f aca="false">SRC_Model!$S102</f>
        <v>0</v>
      </c>
    </row>
    <row r="292" customFormat="false" ht="15" hidden="false" customHeight="false" outlineLevel="0" collapsed="false">
      <c r="A292" s="92" t="str">
        <f aca="false">SRC_Model!$A103&amp;""</f>
        <v/>
      </c>
      <c r="B292" s="62" t="s">
        <v>3369</v>
      </c>
      <c r="C292" s="61" t="n">
        <v>103</v>
      </c>
      <c r="D292" s="92" t="n">
        <f aca="false">SRC_Model!$O103</f>
        <v>0</v>
      </c>
      <c r="E292" s="92" t="n">
        <f aca="false">SRC_Model!$K103</f>
        <v>0</v>
      </c>
      <c r="F292" s="92" t="n">
        <f aca="false">SRC_Model!$S103</f>
        <v>0</v>
      </c>
    </row>
    <row r="293" customFormat="false" ht="15" hidden="false" customHeight="false" outlineLevel="0" collapsed="false">
      <c r="A293" s="92" t="str">
        <f aca="false">SRC_Model!$A104&amp;""</f>
        <v/>
      </c>
      <c r="B293" s="62" t="s">
        <v>3369</v>
      </c>
      <c r="C293" s="61" t="n">
        <v>104</v>
      </c>
      <c r="D293" s="92" t="n">
        <f aca="false">SRC_Model!$O104</f>
        <v>0</v>
      </c>
      <c r="E293" s="92" t="n">
        <f aca="false">SRC_Model!$K104</f>
        <v>0</v>
      </c>
      <c r="F293" s="92" t="n">
        <f aca="false">SRC_Model!$S104</f>
        <v>0</v>
      </c>
    </row>
    <row r="294" customFormat="false" ht="15" hidden="false" customHeight="false" outlineLevel="0" collapsed="false">
      <c r="A294" s="92" t="str">
        <f aca="false">SRC_Model!$A105&amp;""</f>
        <v/>
      </c>
      <c r="B294" s="62" t="s">
        <v>3369</v>
      </c>
      <c r="C294" s="61" t="n">
        <v>105</v>
      </c>
      <c r="D294" s="92" t="n">
        <f aca="false">SRC_Model!$O105</f>
        <v>0</v>
      </c>
      <c r="E294" s="92" t="n">
        <f aca="false">SRC_Model!$K105</f>
        <v>0</v>
      </c>
      <c r="F294" s="92" t="n">
        <f aca="false">SRC_Model!$S105</f>
        <v>0</v>
      </c>
    </row>
    <row r="295" customFormat="false" ht="15" hidden="false" customHeight="false" outlineLevel="0" collapsed="false">
      <c r="A295" s="92" t="str">
        <f aca="false">SRC_Model!$A106&amp;""</f>
        <v/>
      </c>
      <c r="B295" s="62" t="s">
        <v>3369</v>
      </c>
      <c r="C295" s="61" t="n">
        <v>106</v>
      </c>
      <c r="D295" s="92" t="n">
        <f aca="false">SRC_Model!$O106</f>
        <v>0</v>
      </c>
      <c r="E295" s="92" t="n">
        <f aca="false">SRC_Model!$K106</f>
        <v>0</v>
      </c>
      <c r="F295" s="92" t="n">
        <f aca="false">SRC_Model!$S106</f>
        <v>0</v>
      </c>
    </row>
    <row r="296" customFormat="false" ht="15" hidden="false" customHeight="false" outlineLevel="0" collapsed="false">
      <c r="A296" s="92" t="str">
        <f aca="false">SRC_Model!$A107&amp;""</f>
        <v/>
      </c>
      <c r="B296" s="62" t="s">
        <v>3369</v>
      </c>
      <c r="C296" s="61" t="n">
        <v>107</v>
      </c>
      <c r="D296" s="92" t="n">
        <f aca="false">SRC_Model!$O107</f>
        <v>0</v>
      </c>
      <c r="E296" s="92" t="n">
        <f aca="false">SRC_Model!$K107</f>
        <v>0</v>
      </c>
      <c r="F296" s="92" t="n">
        <f aca="false">SRC_Model!$S107</f>
        <v>0</v>
      </c>
    </row>
    <row r="297" customFormat="false" ht="15" hidden="false" customHeight="false" outlineLevel="0" collapsed="false">
      <c r="A297" s="92" t="str">
        <f aca="false">SRC_Model!$A108&amp;""</f>
        <v/>
      </c>
      <c r="B297" s="62" t="s">
        <v>3369</v>
      </c>
      <c r="C297" s="61" t="n">
        <v>108</v>
      </c>
      <c r="D297" s="92" t="n">
        <f aca="false">SRC_Model!$O108</f>
        <v>0</v>
      </c>
      <c r="E297" s="92" t="n">
        <f aca="false">SRC_Model!$K108</f>
        <v>0</v>
      </c>
      <c r="F297" s="92" t="n">
        <f aca="false">SRC_Model!$S108</f>
        <v>0</v>
      </c>
    </row>
    <row r="298" customFormat="false" ht="15" hidden="false" customHeight="false" outlineLevel="0" collapsed="false">
      <c r="A298" s="92" t="str">
        <f aca="false">SRC_Model!$A109&amp;""</f>
        <v/>
      </c>
      <c r="B298" s="62" t="s">
        <v>3369</v>
      </c>
      <c r="C298" s="61" t="n">
        <v>109</v>
      </c>
      <c r="D298" s="92" t="n">
        <f aca="false">SRC_Model!$O109</f>
        <v>0</v>
      </c>
      <c r="E298" s="92" t="n">
        <f aca="false">SRC_Model!$K109</f>
        <v>0</v>
      </c>
      <c r="F298" s="92" t="n">
        <f aca="false">SRC_Model!$S109</f>
        <v>0</v>
      </c>
    </row>
    <row r="299" customFormat="false" ht="15" hidden="false" customHeight="false" outlineLevel="0" collapsed="false">
      <c r="A299" s="92" t="str">
        <f aca="false">SRC_Model!$A110&amp;""</f>
        <v/>
      </c>
      <c r="B299" s="62" t="s">
        <v>3369</v>
      </c>
      <c r="C299" s="61" t="n">
        <v>110</v>
      </c>
      <c r="D299" s="92" t="n">
        <f aca="false">SRC_Model!$O110</f>
        <v>0</v>
      </c>
      <c r="E299" s="92" t="n">
        <f aca="false">SRC_Model!$K110</f>
        <v>0</v>
      </c>
      <c r="F299" s="92" t="n">
        <f aca="false">SRC_Model!$S110</f>
        <v>0</v>
      </c>
    </row>
    <row r="300" customFormat="false" ht="15" hidden="false" customHeight="false" outlineLevel="0" collapsed="false">
      <c r="A300" s="92" t="str">
        <f aca="false">SRC_Model!$A111&amp;""</f>
        <v/>
      </c>
      <c r="B300" s="62" t="s">
        <v>3369</v>
      </c>
      <c r="C300" s="61" t="n">
        <v>111</v>
      </c>
      <c r="D300" s="92" t="n">
        <f aca="false">SRC_Model!$O111</f>
        <v>0</v>
      </c>
      <c r="E300" s="92" t="n">
        <f aca="false">SRC_Model!$K111</f>
        <v>0</v>
      </c>
      <c r="F300" s="92" t="n">
        <f aca="false">SRC_Model!$S111</f>
        <v>0</v>
      </c>
    </row>
    <row r="301" customFormat="false" ht="15" hidden="false" customHeight="false" outlineLevel="0" collapsed="false">
      <c r="A301" s="92" t="str">
        <f aca="false">SRC_Model!$A112&amp;""</f>
        <v/>
      </c>
      <c r="B301" s="62" t="s">
        <v>3369</v>
      </c>
      <c r="C301" s="61" t="n">
        <v>112</v>
      </c>
      <c r="D301" s="92" t="n">
        <f aca="false">SRC_Model!$O112</f>
        <v>0</v>
      </c>
      <c r="E301" s="92" t="n">
        <f aca="false">SRC_Model!$K112</f>
        <v>0</v>
      </c>
      <c r="F301" s="92" t="n">
        <f aca="false">SRC_Model!$S112</f>
        <v>0</v>
      </c>
    </row>
    <row r="302" customFormat="false" ht="15" hidden="false" customHeight="false" outlineLevel="0" collapsed="false">
      <c r="A302" s="92" t="str">
        <f aca="false">SRC_Model!$A113&amp;""</f>
        <v/>
      </c>
      <c r="B302" s="62" t="s">
        <v>3369</v>
      </c>
      <c r="C302" s="61" t="n">
        <v>113</v>
      </c>
      <c r="D302" s="92" t="n">
        <f aca="false">SRC_Model!$O113</f>
        <v>0</v>
      </c>
      <c r="E302" s="92" t="n">
        <f aca="false">SRC_Model!$K113</f>
        <v>0</v>
      </c>
      <c r="F302" s="92" t="n">
        <f aca="false">SRC_Model!$S113</f>
        <v>0</v>
      </c>
    </row>
    <row r="303" customFormat="false" ht="15" hidden="false" customHeight="false" outlineLevel="0" collapsed="false">
      <c r="A303" s="92" t="str">
        <f aca="false">SRC_Model!$A114&amp;""</f>
        <v/>
      </c>
      <c r="B303" s="62" t="s">
        <v>3369</v>
      </c>
      <c r="C303" s="61" t="n">
        <v>114</v>
      </c>
      <c r="D303" s="92" t="n">
        <f aca="false">SRC_Model!$O114</f>
        <v>0</v>
      </c>
      <c r="E303" s="92" t="n">
        <f aca="false">SRC_Model!$K114</f>
        <v>0</v>
      </c>
      <c r="F303" s="92" t="n">
        <f aca="false">SRC_Model!$S114</f>
        <v>0</v>
      </c>
    </row>
    <row r="304" customFormat="false" ht="15" hidden="false" customHeight="false" outlineLevel="0" collapsed="false">
      <c r="A304" s="92" t="str">
        <f aca="false">SRC_Model!$A115&amp;""</f>
        <v/>
      </c>
      <c r="B304" s="62" t="s">
        <v>3369</v>
      </c>
      <c r="C304" s="61" t="n">
        <v>115</v>
      </c>
      <c r="D304" s="92" t="n">
        <f aca="false">SRC_Model!$O115</f>
        <v>0</v>
      </c>
      <c r="E304" s="92" t="n">
        <f aca="false">SRC_Model!$K115</f>
        <v>0</v>
      </c>
      <c r="F304" s="92" t="n">
        <f aca="false">SRC_Model!$S115</f>
        <v>0</v>
      </c>
    </row>
    <row r="305" customFormat="false" ht="15" hidden="false" customHeight="false" outlineLevel="0" collapsed="false">
      <c r="A305" s="92" t="str">
        <f aca="false">SRC_Perf!$A5&amp;""</f>
        <v>SRC_PERF_001</v>
      </c>
      <c r="B305" s="62" t="s">
        <v>3373</v>
      </c>
      <c r="C305" s="61" t="n">
        <v>5</v>
      </c>
      <c r="D305" s="92" t="str">
        <f aca="false">SRC_Perf!$O5</f>
        <v>Active</v>
      </c>
      <c r="E305" s="92" t="n">
        <f aca="false">SRC_Perf!$K5</f>
        <v>1</v>
      </c>
      <c r="F305" s="92" t="str">
        <f aca="false">SRC_Perf!$S5</f>
        <v>—</v>
      </c>
    </row>
    <row r="306" customFormat="false" ht="15" hidden="false" customHeight="false" outlineLevel="0" collapsed="false">
      <c r="A306" s="92" t="str">
        <f aca="false">SRC_Perf!$A6&amp;""</f>
        <v>SRC_PERF_002</v>
      </c>
      <c r="B306" s="62" t="s">
        <v>3373</v>
      </c>
      <c r="C306" s="61" t="n">
        <v>6</v>
      </c>
      <c r="D306" s="92" t="str">
        <f aca="false">SRC_Perf!$O6</f>
        <v>Active</v>
      </c>
      <c r="E306" s="92" t="n">
        <f aca="false">SRC_Perf!$K6</f>
        <v>1</v>
      </c>
      <c r="F306" s="92" t="str">
        <f aca="false">SRC_Perf!$S6</f>
        <v>—</v>
      </c>
    </row>
    <row r="307" customFormat="false" ht="15" hidden="false" customHeight="false" outlineLevel="0" collapsed="false">
      <c r="A307" s="92" t="str">
        <f aca="false">SRC_Perf!$A7&amp;""</f>
        <v>SRC_PERF_003</v>
      </c>
      <c r="B307" s="62" t="s">
        <v>3373</v>
      </c>
      <c r="C307" s="61" t="n">
        <v>7</v>
      </c>
      <c r="D307" s="92" t="str">
        <f aca="false">SRC_Perf!$O7</f>
        <v>Active</v>
      </c>
      <c r="E307" s="92" t="n">
        <f aca="false">SRC_Perf!$K7</f>
        <v>1</v>
      </c>
      <c r="F307" s="92" t="str">
        <f aca="false">SRC_Perf!$S7</f>
        <v>—</v>
      </c>
    </row>
    <row r="308" customFormat="false" ht="15" hidden="false" customHeight="false" outlineLevel="0" collapsed="false">
      <c r="A308" s="92" t="str">
        <f aca="false">SRC_Perf!$A8&amp;""</f>
        <v>SRC_PERF_004</v>
      </c>
      <c r="B308" s="62" t="s">
        <v>3373</v>
      </c>
      <c r="C308" s="61" t="n">
        <v>8</v>
      </c>
      <c r="D308" s="92" t="str">
        <f aca="false">SRC_Perf!$O8</f>
        <v>Active</v>
      </c>
      <c r="E308" s="92" t="n">
        <f aca="false">SRC_Perf!$K8</f>
        <v>1</v>
      </c>
      <c r="F308" s="92" t="str">
        <f aca="false">SRC_Perf!$S8</f>
        <v>—</v>
      </c>
    </row>
    <row r="309" customFormat="false" ht="15" hidden="false" customHeight="false" outlineLevel="0" collapsed="false">
      <c r="A309" s="92" t="str">
        <f aca="false">SRC_Perf!$A9&amp;""</f>
        <v>SRC_PERF_005</v>
      </c>
      <c r="B309" s="62" t="s">
        <v>3373</v>
      </c>
      <c r="C309" s="61" t="n">
        <v>9</v>
      </c>
      <c r="D309" s="92" t="str">
        <f aca="false">SRC_Perf!$O9</f>
        <v>Active</v>
      </c>
      <c r="E309" s="92" t="n">
        <f aca="false">SRC_Perf!$K9</f>
        <v>1</v>
      </c>
      <c r="F309" s="92" t="str">
        <f aca="false">SRC_Perf!$S9</f>
        <v>—</v>
      </c>
    </row>
    <row r="310" customFormat="false" ht="15" hidden="false" customHeight="false" outlineLevel="0" collapsed="false">
      <c r="A310" s="92" t="str">
        <f aca="false">SRC_Perf!$A10&amp;""</f>
        <v>SRC_PERF_006</v>
      </c>
      <c r="B310" s="62" t="s">
        <v>3373</v>
      </c>
      <c r="C310" s="61" t="n">
        <v>10</v>
      </c>
      <c r="D310" s="92" t="str">
        <f aca="false">SRC_Perf!$O10</f>
        <v>Superseded</v>
      </c>
      <c r="E310" s="92" t="n">
        <f aca="false">SRC_Perf!$K10</f>
        <v>1</v>
      </c>
      <c r="F310" s="92" t="str">
        <f aca="false">SRC_Perf!$S10</f>
        <v>—</v>
      </c>
    </row>
    <row r="311" customFormat="false" ht="15" hidden="false" customHeight="false" outlineLevel="0" collapsed="false">
      <c r="A311" s="92" t="str">
        <f aca="false">SRC_Perf!$A11&amp;""</f>
        <v>SRC_PERF_007</v>
      </c>
      <c r="B311" s="62" t="s">
        <v>3373</v>
      </c>
      <c r="C311" s="61" t="n">
        <v>11</v>
      </c>
      <c r="D311" s="92" t="str">
        <f aca="false">SRC_Perf!$O11</f>
        <v>Active</v>
      </c>
      <c r="E311" s="92" t="n">
        <f aca="false">SRC_Perf!$K11</f>
        <v>1</v>
      </c>
      <c r="F311" s="92" t="str">
        <f aca="false">SRC_Perf!$S11</f>
        <v>—</v>
      </c>
    </row>
    <row r="312" customFormat="false" ht="15" hidden="false" customHeight="false" outlineLevel="0" collapsed="false">
      <c r="A312" s="92" t="str">
        <f aca="false">SRC_Perf!$A12&amp;""</f>
        <v>SRC_PERF_008</v>
      </c>
      <c r="B312" s="62" t="s">
        <v>3373</v>
      </c>
      <c r="C312" s="61" t="n">
        <v>12</v>
      </c>
      <c r="D312" s="92" t="str">
        <f aca="false">SRC_Perf!$O12</f>
        <v>Active</v>
      </c>
      <c r="E312" s="92" t="n">
        <f aca="false">SRC_Perf!$K12</f>
        <v>1</v>
      </c>
      <c r="F312" s="92" t="str">
        <f aca="false">SRC_Perf!$S12</f>
        <v>—</v>
      </c>
    </row>
    <row r="313" customFormat="false" ht="15" hidden="false" customHeight="false" outlineLevel="0" collapsed="false">
      <c r="A313" s="92" t="str">
        <f aca="false">SRC_Perf!$A13&amp;""</f>
        <v>SRC_PERF_009</v>
      </c>
      <c r="B313" s="62" t="s">
        <v>3373</v>
      </c>
      <c r="C313" s="61" t="n">
        <v>13</v>
      </c>
      <c r="D313" s="92" t="str">
        <f aca="false">SRC_Perf!$O13</f>
        <v>Active</v>
      </c>
      <c r="E313" s="92" t="n">
        <f aca="false">SRC_Perf!$K13</f>
        <v>2</v>
      </c>
      <c r="F313" s="92" t="str">
        <f aca="false">SRC_Perf!$S13</f>
        <v>2026-10-05</v>
      </c>
    </row>
    <row r="314" customFormat="false" ht="15" hidden="false" customHeight="false" outlineLevel="0" collapsed="false">
      <c r="A314" s="92" t="str">
        <f aca="false">SRC_Perf!$A14&amp;""</f>
        <v>SRC_PERF_010</v>
      </c>
      <c r="B314" s="62" t="s">
        <v>3373</v>
      </c>
      <c r="C314" s="61" t="n">
        <v>14</v>
      </c>
      <c r="D314" s="92" t="str">
        <f aca="false">SRC_Perf!$O14</f>
        <v>Active</v>
      </c>
      <c r="E314" s="92" t="n">
        <f aca="false">SRC_Perf!$K14</f>
        <v>2</v>
      </c>
      <c r="F314" s="92" t="str">
        <f aca="false">SRC_Perf!$S14</f>
        <v>2026-10-05</v>
      </c>
    </row>
    <row r="315" customFormat="false" ht="15" hidden="false" customHeight="false" outlineLevel="0" collapsed="false">
      <c r="A315" s="92" t="str">
        <f aca="false">SRC_Perf!$A15&amp;""</f>
        <v>SRC_PERF_011</v>
      </c>
      <c r="B315" s="62" t="s">
        <v>3373</v>
      </c>
      <c r="C315" s="61" t="n">
        <v>15</v>
      </c>
      <c r="D315" s="92" t="str">
        <f aca="false">SRC_Perf!$O15</f>
        <v>Active</v>
      </c>
      <c r="E315" s="92" t="n">
        <f aca="false">SRC_Perf!$K15</f>
        <v>3</v>
      </c>
      <c r="F315" s="92" t="str">
        <f aca="false">SRC_Perf!$S15</f>
        <v>—</v>
      </c>
    </row>
    <row r="316" customFormat="false" ht="15" hidden="false" customHeight="false" outlineLevel="0" collapsed="false">
      <c r="A316" s="92" t="str">
        <f aca="false">SRC_Perf!$A16&amp;""</f>
        <v>SRC_PERF_012</v>
      </c>
      <c r="B316" s="62" t="s">
        <v>3373</v>
      </c>
      <c r="C316" s="61" t="n">
        <v>16</v>
      </c>
      <c r="D316" s="92" t="str">
        <f aca="false">SRC_Perf!$O16</f>
        <v>Active</v>
      </c>
      <c r="E316" s="92" t="n">
        <f aca="false">SRC_Perf!$K16</f>
        <v>3</v>
      </c>
      <c r="F316" s="92" t="str">
        <f aca="false">SRC_Perf!$S16</f>
        <v>—</v>
      </c>
    </row>
    <row r="317" customFormat="false" ht="15" hidden="false" customHeight="false" outlineLevel="0" collapsed="false">
      <c r="A317" s="92" t="str">
        <f aca="false">SRC_Perf!$A17&amp;""</f>
        <v>SRC_PERF_013</v>
      </c>
      <c r="B317" s="62" t="s">
        <v>3373</v>
      </c>
      <c r="C317" s="61" t="n">
        <v>17</v>
      </c>
      <c r="D317" s="92" t="str">
        <f aca="false">SRC_Perf!$O17</f>
        <v>Active</v>
      </c>
      <c r="E317" s="92" t="n">
        <f aca="false">SRC_Perf!$K17</f>
        <v>3</v>
      </c>
      <c r="F317" s="92" t="str">
        <f aca="false">SRC_Perf!$S17</f>
        <v>—</v>
      </c>
    </row>
    <row r="318" customFormat="false" ht="15" hidden="false" customHeight="false" outlineLevel="0" collapsed="false">
      <c r="A318" s="92" t="str">
        <f aca="false">SRC_Perf!$A18&amp;""</f>
        <v>SRC_PERF_014</v>
      </c>
      <c r="B318" s="62" t="s">
        <v>3373</v>
      </c>
      <c r="C318" s="61" t="n">
        <v>18</v>
      </c>
      <c r="D318" s="92" t="str">
        <f aca="false">SRC_Perf!$O18</f>
        <v>Active</v>
      </c>
      <c r="E318" s="92" t="n">
        <f aca="false">SRC_Perf!$K18</f>
        <v>1</v>
      </c>
      <c r="F318" s="92" t="str">
        <f aca="false">SRC_Perf!$S18</f>
        <v>—</v>
      </c>
    </row>
    <row r="319" customFormat="false" ht="15" hidden="false" customHeight="false" outlineLevel="0" collapsed="false">
      <c r="A319" s="92" t="str">
        <f aca="false">SRC_Perf!$A19&amp;""</f>
        <v>SRC_PERF_015</v>
      </c>
      <c r="B319" s="62" t="s">
        <v>3373</v>
      </c>
      <c r="C319" s="61" t="n">
        <v>19</v>
      </c>
      <c r="D319" s="92" t="str">
        <f aca="false">SRC_Perf!$O19</f>
        <v>Active</v>
      </c>
      <c r="E319" s="92" t="n">
        <f aca="false">SRC_Perf!$K19</f>
        <v>1</v>
      </c>
      <c r="F319" s="92" t="str">
        <f aca="false">SRC_Perf!$S19</f>
        <v>—</v>
      </c>
    </row>
    <row r="320" customFormat="false" ht="15" hidden="false" customHeight="false" outlineLevel="0" collapsed="false">
      <c r="A320" s="92" t="str">
        <f aca="false">SRC_Perf!$A20&amp;""</f>
        <v>SRC_PERF_016</v>
      </c>
      <c r="B320" s="62" t="s">
        <v>3373</v>
      </c>
      <c r="C320" s="61" t="n">
        <v>20</v>
      </c>
      <c r="D320" s="92" t="str">
        <f aca="false">SRC_Perf!$O20</f>
        <v>Active</v>
      </c>
      <c r="E320" s="92" t="n">
        <f aca="false">SRC_Perf!$K20</f>
        <v>1</v>
      </c>
      <c r="F320" s="92" t="str">
        <f aca="false">SRC_Perf!$S20</f>
        <v>—</v>
      </c>
    </row>
    <row r="321" customFormat="false" ht="15" hidden="false" customHeight="false" outlineLevel="0" collapsed="false">
      <c r="A321" s="92" t="str">
        <f aca="false">SRC_Perf!$A21&amp;""</f>
        <v>SRC_PERF_017</v>
      </c>
      <c r="B321" s="62" t="s">
        <v>3373</v>
      </c>
      <c r="C321" s="61" t="n">
        <v>21</v>
      </c>
      <c r="D321" s="92" t="str">
        <f aca="false">SRC_Perf!$O21</f>
        <v>Active</v>
      </c>
      <c r="E321" s="92" t="n">
        <f aca="false">SRC_Perf!$K21</f>
        <v>1</v>
      </c>
      <c r="F321" s="92" t="str">
        <f aca="false">SRC_Perf!$S21</f>
        <v>—</v>
      </c>
    </row>
    <row r="322" customFormat="false" ht="15" hidden="false" customHeight="false" outlineLevel="0" collapsed="false">
      <c r="A322" s="92" t="str">
        <f aca="false">SRC_Perf!$A22&amp;""</f>
        <v>SRC_PERF_018</v>
      </c>
      <c r="B322" s="62" t="s">
        <v>3373</v>
      </c>
      <c r="C322" s="61" t="n">
        <v>22</v>
      </c>
      <c r="D322" s="92" t="str">
        <f aca="false">SRC_Perf!$O22</f>
        <v>Active</v>
      </c>
      <c r="E322" s="92" t="n">
        <f aca="false">SRC_Perf!$K22</f>
        <v>1</v>
      </c>
      <c r="F322" s="92" t="str">
        <f aca="false">SRC_Perf!$S22</f>
        <v>—</v>
      </c>
    </row>
    <row r="323" customFormat="false" ht="15" hidden="false" customHeight="false" outlineLevel="0" collapsed="false">
      <c r="A323" s="92" t="str">
        <f aca="false">SRC_Perf!$A23&amp;""</f>
        <v>SRC_PERF_019</v>
      </c>
      <c r="B323" s="62" t="s">
        <v>3373</v>
      </c>
      <c r="C323" s="61" t="n">
        <v>23</v>
      </c>
      <c r="D323" s="92" t="str">
        <f aca="false">SRC_Perf!$O23</f>
        <v>Active</v>
      </c>
      <c r="E323" s="92" t="n">
        <f aca="false">SRC_Perf!$K23</f>
        <v>1</v>
      </c>
      <c r="F323" s="92" t="str">
        <f aca="false">SRC_Perf!$S23</f>
        <v>—</v>
      </c>
    </row>
    <row r="324" customFormat="false" ht="15" hidden="false" customHeight="false" outlineLevel="0" collapsed="false">
      <c r="A324" s="92" t="str">
        <f aca="false">SRC_Perf!$A24&amp;""</f>
        <v>SRC_PERF_020</v>
      </c>
      <c r="B324" s="62" t="s">
        <v>3373</v>
      </c>
      <c r="C324" s="61" t="n">
        <v>24</v>
      </c>
      <c r="D324" s="92" t="str">
        <f aca="false">SRC_Perf!$O24</f>
        <v>Active</v>
      </c>
      <c r="E324" s="92" t="n">
        <f aca="false">SRC_Perf!$K24</f>
        <v>1</v>
      </c>
      <c r="F324" s="92" t="str">
        <f aca="false">SRC_Perf!$S24</f>
        <v>—</v>
      </c>
    </row>
    <row r="325" customFormat="false" ht="15" hidden="false" customHeight="false" outlineLevel="0" collapsed="false">
      <c r="A325" s="92" t="str">
        <f aca="false">SRC_Perf!$A25&amp;""</f>
        <v>SRC_PERF_021</v>
      </c>
      <c r="B325" s="62" t="s">
        <v>3373</v>
      </c>
      <c r="C325" s="61" t="n">
        <v>25</v>
      </c>
      <c r="D325" s="92" t="str">
        <f aca="false">SRC_Perf!$O25</f>
        <v>Active</v>
      </c>
      <c r="E325" s="92" t="n">
        <f aca="false">SRC_Perf!$K25</f>
        <v>1</v>
      </c>
      <c r="F325" s="92" t="str">
        <f aca="false">SRC_Perf!$S25</f>
        <v>—</v>
      </c>
    </row>
    <row r="326" customFormat="false" ht="15" hidden="false" customHeight="false" outlineLevel="0" collapsed="false">
      <c r="A326" s="92" t="str">
        <f aca="false">SRC_Perf!$A26&amp;""</f>
        <v>SRC_PERF_022</v>
      </c>
      <c r="B326" s="62" t="s">
        <v>3373</v>
      </c>
      <c r="C326" s="61" t="n">
        <v>26</v>
      </c>
      <c r="D326" s="92" t="str">
        <f aca="false">SRC_Perf!$O26</f>
        <v>Active</v>
      </c>
      <c r="E326" s="92" t="n">
        <f aca="false">SRC_Perf!$K26</f>
        <v>1</v>
      </c>
      <c r="F326" s="92" t="str">
        <f aca="false">SRC_Perf!$S26</f>
        <v>—</v>
      </c>
    </row>
    <row r="327" customFormat="false" ht="15" hidden="false" customHeight="false" outlineLevel="0" collapsed="false">
      <c r="A327" s="92" t="str">
        <f aca="false">SRC_Perf!$A27&amp;""</f>
        <v>SRC_PERF_023</v>
      </c>
      <c r="B327" s="62" t="s">
        <v>3373</v>
      </c>
      <c r="C327" s="61" t="n">
        <v>27</v>
      </c>
      <c r="D327" s="92" t="str">
        <f aca="false">SRC_Perf!$O27</f>
        <v>Active</v>
      </c>
      <c r="E327" s="92" t="n">
        <f aca="false">SRC_Perf!$K27</f>
        <v>3</v>
      </c>
      <c r="F327" s="92" t="str">
        <f aca="false">SRC_Perf!$S27</f>
        <v>—</v>
      </c>
    </row>
    <row r="328" customFormat="false" ht="15" hidden="false" customHeight="false" outlineLevel="0" collapsed="false">
      <c r="A328" s="92" t="str">
        <f aca="false">SRC_Perf!$A28&amp;""</f>
        <v>SRC_PERF_024</v>
      </c>
      <c r="B328" s="62" t="s">
        <v>3373</v>
      </c>
      <c r="C328" s="61" t="n">
        <v>28</v>
      </c>
      <c r="D328" s="92" t="str">
        <f aca="false">SRC_Perf!$O28</f>
        <v>Active</v>
      </c>
      <c r="E328" s="92" t="n">
        <f aca="false">SRC_Perf!$K28</f>
        <v>2</v>
      </c>
      <c r="F328" s="92" t="str">
        <f aca="false">SRC_Perf!$S28</f>
        <v>—</v>
      </c>
    </row>
    <row r="329" customFormat="false" ht="15" hidden="false" customHeight="false" outlineLevel="0" collapsed="false">
      <c r="A329" s="92" t="str">
        <f aca="false">SRC_Perf!$A29&amp;""</f>
        <v>SRC_PERF_025</v>
      </c>
      <c r="B329" s="62" t="s">
        <v>3373</v>
      </c>
      <c r="C329" s="61" t="n">
        <v>29</v>
      </c>
      <c r="D329" s="92" t="str">
        <f aca="false">SRC_Perf!$O29</f>
        <v>Active</v>
      </c>
      <c r="E329" s="92" t="n">
        <f aca="false">SRC_Perf!$K29</f>
        <v>2</v>
      </c>
      <c r="F329" s="92" t="str">
        <f aca="false">SRC_Perf!$S29</f>
        <v>—</v>
      </c>
    </row>
    <row r="330" customFormat="false" ht="15" hidden="false" customHeight="false" outlineLevel="0" collapsed="false">
      <c r="A330" s="92" t="str">
        <f aca="false">SRC_Perf!$A30&amp;""</f>
        <v>SRC_PERF_026</v>
      </c>
      <c r="B330" s="62" t="s">
        <v>3373</v>
      </c>
      <c r="C330" s="61" t="n">
        <v>30</v>
      </c>
      <c r="D330" s="92" t="str">
        <f aca="false">SRC_Perf!$O30</f>
        <v>Active</v>
      </c>
      <c r="E330" s="92" t="n">
        <f aca="false">SRC_Perf!$K30</f>
        <v>2</v>
      </c>
      <c r="F330" s="92" t="str">
        <f aca="false">SRC_Perf!$S30</f>
        <v>—</v>
      </c>
    </row>
    <row r="331" customFormat="false" ht="15" hidden="false" customHeight="false" outlineLevel="0" collapsed="false">
      <c r="A331" s="92" t="str">
        <f aca="false">SRC_Perf!$A31&amp;""</f>
        <v>SRC_PERF_027</v>
      </c>
      <c r="B331" s="62" t="s">
        <v>3373</v>
      </c>
      <c r="C331" s="61" t="n">
        <v>31</v>
      </c>
      <c r="D331" s="92" t="str">
        <f aca="false">SRC_Perf!$O31</f>
        <v>Active</v>
      </c>
      <c r="E331" s="92" t="n">
        <f aca="false">SRC_Perf!$K31</f>
        <v>1</v>
      </c>
      <c r="F331" s="92" t="str">
        <f aca="false">SRC_Perf!$S31</f>
        <v>2026-10-06</v>
      </c>
    </row>
    <row r="332" customFormat="false" ht="15" hidden="false" customHeight="false" outlineLevel="0" collapsed="false">
      <c r="A332" s="92" t="str">
        <f aca="false">SRC_Perf!$A32&amp;""</f>
        <v>SRC_PERF_028</v>
      </c>
      <c r="B332" s="62" t="s">
        <v>3373</v>
      </c>
      <c r="C332" s="61" t="n">
        <v>32</v>
      </c>
      <c r="D332" s="92" t="str">
        <f aca="false">SRC_Perf!$O32</f>
        <v>Active</v>
      </c>
      <c r="E332" s="92" t="n">
        <f aca="false">SRC_Perf!$K32</f>
        <v>1</v>
      </c>
      <c r="F332" s="92" t="str">
        <f aca="false">SRC_Perf!$S32</f>
        <v>2026-10-06</v>
      </c>
    </row>
    <row r="333" customFormat="false" ht="15" hidden="false" customHeight="false" outlineLevel="0" collapsed="false">
      <c r="A333" s="92" t="str">
        <f aca="false">SRC_Perf!$A33&amp;""</f>
        <v>SRC_PERF_029</v>
      </c>
      <c r="B333" s="62" t="s">
        <v>3373</v>
      </c>
      <c r="C333" s="61" t="n">
        <v>33</v>
      </c>
      <c r="D333" s="92" t="str">
        <f aca="false">SRC_Perf!$O33</f>
        <v>Active</v>
      </c>
      <c r="E333" s="92" t="n">
        <f aca="false">SRC_Perf!$K33</f>
        <v>1</v>
      </c>
      <c r="F333" s="92" t="str">
        <f aca="false">SRC_Perf!$S33</f>
        <v>—</v>
      </c>
    </row>
    <row r="334" customFormat="false" ht="15" hidden="false" customHeight="false" outlineLevel="0" collapsed="false">
      <c r="A334" s="92" t="str">
        <f aca="false">SRC_Perf!$A34&amp;""</f>
        <v>SRC_PERF_030</v>
      </c>
      <c r="B334" s="62" t="s">
        <v>3373</v>
      </c>
      <c r="C334" s="61" t="n">
        <v>34</v>
      </c>
      <c r="D334" s="92" t="str">
        <f aca="false">SRC_Perf!$O34</f>
        <v>Active</v>
      </c>
      <c r="E334" s="92" t="n">
        <f aca="false">SRC_Perf!$K34</f>
        <v>1</v>
      </c>
      <c r="F334" s="92" t="str">
        <f aca="false">SRC_Perf!$S34</f>
        <v>—</v>
      </c>
    </row>
    <row r="335" customFormat="false" ht="15" hidden="false" customHeight="false" outlineLevel="0" collapsed="false">
      <c r="A335" s="92" t="str">
        <f aca="false">SRC_Perf!$A35&amp;""</f>
        <v>SRC_PERF_031</v>
      </c>
      <c r="B335" s="62" t="s">
        <v>3373</v>
      </c>
      <c r="C335" s="61" t="n">
        <v>35</v>
      </c>
      <c r="D335" s="92" t="str">
        <f aca="false">SRC_Perf!$O35</f>
        <v>Active</v>
      </c>
      <c r="E335" s="92" t="n">
        <f aca="false">SRC_Perf!$K35</f>
        <v>1</v>
      </c>
      <c r="F335" s="92" t="str">
        <f aca="false">SRC_Perf!$S35</f>
        <v>—</v>
      </c>
    </row>
    <row r="336" customFormat="false" ht="15" hidden="false" customHeight="false" outlineLevel="0" collapsed="false">
      <c r="A336" s="92" t="str">
        <f aca="false">SRC_Perf!$A36&amp;""</f>
        <v>SRC_PERF_032</v>
      </c>
      <c r="B336" s="62" t="s">
        <v>3373</v>
      </c>
      <c r="C336" s="61" t="n">
        <v>36</v>
      </c>
      <c r="D336" s="92" t="str">
        <f aca="false">SRC_Perf!$O36</f>
        <v>Active</v>
      </c>
      <c r="E336" s="92" t="n">
        <f aca="false">SRC_Perf!$K36</f>
        <v>1</v>
      </c>
      <c r="F336" s="92" t="str">
        <f aca="false">SRC_Perf!$S36</f>
        <v>—</v>
      </c>
    </row>
    <row r="337" customFormat="false" ht="15" hidden="false" customHeight="false" outlineLevel="0" collapsed="false">
      <c r="A337" s="92" t="str">
        <f aca="false">SRC_Perf!$A37&amp;""</f>
        <v>SRC_PERF_033</v>
      </c>
      <c r="B337" s="62" t="s">
        <v>3373</v>
      </c>
      <c r="C337" s="61" t="n">
        <v>37</v>
      </c>
      <c r="D337" s="92" t="str">
        <f aca="false">SRC_Perf!$O37</f>
        <v>Active</v>
      </c>
      <c r="E337" s="92" t="n">
        <f aca="false">SRC_Perf!$K37</f>
        <v>1</v>
      </c>
      <c r="F337" s="92" t="str">
        <f aca="false">SRC_Perf!$S37</f>
        <v>—</v>
      </c>
    </row>
    <row r="338" customFormat="false" ht="15" hidden="false" customHeight="false" outlineLevel="0" collapsed="false">
      <c r="A338" s="92" t="str">
        <f aca="false">SRC_Perf!$A38&amp;""</f>
        <v>SRC_PERF_034</v>
      </c>
      <c r="B338" s="62" t="s">
        <v>3373</v>
      </c>
      <c r="C338" s="61" t="n">
        <v>38</v>
      </c>
      <c r="D338" s="92" t="str">
        <f aca="false">SRC_Perf!$O38</f>
        <v>Active</v>
      </c>
      <c r="E338" s="92" t="n">
        <f aca="false">SRC_Perf!$K38</f>
        <v>1</v>
      </c>
      <c r="F338" s="92" t="str">
        <f aca="false">SRC_Perf!$S38</f>
        <v>—</v>
      </c>
    </row>
    <row r="339" customFormat="false" ht="15" hidden="false" customHeight="false" outlineLevel="0" collapsed="false">
      <c r="A339" s="92" t="str">
        <f aca="false">SRC_Perf!$A39&amp;""</f>
        <v>SRC_PERF_035</v>
      </c>
      <c r="B339" s="62" t="s">
        <v>3373</v>
      </c>
      <c r="C339" s="61" t="n">
        <v>39</v>
      </c>
      <c r="D339" s="92" t="str">
        <f aca="false">SRC_Perf!$O39</f>
        <v>Active</v>
      </c>
      <c r="E339" s="92" t="n">
        <f aca="false">SRC_Perf!$K39</f>
        <v>1</v>
      </c>
      <c r="F339" s="92" t="str">
        <f aca="false">SRC_Perf!$S39</f>
        <v>—</v>
      </c>
    </row>
    <row r="340" customFormat="false" ht="15" hidden="false" customHeight="false" outlineLevel="0" collapsed="false">
      <c r="A340" s="92" t="str">
        <f aca="false">SRC_Perf!$A40&amp;""</f>
        <v>SRC_PERF_036</v>
      </c>
      <c r="B340" s="62" t="s">
        <v>3373</v>
      </c>
      <c r="C340" s="61" t="n">
        <v>40</v>
      </c>
      <c r="D340" s="92" t="str">
        <f aca="false">SRC_Perf!$O40</f>
        <v>Active</v>
      </c>
      <c r="E340" s="92" t="n">
        <f aca="false">SRC_Perf!$K40</f>
        <v>1</v>
      </c>
      <c r="F340" s="92" t="str">
        <f aca="false">SRC_Perf!$S40</f>
        <v>2026-10-05</v>
      </c>
    </row>
    <row r="341" customFormat="false" ht="15" hidden="false" customHeight="false" outlineLevel="0" collapsed="false">
      <c r="A341" s="92" t="str">
        <f aca="false">SRC_Perf!$A41&amp;""</f>
        <v>SRC_PERF_037</v>
      </c>
      <c r="B341" s="62" t="s">
        <v>3373</v>
      </c>
      <c r="C341" s="61" t="n">
        <v>41</v>
      </c>
      <c r="D341" s="92" t="str">
        <f aca="false">SRC_Perf!$O41</f>
        <v>Active</v>
      </c>
      <c r="E341" s="92" t="n">
        <f aca="false">SRC_Perf!$K41</f>
        <v>1</v>
      </c>
      <c r="F341" s="92" t="str">
        <f aca="false">SRC_Perf!$S41</f>
        <v>2026-10-05</v>
      </c>
    </row>
    <row r="342" customFormat="false" ht="15" hidden="false" customHeight="false" outlineLevel="0" collapsed="false">
      <c r="A342" s="92" t="str">
        <f aca="false">SRC_Perf!$A42&amp;""</f>
        <v>SRC_PERF_038</v>
      </c>
      <c r="B342" s="62" t="s">
        <v>3373</v>
      </c>
      <c r="C342" s="61" t="n">
        <v>42</v>
      </c>
      <c r="D342" s="92" t="str">
        <f aca="false">SRC_Perf!$O42</f>
        <v>Active</v>
      </c>
      <c r="E342" s="92" t="n">
        <f aca="false">SRC_Perf!$K42</f>
        <v>1</v>
      </c>
      <c r="F342" s="92" t="str">
        <f aca="false">SRC_Perf!$S42</f>
        <v>—</v>
      </c>
    </row>
    <row r="343" customFormat="false" ht="15" hidden="false" customHeight="false" outlineLevel="0" collapsed="false">
      <c r="A343" s="92" t="str">
        <f aca="false">SRC_Perf!$A43&amp;""</f>
        <v>SRC_PERF_039</v>
      </c>
      <c r="B343" s="62" t="s">
        <v>3373</v>
      </c>
      <c r="C343" s="61" t="n">
        <v>43</v>
      </c>
      <c r="D343" s="92" t="str">
        <f aca="false">SRC_Perf!$O43</f>
        <v>Active</v>
      </c>
      <c r="E343" s="92" t="n">
        <f aca="false">SRC_Perf!$K43</f>
        <v>1</v>
      </c>
      <c r="F343" s="92" t="str">
        <f aca="false">SRC_Perf!$S43</f>
        <v>—</v>
      </c>
    </row>
    <row r="344" customFormat="false" ht="15" hidden="false" customHeight="false" outlineLevel="0" collapsed="false">
      <c r="A344" s="92" t="str">
        <f aca="false">SRC_Perf!$A44&amp;""</f>
        <v>SRC_PERF_040</v>
      </c>
      <c r="B344" s="62" t="s">
        <v>3373</v>
      </c>
      <c r="C344" s="61" t="n">
        <v>44</v>
      </c>
      <c r="D344" s="92" t="str">
        <f aca="false">SRC_Perf!$O44</f>
        <v>Active</v>
      </c>
      <c r="E344" s="92" t="n">
        <f aca="false">SRC_Perf!$K44</f>
        <v>1</v>
      </c>
      <c r="F344" s="92" t="str">
        <f aca="false">SRC_Perf!$S44</f>
        <v>—</v>
      </c>
    </row>
    <row r="345" customFormat="false" ht="15" hidden="false" customHeight="false" outlineLevel="0" collapsed="false">
      <c r="A345" s="92" t="str">
        <f aca="false">SRC_Perf!$A45&amp;""</f>
        <v>SRC_PERF_041</v>
      </c>
      <c r="B345" s="62" t="s">
        <v>3373</v>
      </c>
      <c r="C345" s="61" t="n">
        <v>45</v>
      </c>
      <c r="D345" s="92" t="str">
        <f aca="false">SRC_Perf!$O45</f>
        <v>Active</v>
      </c>
      <c r="E345" s="92" t="n">
        <f aca="false">SRC_Perf!$K45</f>
        <v>1</v>
      </c>
      <c r="F345" s="92" t="str">
        <f aca="false">SRC_Perf!$S45</f>
        <v>—</v>
      </c>
    </row>
    <row r="346" customFormat="false" ht="15" hidden="false" customHeight="false" outlineLevel="0" collapsed="false">
      <c r="A346" s="92" t="str">
        <f aca="false">SRC_Perf!$A46&amp;""</f>
        <v>SRC_PERF_042</v>
      </c>
      <c r="B346" s="62" t="s">
        <v>3373</v>
      </c>
      <c r="C346" s="61" t="n">
        <v>46</v>
      </c>
      <c r="D346" s="92" t="str">
        <f aca="false">SRC_Perf!$O46</f>
        <v>Active</v>
      </c>
      <c r="E346" s="92" t="n">
        <f aca="false">SRC_Perf!$K46</f>
        <v>1</v>
      </c>
      <c r="F346" s="92" t="str">
        <f aca="false">SRC_Perf!$S46</f>
        <v>—</v>
      </c>
    </row>
    <row r="347" customFormat="false" ht="15" hidden="false" customHeight="false" outlineLevel="0" collapsed="false">
      <c r="A347" s="92" t="str">
        <f aca="false">SRC_Perf!$A47&amp;""</f>
        <v>SRC_PERF_043</v>
      </c>
      <c r="B347" s="62" t="s">
        <v>3373</v>
      </c>
      <c r="C347" s="61" t="n">
        <v>47</v>
      </c>
      <c r="D347" s="92" t="str">
        <f aca="false">SRC_Perf!$O47</f>
        <v>Active</v>
      </c>
      <c r="E347" s="92" t="n">
        <f aca="false">SRC_Perf!$K47</f>
        <v>1</v>
      </c>
      <c r="F347" s="92" t="str">
        <f aca="false">SRC_Perf!$S47</f>
        <v>—</v>
      </c>
    </row>
    <row r="348" customFormat="false" ht="15" hidden="false" customHeight="false" outlineLevel="0" collapsed="false">
      <c r="A348" s="92" t="str">
        <f aca="false">SRC_Perf!$A48&amp;""</f>
        <v>SRC_PERF_044</v>
      </c>
      <c r="B348" s="62" t="s">
        <v>3373</v>
      </c>
      <c r="C348" s="61" t="n">
        <v>48</v>
      </c>
      <c r="D348" s="92" t="str">
        <f aca="false">SRC_Perf!$O48</f>
        <v>Active</v>
      </c>
      <c r="E348" s="92" t="n">
        <f aca="false">SRC_Perf!$K48</f>
        <v>1</v>
      </c>
      <c r="F348" s="92" t="str">
        <f aca="false">SRC_Perf!$S48</f>
        <v>—</v>
      </c>
    </row>
    <row r="349" customFormat="false" ht="15" hidden="false" customHeight="false" outlineLevel="0" collapsed="false">
      <c r="A349" s="92" t="str">
        <f aca="false">SRC_Perf!$A49&amp;""</f>
        <v>SRC_PERF_045</v>
      </c>
      <c r="B349" s="62" t="s">
        <v>3373</v>
      </c>
      <c r="C349" s="61" t="n">
        <v>49</v>
      </c>
      <c r="D349" s="92" t="str">
        <f aca="false">SRC_Perf!$O49</f>
        <v>Active</v>
      </c>
      <c r="E349" s="92" t="n">
        <f aca="false">SRC_Perf!$K49</f>
        <v>1</v>
      </c>
      <c r="F349" s="92" t="str">
        <f aca="false">SRC_Perf!$S49</f>
        <v>—</v>
      </c>
    </row>
    <row r="350" customFormat="false" ht="15" hidden="false" customHeight="false" outlineLevel="0" collapsed="false">
      <c r="A350" s="92" t="str">
        <f aca="false">SRC_Perf!$A50&amp;""</f>
        <v>SRC_PERF_046</v>
      </c>
      <c r="B350" s="62" t="s">
        <v>3373</v>
      </c>
      <c r="C350" s="61" t="n">
        <v>50</v>
      </c>
      <c r="D350" s="92" t="str">
        <f aca="false">SRC_Perf!$O50</f>
        <v>Active</v>
      </c>
      <c r="E350" s="92" t="n">
        <f aca="false">SRC_Perf!$K50</f>
        <v>1</v>
      </c>
      <c r="F350" s="92" t="str">
        <f aca="false">SRC_Perf!$S50</f>
        <v>—</v>
      </c>
    </row>
    <row r="351" customFormat="false" ht="15" hidden="false" customHeight="false" outlineLevel="0" collapsed="false">
      <c r="A351" s="92" t="str">
        <f aca="false">SRC_Perf!$A51&amp;""</f>
        <v>SRC_PERF_047</v>
      </c>
      <c r="B351" s="62" t="s">
        <v>3373</v>
      </c>
      <c r="C351" s="61" t="n">
        <v>51</v>
      </c>
      <c r="D351" s="92" t="str">
        <f aca="false">SRC_Perf!$O51</f>
        <v>Active</v>
      </c>
      <c r="E351" s="92" t="n">
        <f aca="false">SRC_Perf!$K51</f>
        <v>1</v>
      </c>
      <c r="F351" s="92" t="str">
        <f aca="false">SRC_Perf!$S51</f>
        <v>—</v>
      </c>
    </row>
    <row r="352" customFormat="false" ht="15" hidden="false" customHeight="false" outlineLevel="0" collapsed="false">
      <c r="A352" s="92" t="str">
        <f aca="false">SRC_Perf!$A52&amp;""</f>
        <v>SRC_PERF_048</v>
      </c>
      <c r="B352" s="62" t="s">
        <v>3373</v>
      </c>
      <c r="C352" s="61" t="n">
        <v>52</v>
      </c>
      <c r="D352" s="92" t="str">
        <f aca="false">SRC_Perf!$O52</f>
        <v>Active</v>
      </c>
      <c r="E352" s="92" t="n">
        <f aca="false">SRC_Perf!$K52</f>
        <v>1</v>
      </c>
      <c r="F352" s="92" t="str">
        <f aca="false">SRC_Perf!$S52</f>
        <v>—</v>
      </c>
    </row>
    <row r="353" customFormat="false" ht="15" hidden="false" customHeight="false" outlineLevel="0" collapsed="false">
      <c r="A353" s="92" t="str">
        <f aca="false">SRC_Perf!$A53&amp;""</f>
        <v>SRC_PERF_049</v>
      </c>
      <c r="B353" s="62" t="s">
        <v>3373</v>
      </c>
      <c r="C353" s="61" t="n">
        <v>53</v>
      </c>
      <c r="D353" s="92" t="str">
        <f aca="false">SRC_Perf!$O53</f>
        <v>Active</v>
      </c>
      <c r="E353" s="92" t="n">
        <f aca="false">SRC_Perf!$K53</f>
        <v>1</v>
      </c>
      <c r="F353" s="92" t="str">
        <f aca="false">SRC_Perf!$S53</f>
        <v>—</v>
      </c>
    </row>
    <row r="354" customFormat="false" ht="15" hidden="false" customHeight="false" outlineLevel="0" collapsed="false">
      <c r="A354" s="92" t="str">
        <f aca="false">SRC_Perf!$A54&amp;""</f>
        <v>SRC_PERF_050</v>
      </c>
      <c r="B354" s="62" t="s">
        <v>3373</v>
      </c>
      <c r="C354" s="61" t="n">
        <v>54</v>
      </c>
      <c r="D354" s="92" t="str">
        <f aca="false">SRC_Perf!$O54</f>
        <v>Active</v>
      </c>
      <c r="E354" s="92" t="n">
        <f aca="false">SRC_Perf!$K54</f>
        <v>1</v>
      </c>
      <c r="F354" s="92" t="str">
        <f aca="false">SRC_Perf!$S54</f>
        <v>—</v>
      </c>
    </row>
    <row r="355" customFormat="false" ht="15" hidden="false" customHeight="false" outlineLevel="0" collapsed="false">
      <c r="A355" s="92" t="str">
        <f aca="false">SRC_Perf!$A55&amp;""</f>
        <v>SRC_PERF_051</v>
      </c>
      <c r="B355" s="62" t="s">
        <v>3373</v>
      </c>
      <c r="C355" s="61" t="n">
        <v>55</v>
      </c>
      <c r="D355" s="92" t="str">
        <f aca="false">SRC_Perf!$O55</f>
        <v>Active</v>
      </c>
      <c r="E355" s="92" t="n">
        <f aca="false">SRC_Perf!$K55</f>
        <v>1</v>
      </c>
      <c r="F355" s="92" t="str">
        <f aca="false">SRC_Perf!$S55</f>
        <v>—</v>
      </c>
    </row>
    <row r="356" customFormat="false" ht="15" hidden="false" customHeight="false" outlineLevel="0" collapsed="false">
      <c r="A356" s="92" t="str">
        <f aca="false">SRC_Perf!$A56&amp;""</f>
        <v>SRC_PERF_052</v>
      </c>
      <c r="B356" s="62" t="s">
        <v>3373</v>
      </c>
      <c r="C356" s="61" t="n">
        <v>56</v>
      </c>
      <c r="D356" s="92" t="str">
        <f aca="false">SRC_Perf!$O56</f>
        <v>Active</v>
      </c>
      <c r="E356" s="92" t="n">
        <f aca="false">SRC_Perf!$K56</f>
        <v>1</v>
      </c>
      <c r="F356" s="92" t="str">
        <f aca="false">SRC_Perf!$S56</f>
        <v>—</v>
      </c>
    </row>
    <row r="357" customFormat="false" ht="15" hidden="false" customHeight="false" outlineLevel="0" collapsed="false">
      <c r="A357" s="92" t="str">
        <f aca="false">SRC_Perf!$A57&amp;""</f>
        <v>SRC_PERF_053</v>
      </c>
      <c r="B357" s="62" t="s">
        <v>3373</v>
      </c>
      <c r="C357" s="61" t="n">
        <v>57</v>
      </c>
      <c r="D357" s="92" t="str">
        <f aca="false">SRC_Perf!$O57</f>
        <v>Active</v>
      </c>
      <c r="E357" s="92" t="n">
        <f aca="false">SRC_Perf!$K57</f>
        <v>1</v>
      </c>
      <c r="F357" s="92" t="str">
        <f aca="false">SRC_Perf!$S57</f>
        <v>—</v>
      </c>
    </row>
    <row r="358" customFormat="false" ht="15" hidden="false" customHeight="false" outlineLevel="0" collapsed="false">
      <c r="A358" s="92" t="str">
        <f aca="false">SRC_Perf!$A58&amp;""</f>
        <v>SRC_PERF_054</v>
      </c>
      <c r="B358" s="62" t="s">
        <v>3373</v>
      </c>
      <c r="C358" s="61" t="n">
        <v>58</v>
      </c>
      <c r="D358" s="92" t="str">
        <f aca="false">SRC_Perf!$O58</f>
        <v>Active</v>
      </c>
      <c r="E358" s="92" t="n">
        <f aca="false">SRC_Perf!$K58</f>
        <v>1</v>
      </c>
      <c r="F358" s="92" t="str">
        <f aca="false">SRC_Perf!$S58</f>
        <v>—</v>
      </c>
    </row>
    <row r="359" customFormat="false" ht="15" hidden="false" customHeight="false" outlineLevel="0" collapsed="false">
      <c r="A359" s="92" t="str">
        <f aca="false">SRC_Perf!$A59&amp;""</f>
        <v>SRC_PERF_055</v>
      </c>
      <c r="B359" s="62" t="s">
        <v>3373</v>
      </c>
      <c r="C359" s="61" t="n">
        <v>59</v>
      </c>
      <c r="D359" s="92" t="str">
        <f aca="false">SRC_Perf!$O59</f>
        <v>Active</v>
      </c>
      <c r="E359" s="92" t="n">
        <f aca="false">SRC_Perf!$K59</f>
        <v>1</v>
      </c>
      <c r="F359" s="92" t="str">
        <f aca="false">SRC_Perf!$S59</f>
        <v>—</v>
      </c>
    </row>
    <row r="360" customFormat="false" ht="15" hidden="false" customHeight="false" outlineLevel="0" collapsed="false">
      <c r="A360" s="92" t="str">
        <f aca="false">SRC_Perf!$A60&amp;""</f>
        <v>SRC_PERF_056</v>
      </c>
      <c r="B360" s="62" t="s">
        <v>3373</v>
      </c>
      <c r="C360" s="61" t="n">
        <v>60</v>
      </c>
      <c r="D360" s="92" t="str">
        <f aca="false">SRC_Perf!$O60</f>
        <v>Active</v>
      </c>
      <c r="E360" s="92" t="n">
        <f aca="false">SRC_Perf!$K60</f>
        <v>1</v>
      </c>
      <c r="F360" s="92" t="str">
        <f aca="false">SRC_Perf!$S60</f>
        <v>—</v>
      </c>
    </row>
    <row r="361" customFormat="false" ht="15" hidden="false" customHeight="false" outlineLevel="0" collapsed="false">
      <c r="A361" s="92" t="str">
        <f aca="false">SRC_Perf!$A61&amp;""</f>
        <v>SRC_PERF_057</v>
      </c>
      <c r="B361" s="62" t="s">
        <v>3373</v>
      </c>
      <c r="C361" s="61" t="n">
        <v>61</v>
      </c>
      <c r="D361" s="92" t="str">
        <f aca="false">SRC_Perf!$O61</f>
        <v>Active</v>
      </c>
      <c r="E361" s="92" t="n">
        <f aca="false">SRC_Perf!$K61</f>
        <v>1</v>
      </c>
      <c r="F361" s="92" t="str">
        <f aca="false">SRC_Perf!$S61</f>
        <v>—</v>
      </c>
    </row>
    <row r="362" customFormat="false" ht="15" hidden="false" customHeight="false" outlineLevel="0" collapsed="false">
      <c r="A362" s="92" t="str">
        <f aca="false">SRC_Perf!$A62&amp;""</f>
        <v>SRC_PERF_058</v>
      </c>
      <c r="B362" s="62" t="s">
        <v>3373</v>
      </c>
      <c r="C362" s="61" t="n">
        <v>62</v>
      </c>
      <c r="D362" s="92" t="str">
        <f aca="false">SRC_Perf!$O62</f>
        <v>Active</v>
      </c>
      <c r="E362" s="92" t="n">
        <f aca="false">SRC_Perf!$K62</f>
        <v>1</v>
      </c>
      <c r="F362" s="92" t="str">
        <f aca="false">SRC_Perf!$S62</f>
        <v>—</v>
      </c>
    </row>
    <row r="363" customFormat="false" ht="15" hidden="false" customHeight="false" outlineLevel="0" collapsed="false">
      <c r="A363" s="92" t="str">
        <f aca="false">SRC_Perf!$A63&amp;""</f>
        <v>SRC_PERF_059</v>
      </c>
      <c r="B363" s="62" t="s">
        <v>3373</v>
      </c>
      <c r="C363" s="61" t="n">
        <v>63</v>
      </c>
      <c r="D363" s="92" t="str">
        <f aca="false">SRC_Perf!$O63</f>
        <v>Active</v>
      </c>
      <c r="E363" s="92" t="n">
        <f aca="false">SRC_Perf!$K63</f>
        <v>1</v>
      </c>
      <c r="F363" s="92" t="str">
        <f aca="false">SRC_Perf!$S63</f>
        <v>—</v>
      </c>
    </row>
    <row r="364" customFormat="false" ht="15" hidden="false" customHeight="false" outlineLevel="0" collapsed="false">
      <c r="A364" s="92" t="str">
        <f aca="false">SRC_Perf!$A64&amp;""</f>
        <v>SRC_PERF_060</v>
      </c>
      <c r="B364" s="62" t="s">
        <v>3373</v>
      </c>
      <c r="C364" s="61" t="n">
        <v>64</v>
      </c>
      <c r="D364" s="92" t="str">
        <f aca="false">SRC_Perf!$O64</f>
        <v>Active</v>
      </c>
      <c r="E364" s="92" t="n">
        <f aca="false">SRC_Perf!$K64</f>
        <v>2</v>
      </c>
      <c r="F364" s="92" t="str">
        <f aca="false">SRC_Perf!$S64</f>
        <v>—</v>
      </c>
    </row>
    <row r="365" customFormat="false" ht="15" hidden="false" customHeight="false" outlineLevel="0" collapsed="false">
      <c r="A365" s="92" t="str">
        <f aca="false">SRC_Perf!$A65&amp;""</f>
        <v>SRC_PERF_061</v>
      </c>
      <c r="B365" s="62" t="s">
        <v>3373</v>
      </c>
      <c r="C365" s="61" t="n">
        <v>65</v>
      </c>
      <c r="D365" s="92" t="str">
        <f aca="false">SRC_Perf!$O65</f>
        <v>Active</v>
      </c>
      <c r="E365" s="92" t="n">
        <f aca="false">SRC_Perf!$K65</f>
        <v>2</v>
      </c>
      <c r="F365" s="92" t="str">
        <f aca="false">SRC_Perf!$S65</f>
        <v>—</v>
      </c>
    </row>
    <row r="366" customFormat="false" ht="15" hidden="false" customHeight="false" outlineLevel="0" collapsed="false">
      <c r="A366" s="92" t="str">
        <f aca="false">SRC_Perf!$A66&amp;""</f>
        <v>SRC_PERF_062</v>
      </c>
      <c r="B366" s="62" t="s">
        <v>3373</v>
      </c>
      <c r="C366" s="61" t="n">
        <v>66</v>
      </c>
      <c r="D366" s="92" t="str">
        <f aca="false">SRC_Perf!$O66</f>
        <v>Active</v>
      </c>
      <c r="E366" s="92" t="n">
        <f aca="false">SRC_Perf!$K66</f>
        <v>2</v>
      </c>
      <c r="F366" s="92" t="str">
        <f aca="false">SRC_Perf!$S66</f>
        <v>—</v>
      </c>
    </row>
    <row r="367" customFormat="false" ht="15" hidden="false" customHeight="false" outlineLevel="0" collapsed="false">
      <c r="A367" s="92" t="str">
        <f aca="false">SRC_Perf!$A67&amp;""</f>
        <v>SRC_PERF_063</v>
      </c>
      <c r="B367" s="62" t="s">
        <v>3373</v>
      </c>
      <c r="C367" s="61" t="n">
        <v>67</v>
      </c>
      <c r="D367" s="92" t="str">
        <f aca="false">SRC_Perf!$O67</f>
        <v>Active</v>
      </c>
      <c r="E367" s="92" t="n">
        <f aca="false">SRC_Perf!$K67</f>
        <v>2</v>
      </c>
      <c r="F367" s="92" t="str">
        <f aca="false">SRC_Perf!$S67</f>
        <v>—</v>
      </c>
    </row>
    <row r="368" customFormat="false" ht="15" hidden="false" customHeight="false" outlineLevel="0" collapsed="false">
      <c r="A368" s="92" t="str">
        <f aca="false">SRC_Perf!$A68&amp;""</f>
        <v>SRC_PERF_064</v>
      </c>
      <c r="B368" s="62" t="s">
        <v>3373</v>
      </c>
      <c r="C368" s="61" t="n">
        <v>68</v>
      </c>
      <c r="D368" s="92" t="str">
        <f aca="false">SRC_Perf!$O68</f>
        <v>Active</v>
      </c>
      <c r="E368" s="92" t="n">
        <f aca="false">SRC_Perf!$K68</f>
        <v>2</v>
      </c>
      <c r="F368" s="92" t="str">
        <f aca="false">SRC_Perf!$S68</f>
        <v>—</v>
      </c>
    </row>
    <row r="369" customFormat="false" ht="15" hidden="false" customHeight="false" outlineLevel="0" collapsed="false">
      <c r="A369" s="92" t="str">
        <f aca="false">SRC_Perf!$A69&amp;""</f>
        <v>SRC_PERF_065</v>
      </c>
      <c r="B369" s="62" t="s">
        <v>3373</v>
      </c>
      <c r="C369" s="61" t="n">
        <v>69</v>
      </c>
      <c r="D369" s="92" t="str">
        <f aca="false">SRC_Perf!$O69</f>
        <v>Active</v>
      </c>
      <c r="E369" s="92" t="n">
        <f aca="false">SRC_Perf!$K69</f>
        <v>2</v>
      </c>
      <c r="F369" s="92" t="str">
        <f aca="false">SRC_Perf!$S69</f>
        <v>—</v>
      </c>
    </row>
    <row r="370" customFormat="false" ht="15" hidden="false" customHeight="false" outlineLevel="0" collapsed="false">
      <c r="A370" s="92" t="str">
        <f aca="false">SRC_Perf!$A70&amp;""</f>
        <v>SRC_PERF_066</v>
      </c>
      <c r="B370" s="62" t="s">
        <v>3373</v>
      </c>
      <c r="C370" s="61" t="n">
        <v>70</v>
      </c>
      <c r="D370" s="92" t="str">
        <f aca="false">SRC_Perf!$O70</f>
        <v>Active</v>
      </c>
      <c r="E370" s="92" t="n">
        <f aca="false">SRC_Perf!$K70</f>
        <v>2</v>
      </c>
      <c r="F370" s="92" t="str">
        <f aca="false">SRC_Perf!$S70</f>
        <v>—</v>
      </c>
    </row>
    <row r="371" customFormat="false" ht="15" hidden="false" customHeight="false" outlineLevel="0" collapsed="false">
      <c r="A371" s="92" t="str">
        <f aca="false">SRC_Perf!$A71&amp;""</f>
        <v>SRC_PERF_067</v>
      </c>
      <c r="B371" s="62" t="s">
        <v>3373</v>
      </c>
      <c r="C371" s="61" t="n">
        <v>71</v>
      </c>
      <c r="D371" s="92" t="str">
        <f aca="false">SRC_Perf!$O71</f>
        <v>Active</v>
      </c>
      <c r="E371" s="92" t="n">
        <f aca="false">SRC_Perf!$K71</f>
        <v>2</v>
      </c>
      <c r="F371" s="92" t="str">
        <f aca="false">SRC_Perf!$S71</f>
        <v>—</v>
      </c>
    </row>
    <row r="372" customFormat="false" ht="15" hidden="false" customHeight="false" outlineLevel="0" collapsed="false">
      <c r="A372" s="92" t="str">
        <f aca="false">SRC_Perf!$A72&amp;""</f>
        <v>SRC_PERF_068</v>
      </c>
      <c r="B372" s="62" t="s">
        <v>3373</v>
      </c>
      <c r="C372" s="61" t="n">
        <v>72</v>
      </c>
      <c r="D372" s="92" t="str">
        <f aca="false">SRC_Perf!$O72</f>
        <v>Active</v>
      </c>
      <c r="E372" s="92" t="n">
        <f aca="false">SRC_Perf!$K72</f>
        <v>2</v>
      </c>
      <c r="F372" s="92" t="str">
        <f aca="false">SRC_Perf!$S72</f>
        <v>—</v>
      </c>
    </row>
    <row r="373" customFormat="false" ht="15" hidden="false" customHeight="false" outlineLevel="0" collapsed="false">
      <c r="A373" s="92" t="str">
        <f aca="false">SRC_Perf!$A73&amp;""</f>
        <v>SRC_PERF_069</v>
      </c>
      <c r="B373" s="62" t="s">
        <v>3373</v>
      </c>
      <c r="C373" s="61" t="n">
        <v>73</v>
      </c>
      <c r="D373" s="92" t="str">
        <f aca="false">SRC_Perf!$O73</f>
        <v>Active</v>
      </c>
      <c r="E373" s="92" t="n">
        <f aca="false">SRC_Perf!$K73</f>
        <v>2</v>
      </c>
      <c r="F373" s="92" t="str">
        <f aca="false">SRC_Perf!$S73</f>
        <v>—</v>
      </c>
    </row>
    <row r="374" customFormat="false" ht="15" hidden="false" customHeight="false" outlineLevel="0" collapsed="false">
      <c r="A374" s="92" t="str">
        <f aca="false">SRC_Perf!$A74&amp;""</f>
        <v>SRC_PERF_070</v>
      </c>
      <c r="B374" s="62" t="s">
        <v>3373</v>
      </c>
      <c r="C374" s="61" t="n">
        <v>74</v>
      </c>
      <c r="D374" s="92" t="str">
        <f aca="false">SRC_Perf!$O74</f>
        <v>Active</v>
      </c>
      <c r="E374" s="92" t="n">
        <f aca="false">SRC_Perf!$K74</f>
        <v>2</v>
      </c>
      <c r="F374" s="92" t="str">
        <f aca="false">SRC_Perf!$S74</f>
        <v>—</v>
      </c>
    </row>
    <row r="375" customFormat="false" ht="15" hidden="false" customHeight="false" outlineLevel="0" collapsed="false">
      <c r="A375" s="92" t="str">
        <f aca="false">SRC_Perf!$A75&amp;""</f>
        <v>SRC_PERF_071</v>
      </c>
      <c r="B375" s="62" t="s">
        <v>3373</v>
      </c>
      <c r="C375" s="61" t="n">
        <v>75</v>
      </c>
      <c r="D375" s="92" t="str">
        <f aca="false">SRC_Perf!$O75</f>
        <v>Active</v>
      </c>
      <c r="E375" s="92" t="n">
        <f aca="false">SRC_Perf!$K75</f>
        <v>2</v>
      </c>
      <c r="F375" s="92" t="str">
        <f aca="false">SRC_Perf!$S75</f>
        <v>—</v>
      </c>
    </row>
    <row r="376" customFormat="false" ht="15" hidden="false" customHeight="false" outlineLevel="0" collapsed="false">
      <c r="A376" s="92" t="str">
        <f aca="false">SRC_Perf!$A76&amp;""</f>
        <v>SRC_PERF_072</v>
      </c>
      <c r="B376" s="62" t="s">
        <v>3373</v>
      </c>
      <c r="C376" s="61" t="n">
        <v>76</v>
      </c>
      <c r="D376" s="92" t="str">
        <f aca="false">SRC_Perf!$O76</f>
        <v>Active</v>
      </c>
      <c r="E376" s="92" t="n">
        <f aca="false">SRC_Perf!$K76</f>
        <v>1</v>
      </c>
      <c r="F376" s="92" t="str">
        <f aca="false">SRC_Perf!$S76</f>
        <v>—</v>
      </c>
    </row>
    <row r="377" customFormat="false" ht="15" hidden="false" customHeight="false" outlineLevel="0" collapsed="false">
      <c r="A377" s="92" t="str">
        <f aca="false">SRC_Perf!$A77&amp;""</f>
        <v>SRC_PERF_073</v>
      </c>
      <c r="B377" s="62" t="s">
        <v>3373</v>
      </c>
      <c r="C377" s="61" t="n">
        <v>77</v>
      </c>
      <c r="D377" s="92" t="str">
        <f aca="false">SRC_Perf!$O77</f>
        <v>Active</v>
      </c>
      <c r="E377" s="92" t="n">
        <f aca="false">SRC_Perf!$K77</f>
        <v>1</v>
      </c>
      <c r="F377" s="92" t="str">
        <f aca="false">SRC_Perf!$S77</f>
        <v>—</v>
      </c>
    </row>
    <row r="378" customFormat="false" ht="15" hidden="false" customHeight="false" outlineLevel="0" collapsed="false">
      <c r="A378" s="92" t="str">
        <f aca="false">SRC_Perf!$A78&amp;""</f>
        <v>SRC_PERF_074</v>
      </c>
      <c r="B378" s="62" t="s">
        <v>3373</v>
      </c>
      <c r="C378" s="61" t="n">
        <v>78</v>
      </c>
      <c r="D378" s="92" t="str">
        <f aca="false">SRC_Perf!$O78</f>
        <v>Active</v>
      </c>
      <c r="E378" s="92" t="n">
        <f aca="false">SRC_Perf!$K78</f>
        <v>1</v>
      </c>
      <c r="F378" s="92" t="str">
        <f aca="false">SRC_Perf!$S78</f>
        <v>—</v>
      </c>
    </row>
    <row r="379" customFormat="false" ht="15" hidden="false" customHeight="false" outlineLevel="0" collapsed="false">
      <c r="A379" s="92" t="str">
        <f aca="false">SRC_Perf!$A79&amp;""</f>
        <v>SRC_PERF_075</v>
      </c>
      <c r="B379" s="62" t="s">
        <v>3373</v>
      </c>
      <c r="C379" s="61" t="n">
        <v>79</v>
      </c>
      <c r="D379" s="92" t="str">
        <f aca="false">SRC_Perf!$O79</f>
        <v>Active</v>
      </c>
      <c r="E379" s="92" t="n">
        <f aca="false">SRC_Perf!$K79</f>
        <v>1</v>
      </c>
      <c r="F379" s="92" t="str">
        <f aca="false">SRC_Perf!$S79</f>
        <v>—</v>
      </c>
    </row>
    <row r="380" customFormat="false" ht="15" hidden="false" customHeight="false" outlineLevel="0" collapsed="false">
      <c r="A380" s="92" t="str">
        <f aca="false">SRC_Perf!$A80&amp;""</f>
        <v>SRC_PERF_076</v>
      </c>
      <c r="B380" s="62" t="s">
        <v>3373</v>
      </c>
      <c r="C380" s="61" t="n">
        <v>80</v>
      </c>
      <c r="D380" s="92" t="str">
        <f aca="false">SRC_Perf!$O80</f>
        <v>Active</v>
      </c>
      <c r="E380" s="92" t="n">
        <f aca="false">SRC_Perf!$K80</f>
        <v>1</v>
      </c>
      <c r="F380" s="92" t="str">
        <f aca="false">SRC_Perf!$S80</f>
        <v>—</v>
      </c>
    </row>
    <row r="381" customFormat="false" ht="15" hidden="false" customHeight="false" outlineLevel="0" collapsed="false">
      <c r="A381" s="92" t="str">
        <f aca="false">SRC_Perf!$A81&amp;""</f>
        <v>SRC_PERF_077</v>
      </c>
      <c r="B381" s="62" t="s">
        <v>3373</v>
      </c>
      <c r="C381" s="61" t="n">
        <v>81</v>
      </c>
      <c r="D381" s="92" t="str">
        <f aca="false">SRC_Perf!$O81</f>
        <v>Active</v>
      </c>
      <c r="E381" s="92" t="n">
        <f aca="false">SRC_Perf!$K81</f>
        <v>1</v>
      </c>
      <c r="F381" s="92" t="str">
        <f aca="false">SRC_Perf!$S81</f>
        <v>—</v>
      </c>
    </row>
    <row r="382" customFormat="false" ht="15" hidden="false" customHeight="false" outlineLevel="0" collapsed="false">
      <c r="A382" s="92" t="str">
        <f aca="false">SRC_Perf!$A82&amp;""</f>
        <v>SRC_PERF_078</v>
      </c>
      <c r="B382" s="62" t="s">
        <v>3373</v>
      </c>
      <c r="C382" s="61" t="n">
        <v>82</v>
      </c>
      <c r="D382" s="92" t="str">
        <f aca="false">SRC_Perf!$O82</f>
        <v>Active</v>
      </c>
      <c r="E382" s="92" t="n">
        <f aca="false">SRC_Perf!$K82</f>
        <v>1</v>
      </c>
      <c r="F382" s="92" t="str">
        <f aca="false">SRC_Perf!$S82</f>
        <v>—</v>
      </c>
    </row>
    <row r="383" customFormat="false" ht="15" hidden="false" customHeight="false" outlineLevel="0" collapsed="false">
      <c r="A383" s="92" t="str">
        <f aca="false">SRC_Perf!$A83&amp;""</f>
        <v>SRC_PERF_079</v>
      </c>
      <c r="B383" s="62" t="s">
        <v>3373</v>
      </c>
      <c r="C383" s="61" t="n">
        <v>83</v>
      </c>
      <c r="D383" s="92" t="str">
        <f aca="false">SRC_Perf!$O83</f>
        <v>Active</v>
      </c>
      <c r="E383" s="92" t="n">
        <f aca="false">SRC_Perf!$K83</f>
        <v>1</v>
      </c>
      <c r="F383" s="92" t="str">
        <f aca="false">SRC_Perf!$S83</f>
        <v>—</v>
      </c>
    </row>
    <row r="384" customFormat="false" ht="15" hidden="false" customHeight="false" outlineLevel="0" collapsed="false">
      <c r="A384" s="92" t="str">
        <f aca="false">SRC_Perf!$A84&amp;""</f>
        <v>SRC_PERF_080</v>
      </c>
      <c r="B384" s="62" t="s">
        <v>3373</v>
      </c>
      <c r="C384" s="61" t="n">
        <v>84</v>
      </c>
      <c r="D384" s="92" t="str">
        <f aca="false">SRC_Perf!$O84</f>
        <v>Active</v>
      </c>
      <c r="E384" s="92" t="n">
        <f aca="false">SRC_Perf!$K84</f>
        <v>1</v>
      </c>
      <c r="F384" s="92" t="str">
        <f aca="false">SRC_Perf!$S84</f>
        <v>—</v>
      </c>
    </row>
    <row r="385" customFormat="false" ht="15" hidden="false" customHeight="false" outlineLevel="0" collapsed="false">
      <c r="A385" s="92" t="str">
        <f aca="false">SRC_Perf!$A85&amp;""</f>
        <v>SRC_PERF_081</v>
      </c>
      <c r="B385" s="62" t="s">
        <v>3373</v>
      </c>
      <c r="C385" s="61" t="n">
        <v>85</v>
      </c>
      <c r="D385" s="92" t="str">
        <f aca="false">SRC_Perf!$O85</f>
        <v>Active</v>
      </c>
      <c r="E385" s="92" t="n">
        <f aca="false">SRC_Perf!$K85</f>
        <v>1</v>
      </c>
      <c r="F385" s="92" t="str">
        <f aca="false">SRC_Perf!$S85</f>
        <v>—</v>
      </c>
    </row>
    <row r="386" customFormat="false" ht="15" hidden="false" customHeight="false" outlineLevel="0" collapsed="false">
      <c r="A386" s="92" t="str">
        <f aca="false">SRC_Perf!$A86&amp;""</f>
        <v>SRC_PERF_082</v>
      </c>
      <c r="B386" s="62" t="s">
        <v>3373</v>
      </c>
      <c r="C386" s="61" t="n">
        <v>86</v>
      </c>
      <c r="D386" s="92" t="str">
        <f aca="false">SRC_Perf!$O86</f>
        <v>Active</v>
      </c>
      <c r="E386" s="92" t="n">
        <f aca="false">SRC_Perf!$K86</f>
        <v>1</v>
      </c>
      <c r="F386" s="92" t="str">
        <f aca="false">SRC_Perf!$S86</f>
        <v>—</v>
      </c>
    </row>
    <row r="387" customFormat="false" ht="15" hidden="false" customHeight="false" outlineLevel="0" collapsed="false">
      <c r="A387" s="92" t="str">
        <f aca="false">SRC_Perf!$A87&amp;""</f>
        <v>SRC_PERF_083</v>
      </c>
      <c r="B387" s="62" t="s">
        <v>3373</v>
      </c>
      <c r="C387" s="61" t="n">
        <v>87</v>
      </c>
      <c r="D387" s="92" t="str">
        <f aca="false">SRC_Perf!$O87</f>
        <v>Active</v>
      </c>
      <c r="E387" s="92" t="n">
        <f aca="false">SRC_Perf!$K87</f>
        <v>1</v>
      </c>
      <c r="F387" s="92" t="str">
        <f aca="false">SRC_Perf!$S87</f>
        <v>—</v>
      </c>
    </row>
    <row r="388" customFormat="false" ht="15" hidden="false" customHeight="false" outlineLevel="0" collapsed="false">
      <c r="A388" s="92" t="str">
        <f aca="false">SRC_Perf!$A88&amp;""</f>
        <v/>
      </c>
      <c r="B388" s="62" t="s">
        <v>3373</v>
      </c>
      <c r="C388" s="61" t="n">
        <v>88</v>
      </c>
      <c r="D388" s="92" t="n">
        <f aca="false">SRC_Perf!$O88</f>
        <v>0</v>
      </c>
      <c r="E388" s="92" t="n">
        <f aca="false">SRC_Perf!$K88</f>
        <v>0</v>
      </c>
      <c r="F388" s="92" t="n">
        <f aca="false">SRC_Perf!$S88</f>
        <v>0</v>
      </c>
    </row>
    <row r="389" customFormat="false" ht="15" hidden="false" customHeight="false" outlineLevel="0" collapsed="false">
      <c r="A389" s="92" t="str">
        <f aca="false">SRC_Perf!$A89&amp;""</f>
        <v/>
      </c>
      <c r="B389" s="62" t="s">
        <v>3373</v>
      </c>
      <c r="C389" s="61" t="n">
        <v>89</v>
      </c>
      <c r="D389" s="92" t="n">
        <f aca="false">SRC_Perf!$O89</f>
        <v>0</v>
      </c>
      <c r="E389" s="92" t="n">
        <f aca="false">SRC_Perf!$K89</f>
        <v>0</v>
      </c>
      <c r="F389" s="92" t="n">
        <f aca="false">SRC_Perf!$S89</f>
        <v>0</v>
      </c>
    </row>
    <row r="390" customFormat="false" ht="15" hidden="false" customHeight="false" outlineLevel="0" collapsed="false">
      <c r="A390" s="92" t="str">
        <f aca="false">SRC_Perf!$A90&amp;""</f>
        <v/>
      </c>
      <c r="B390" s="62" t="s">
        <v>3373</v>
      </c>
      <c r="C390" s="61" t="n">
        <v>90</v>
      </c>
      <c r="D390" s="92" t="n">
        <f aca="false">SRC_Perf!$O90</f>
        <v>0</v>
      </c>
      <c r="E390" s="92" t="n">
        <f aca="false">SRC_Perf!$K90</f>
        <v>0</v>
      </c>
      <c r="F390" s="92" t="n">
        <f aca="false">SRC_Perf!$S90</f>
        <v>0</v>
      </c>
    </row>
    <row r="391" customFormat="false" ht="15" hidden="false" customHeight="false" outlineLevel="0" collapsed="false">
      <c r="A391" s="92" t="str">
        <f aca="false">SRC_Perf!$A91&amp;""</f>
        <v/>
      </c>
      <c r="B391" s="62" t="s">
        <v>3373</v>
      </c>
      <c r="C391" s="61" t="n">
        <v>91</v>
      </c>
      <c r="D391" s="92" t="n">
        <f aca="false">SRC_Perf!$O91</f>
        <v>0</v>
      </c>
      <c r="E391" s="92" t="n">
        <f aca="false">SRC_Perf!$K91</f>
        <v>0</v>
      </c>
      <c r="F391" s="92" t="n">
        <f aca="false">SRC_Perf!$S91</f>
        <v>0</v>
      </c>
    </row>
    <row r="392" customFormat="false" ht="15" hidden="false" customHeight="false" outlineLevel="0" collapsed="false">
      <c r="A392" s="92" t="str">
        <f aca="false">SRC_Perf!$A92&amp;""</f>
        <v/>
      </c>
      <c r="B392" s="62" t="s">
        <v>3373</v>
      </c>
      <c r="C392" s="61" t="n">
        <v>92</v>
      </c>
      <c r="D392" s="92" t="n">
        <f aca="false">SRC_Perf!$O92</f>
        <v>0</v>
      </c>
      <c r="E392" s="92" t="n">
        <f aca="false">SRC_Perf!$K92</f>
        <v>0</v>
      </c>
      <c r="F392" s="92" t="n">
        <f aca="false">SRC_Perf!$S92</f>
        <v>0</v>
      </c>
    </row>
    <row r="393" customFormat="false" ht="15" hidden="false" customHeight="false" outlineLevel="0" collapsed="false">
      <c r="A393" s="92" t="str">
        <f aca="false">SRC_Perf!$A93&amp;""</f>
        <v/>
      </c>
      <c r="B393" s="62" t="s">
        <v>3373</v>
      </c>
      <c r="C393" s="61" t="n">
        <v>93</v>
      </c>
      <c r="D393" s="92" t="n">
        <f aca="false">SRC_Perf!$O93</f>
        <v>0</v>
      </c>
      <c r="E393" s="92" t="n">
        <f aca="false">SRC_Perf!$K93</f>
        <v>0</v>
      </c>
      <c r="F393" s="92" t="n">
        <f aca="false">SRC_Perf!$S93</f>
        <v>0</v>
      </c>
    </row>
    <row r="394" customFormat="false" ht="15" hidden="false" customHeight="false" outlineLevel="0" collapsed="false">
      <c r="A394" s="92" t="str">
        <f aca="false">SRC_Perf!$A94&amp;""</f>
        <v/>
      </c>
      <c r="B394" s="62" t="s">
        <v>3373</v>
      </c>
      <c r="C394" s="61" t="n">
        <v>94</v>
      </c>
      <c r="D394" s="92" t="n">
        <f aca="false">SRC_Perf!$O94</f>
        <v>0</v>
      </c>
      <c r="E394" s="92" t="n">
        <f aca="false">SRC_Perf!$K94</f>
        <v>0</v>
      </c>
      <c r="F394" s="92" t="n">
        <f aca="false">SRC_Perf!$S94</f>
        <v>0</v>
      </c>
    </row>
    <row r="395" customFormat="false" ht="15" hidden="false" customHeight="false" outlineLevel="0" collapsed="false">
      <c r="A395" s="92" t="str">
        <f aca="false">SRC_Perf!$A95&amp;""</f>
        <v/>
      </c>
      <c r="B395" s="62" t="s">
        <v>3373</v>
      </c>
      <c r="C395" s="61" t="n">
        <v>95</v>
      </c>
      <c r="D395" s="92" t="n">
        <f aca="false">SRC_Perf!$O95</f>
        <v>0</v>
      </c>
      <c r="E395" s="92" t="n">
        <f aca="false">SRC_Perf!$K95</f>
        <v>0</v>
      </c>
      <c r="F395" s="92" t="n">
        <f aca="false">SRC_Perf!$S95</f>
        <v>0</v>
      </c>
    </row>
    <row r="396" customFormat="false" ht="15" hidden="false" customHeight="false" outlineLevel="0" collapsed="false">
      <c r="A396" s="92" t="str">
        <f aca="false">SRC_Perf!$A96&amp;""</f>
        <v/>
      </c>
      <c r="B396" s="62" t="s">
        <v>3373</v>
      </c>
      <c r="C396" s="61" t="n">
        <v>96</v>
      </c>
      <c r="D396" s="92" t="n">
        <f aca="false">SRC_Perf!$O96</f>
        <v>0</v>
      </c>
      <c r="E396" s="92" t="n">
        <f aca="false">SRC_Perf!$K96</f>
        <v>0</v>
      </c>
      <c r="F396" s="92" t="n">
        <f aca="false">SRC_Perf!$S96</f>
        <v>0</v>
      </c>
    </row>
    <row r="397" customFormat="false" ht="15" hidden="false" customHeight="false" outlineLevel="0" collapsed="false">
      <c r="A397" s="92" t="str">
        <f aca="false">SRC_Perf!$A97&amp;""</f>
        <v/>
      </c>
      <c r="B397" s="62" t="s">
        <v>3373</v>
      </c>
      <c r="C397" s="61" t="n">
        <v>97</v>
      </c>
      <c r="D397" s="92" t="n">
        <f aca="false">SRC_Perf!$O97</f>
        <v>0</v>
      </c>
      <c r="E397" s="92" t="n">
        <f aca="false">SRC_Perf!$K97</f>
        <v>0</v>
      </c>
      <c r="F397" s="92" t="n">
        <f aca="false">SRC_Perf!$S97</f>
        <v>0</v>
      </c>
    </row>
    <row r="398" customFormat="false" ht="15" hidden="false" customHeight="false" outlineLevel="0" collapsed="false">
      <c r="A398" s="92" t="str">
        <f aca="false">SRC_Perf!$A98&amp;""</f>
        <v/>
      </c>
      <c r="B398" s="62" t="s">
        <v>3373</v>
      </c>
      <c r="C398" s="61" t="n">
        <v>98</v>
      </c>
      <c r="D398" s="92" t="n">
        <f aca="false">SRC_Perf!$O98</f>
        <v>0</v>
      </c>
      <c r="E398" s="92" t="n">
        <f aca="false">SRC_Perf!$K98</f>
        <v>0</v>
      </c>
      <c r="F398" s="92" t="n">
        <f aca="false">SRC_Perf!$S98</f>
        <v>0</v>
      </c>
    </row>
    <row r="399" customFormat="false" ht="15" hidden="false" customHeight="false" outlineLevel="0" collapsed="false">
      <c r="A399" s="92" t="str">
        <f aca="false">SRC_Perf!$A99&amp;""</f>
        <v/>
      </c>
      <c r="B399" s="62" t="s">
        <v>3373</v>
      </c>
      <c r="C399" s="61" t="n">
        <v>99</v>
      </c>
      <c r="D399" s="92" t="n">
        <f aca="false">SRC_Perf!$O99</f>
        <v>0</v>
      </c>
      <c r="E399" s="92" t="n">
        <f aca="false">SRC_Perf!$K99</f>
        <v>0</v>
      </c>
      <c r="F399" s="92" t="n">
        <f aca="false">SRC_Perf!$S99</f>
        <v>0</v>
      </c>
    </row>
    <row r="400" customFormat="false" ht="15" hidden="false" customHeight="false" outlineLevel="0" collapsed="false">
      <c r="A400" s="92" t="str">
        <f aca="false">SRC_Perf!$A100&amp;""</f>
        <v/>
      </c>
      <c r="B400" s="62" t="s">
        <v>3373</v>
      </c>
      <c r="C400" s="61" t="n">
        <v>100</v>
      </c>
      <c r="D400" s="92" t="n">
        <f aca="false">SRC_Perf!$O100</f>
        <v>0</v>
      </c>
      <c r="E400" s="92" t="n">
        <f aca="false">SRC_Perf!$K100</f>
        <v>0</v>
      </c>
      <c r="F400" s="92" t="n">
        <f aca="false">SRC_Perf!$S100</f>
        <v>0</v>
      </c>
    </row>
    <row r="401" customFormat="false" ht="15" hidden="false" customHeight="false" outlineLevel="0" collapsed="false">
      <c r="A401" s="92" t="str">
        <f aca="false">SRC_Perf!$A101&amp;""</f>
        <v/>
      </c>
      <c r="B401" s="62" t="s">
        <v>3373</v>
      </c>
      <c r="C401" s="61" t="n">
        <v>101</v>
      </c>
      <c r="D401" s="92" t="n">
        <f aca="false">SRC_Perf!$O101</f>
        <v>0</v>
      </c>
      <c r="E401" s="92" t="n">
        <f aca="false">SRC_Perf!$K101</f>
        <v>0</v>
      </c>
      <c r="F401" s="92" t="n">
        <f aca="false">SRC_Perf!$S101</f>
        <v>0</v>
      </c>
    </row>
    <row r="402" customFormat="false" ht="15" hidden="false" customHeight="false" outlineLevel="0" collapsed="false">
      <c r="A402" s="92" t="str">
        <f aca="false">SRC_Perf!$A102&amp;""</f>
        <v/>
      </c>
      <c r="B402" s="62" t="s">
        <v>3373</v>
      </c>
      <c r="C402" s="61" t="n">
        <v>102</v>
      </c>
      <c r="D402" s="92" t="n">
        <f aca="false">SRC_Perf!$O102</f>
        <v>0</v>
      </c>
      <c r="E402" s="92" t="n">
        <f aca="false">SRC_Perf!$K102</f>
        <v>0</v>
      </c>
      <c r="F402" s="92" t="n">
        <f aca="false">SRC_Perf!$S102</f>
        <v>0</v>
      </c>
    </row>
    <row r="403" customFormat="false" ht="15" hidden="false" customHeight="false" outlineLevel="0" collapsed="false">
      <c r="A403" s="92" t="str">
        <f aca="false">SRC_Perf!$A103&amp;""</f>
        <v/>
      </c>
      <c r="B403" s="62" t="s">
        <v>3373</v>
      </c>
      <c r="C403" s="61" t="n">
        <v>103</v>
      </c>
      <c r="D403" s="92" t="n">
        <f aca="false">SRC_Perf!$O103</f>
        <v>0</v>
      </c>
      <c r="E403" s="92" t="n">
        <f aca="false">SRC_Perf!$K103</f>
        <v>0</v>
      </c>
      <c r="F403" s="92" t="n">
        <f aca="false">SRC_Perf!$S103</f>
        <v>0</v>
      </c>
    </row>
    <row r="404" customFormat="false" ht="15" hidden="false" customHeight="false" outlineLevel="0" collapsed="false">
      <c r="A404" s="92" t="str">
        <f aca="false">SRC_Perf!$A104&amp;""</f>
        <v/>
      </c>
      <c r="B404" s="62" t="s">
        <v>3373</v>
      </c>
      <c r="C404" s="61" t="n">
        <v>104</v>
      </c>
      <c r="D404" s="92" t="n">
        <f aca="false">SRC_Perf!$O104</f>
        <v>0</v>
      </c>
      <c r="E404" s="92" t="n">
        <f aca="false">SRC_Perf!$K104</f>
        <v>0</v>
      </c>
      <c r="F404" s="92" t="n">
        <f aca="false">SRC_Perf!$S104</f>
        <v>0</v>
      </c>
    </row>
    <row r="405" customFormat="false" ht="15" hidden="false" customHeight="false" outlineLevel="0" collapsed="false">
      <c r="A405" s="92" t="str">
        <f aca="false">SRC_Perf!$A105&amp;""</f>
        <v/>
      </c>
      <c r="B405" s="62" t="s">
        <v>3373</v>
      </c>
      <c r="C405" s="61" t="n">
        <v>105</v>
      </c>
      <c r="D405" s="92" t="n">
        <f aca="false">SRC_Perf!$O105</f>
        <v>0</v>
      </c>
      <c r="E405" s="92" t="n">
        <f aca="false">SRC_Perf!$K105</f>
        <v>0</v>
      </c>
      <c r="F405" s="92" t="n">
        <f aca="false">SRC_Perf!$S105</f>
        <v>0</v>
      </c>
    </row>
    <row r="406" customFormat="false" ht="15" hidden="false" customHeight="false" outlineLevel="0" collapsed="false">
      <c r="A406" s="92" t="str">
        <f aca="false">SRC_Perf!$A106&amp;""</f>
        <v/>
      </c>
      <c r="B406" s="62" t="s">
        <v>3373</v>
      </c>
      <c r="C406" s="61" t="n">
        <v>106</v>
      </c>
      <c r="D406" s="92" t="n">
        <f aca="false">SRC_Perf!$O106</f>
        <v>0</v>
      </c>
      <c r="E406" s="92" t="n">
        <f aca="false">SRC_Perf!$K106</f>
        <v>0</v>
      </c>
      <c r="F406" s="92" t="n">
        <f aca="false">SRC_Perf!$S106</f>
        <v>0</v>
      </c>
    </row>
    <row r="407" customFormat="false" ht="15" hidden="false" customHeight="false" outlineLevel="0" collapsed="false">
      <c r="A407" s="92" t="str">
        <f aca="false">SRC_Perf!$A107&amp;""</f>
        <v/>
      </c>
      <c r="B407" s="62" t="s">
        <v>3373</v>
      </c>
      <c r="C407" s="61" t="n">
        <v>107</v>
      </c>
      <c r="D407" s="92" t="n">
        <f aca="false">SRC_Perf!$O107</f>
        <v>0</v>
      </c>
      <c r="E407" s="92" t="n">
        <f aca="false">SRC_Perf!$K107</f>
        <v>0</v>
      </c>
      <c r="F407" s="92" t="n">
        <f aca="false">SRC_Perf!$S107</f>
        <v>0</v>
      </c>
    </row>
    <row r="408" customFormat="false" ht="15" hidden="false" customHeight="false" outlineLevel="0" collapsed="false">
      <c r="A408" s="92" t="str">
        <f aca="false">SRC_Perf!$A108&amp;""</f>
        <v/>
      </c>
      <c r="B408" s="62" t="s">
        <v>3373</v>
      </c>
      <c r="C408" s="61" t="n">
        <v>108</v>
      </c>
      <c r="D408" s="92" t="n">
        <f aca="false">SRC_Perf!$O108</f>
        <v>0</v>
      </c>
      <c r="E408" s="92" t="n">
        <f aca="false">SRC_Perf!$K108</f>
        <v>0</v>
      </c>
      <c r="F408" s="92" t="n">
        <f aca="false">SRC_Perf!$S108</f>
        <v>0</v>
      </c>
    </row>
    <row r="409" customFormat="false" ht="15" hidden="false" customHeight="false" outlineLevel="0" collapsed="false">
      <c r="A409" s="92" t="str">
        <f aca="false">SRC_Perf!$A109&amp;""</f>
        <v/>
      </c>
      <c r="B409" s="62" t="s">
        <v>3373</v>
      </c>
      <c r="C409" s="61" t="n">
        <v>109</v>
      </c>
      <c r="D409" s="92" t="n">
        <f aca="false">SRC_Perf!$O109</f>
        <v>0</v>
      </c>
      <c r="E409" s="92" t="n">
        <f aca="false">SRC_Perf!$K109</f>
        <v>0</v>
      </c>
      <c r="F409" s="92" t="n">
        <f aca="false">SRC_Perf!$S109</f>
        <v>0</v>
      </c>
    </row>
    <row r="410" customFormat="false" ht="15" hidden="false" customHeight="false" outlineLevel="0" collapsed="false">
      <c r="A410" s="92" t="str">
        <f aca="false">SRC_Perf!$A110&amp;""</f>
        <v/>
      </c>
      <c r="B410" s="62" t="s">
        <v>3373</v>
      </c>
      <c r="C410" s="61" t="n">
        <v>110</v>
      </c>
      <c r="D410" s="92" t="n">
        <f aca="false">SRC_Perf!$O110</f>
        <v>0</v>
      </c>
      <c r="E410" s="92" t="n">
        <f aca="false">SRC_Perf!$K110</f>
        <v>0</v>
      </c>
      <c r="F410" s="92" t="n">
        <f aca="false">SRC_Perf!$S110</f>
        <v>0</v>
      </c>
    </row>
    <row r="411" customFormat="false" ht="15" hidden="false" customHeight="false" outlineLevel="0" collapsed="false">
      <c r="A411" s="92" t="str">
        <f aca="false">SRC_Perf!$A111&amp;""</f>
        <v/>
      </c>
      <c r="B411" s="62" t="s">
        <v>3373</v>
      </c>
      <c r="C411" s="61" t="n">
        <v>111</v>
      </c>
      <c r="D411" s="92" t="n">
        <f aca="false">SRC_Perf!$O111</f>
        <v>0</v>
      </c>
      <c r="E411" s="92" t="n">
        <f aca="false">SRC_Perf!$K111</f>
        <v>0</v>
      </c>
      <c r="F411" s="92" t="n">
        <f aca="false">SRC_Perf!$S111</f>
        <v>0</v>
      </c>
    </row>
    <row r="412" customFormat="false" ht="15" hidden="false" customHeight="false" outlineLevel="0" collapsed="false">
      <c r="A412" s="92" t="str">
        <f aca="false">SRC_Perf!$A112&amp;""</f>
        <v/>
      </c>
      <c r="B412" s="62" t="s">
        <v>3373</v>
      </c>
      <c r="C412" s="61" t="n">
        <v>112</v>
      </c>
      <c r="D412" s="92" t="n">
        <f aca="false">SRC_Perf!$O112</f>
        <v>0</v>
      </c>
      <c r="E412" s="92" t="n">
        <f aca="false">SRC_Perf!$K112</f>
        <v>0</v>
      </c>
      <c r="F412" s="92" t="n">
        <f aca="false">SRC_Perf!$S112</f>
        <v>0</v>
      </c>
    </row>
    <row r="413" customFormat="false" ht="15" hidden="false" customHeight="false" outlineLevel="0" collapsed="false">
      <c r="A413" s="92" t="str">
        <f aca="false">SRC_Perf!$A113&amp;""</f>
        <v/>
      </c>
      <c r="B413" s="62" t="s">
        <v>3373</v>
      </c>
      <c r="C413" s="61" t="n">
        <v>113</v>
      </c>
      <c r="D413" s="92" t="n">
        <f aca="false">SRC_Perf!$O113</f>
        <v>0</v>
      </c>
      <c r="E413" s="92" t="n">
        <f aca="false">SRC_Perf!$K113</f>
        <v>0</v>
      </c>
      <c r="F413" s="92" t="n">
        <f aca="false">SRC_Perf!$S113</f>
        <v>0</v>
      </c>
    </row>
    <row r="414" customFormat="false" ht="15" hidden="false" customHeight="false" outlineLevel="0" collapsed="false">
      <c r="A414" s="92" t="str">
        <f aca="false">SRC_Perf!$A114&amp;""</f>
        <v/>
      </c>
      <c r="B414" s="62" t="s">
        <v>3373</v>
      </c>
      <c r="C414" s="61" t="n">
        <v>114</v>
      </c>
      <c r="D414" s="92" t="n">
        <f aca="false">SRC_Perf!$O114</f>
        <v>0</v>
      </c>
      <c r="E414" s="92" t="n">
        <f aca="false">SRC_Perf!$K114</f>
        <v>0</v>
      </c>
      <c r="F414" s="92" t="n">
        <f aca="false">SRC_Perf!$S114</f>
        <v>0</v>
      </c>
    </row>
    <row r="415" customFormat="false" ht="15" hidden="false" customHeight="false" outlineLevel="0" collapsed="false">
      <c r="A415" s="92" t="str">
        <f aca="false">SRC_Perf!$A115&amp;""</f>
        <v/>
      </c>
      <c r="B415" s="62" t="s">
        <v>3373</v>
      </c>
      <c r="C415" s="61" t="n">
        <v>115</v>
      </c>
      <c r="D415" s="92" t="n">
        <f aca="false">SRC_Perf!$O115</f>
        <v>0</v>
      </c>
      <c r="E415" s="92" t="n">
        <f aca="false">SRC_Perf!$K115</f>
        <v>0</v>
      </c>
      <c r="F415" s="92" t="n">
        <f aca="false">SRC_Perf!$S115</f>
        <v>0</v>
      </c>
    </row>
    <row r="416" customFormat="false" ht="15" hidden="false" customHeight="false" outlineLevel="0" collapsed="false">
      <c r="A416" s="92" t="str">
        <f aca="false">SRC_Perf!$A116&amp;""</f>
        <v/>
      </c>
      <c r="B416" s="62" t="s">
        <v>3373</v>
      </c>
      <c r="C416" s="61" t="n">
        <v>116</v>
      </c>
      <c r="D416" s="92" t="n">
        <f aca="false">SRC_Perf!$O116</f>
        <v>0</v>
      </c>
      <c r="E416" s="92" t="n">
        <f aca="false">SRC_Perf!$K116</f>
        <v>0</v>
      </c>
      <c r="F416" s="92" t="n">
        <f aca="false">SRC_Perf!$S116</f>
        <v>0</v>
      </c>
    </row>
    <row r="417" customFormat="false" ht="15" hidden="false" customHeight="false" outlineLevel="0" collapsed="false">
      <c r="A417" s="92" t="str">
        <f aca="false">SRC_Perf!$A117&amp;""</f>
        <v/>
      </c>
      <c r="B417" s="62" t="s">
        <v>3373</v>
      </c>
      <c r="C417" s="61" t="n">
        <v>117</v>
      </c>
      <c r="D417" s="92" t="n">
        <f aca="false">SRC_Perf!$O117</f>
        <v>0</v>
      </c>
      <c r="E417" s="92" t="n">
        <f aca="false">SRC_Perf!$K117</f>
        <v>0</v>
      </c>
      <c r="F417" s="92" t="n">
        <f aca="false">SRC_Perf!$S117</f>
        <v>0</v>
      </c>
    </row>
    <row r="418" customFormat="false" ht="15" hidden="false" customHeight="false" outlineLevel="0" collapsed="false">
      <c r="A418" s="92" t="str">
        <f aca="false">SRC_Perf!$A118&amp;""</f>
        <v/>
      </c>
      <c r="B418" s="62" t="s">
        <v>3373</v>
      </c>
      <c r="C418" s="61" t="n">
        <v>118</v>
      </c>
      <c r="D418" s="92" t="n">
        <f aca="false">SRC_Perf!$O118</f>
        <v>0</v>
      </c>
      <c r="E418" s="92" t="n">
        <f aca="false">SRC_Perf!$K118</f>
        <v>0</v>
      </c>
      <c r="F418" s="92" t="n">
        <f aca="false">SRC_Perf!$S118</f>
        <v>0</v>
      </c>
    </row>
    <row r="419" customFormat="false" ht="15" hidden="false" customHeight="false" outlineLevel="0" collapsed="false">
      <c r="A419" s="92" t="str">
        <f aca="false">SRC_Perf!$A119&amp;""</f>
        <v/>
      </c>
      <c r="B419" s="62" t="s">
        <v>3373</v>
      </c>
      <c r="C419" s="61" t="n">
        <v>119</v>
      </c>
      <c r="D419" s="92" t="n">
        <f aca="false">SRC_Perf!$O119</f>
        <v>0</v>
      </c>
      <c r="E419" s="92" t="n">
        <f aca="false">SRC_Perf!$K119</f>
        <v>0</v>
      </c>
      <c r="F419" s="92" t="n">
        <f aca="false">SRC_Perf!$S119</f>
        <v>0</v>
      </c>
    </row>
    <row r="420" customFormat="false" ht="15" hidden="false" customHeight="false" outlineLevel="0" collapsed="false">
      <c r="A420" s="92" t="str">
        <f aca="false">SRC_Perf!$A120&amp;""</f>
        <v/>
      </c>
      <c r="B420" s="62" t="s">
        <v>3373</v>
      </c>
      <c r="C420" s="61" t="n">
        <v>120</v>
      </c>
      <c r="D420" s="92" t="n">
        <f aca="false">SRC_Perf!$O120</f>
        <v>0</v>
      </c>
      <c r="E420" s="92" t="n">
        <f aca="false">SRC_Perf!$K120</f>
        <v>0</v>
      </c>
      <c r="F420" s="92" t="n">
        <f aca="false">SRC_Perf!$S120</f>
        <v>0</v>
      </c>
    </row>
    <row r="421" customFormat="false" ht="15" hidden="false" customHeight="false" outlineLevel="0" collapsed="false">
      <c r="A421" s="92" t="str">
        <f aca="false">SRC_Perf!$A121&amp;""</f>
        <v/>
      </c>
      <c r="B421" s="62" t="s">
        <v>3373</v>
      </c>
      <c r="C421" s="61" t="n">
        <v>121</v>
      </c>
      <c r="D421" s="92" t="n">
        <f aca="false">SRC_Perf!$O121</f>
        <v>0</v>
      </c>
      <c r="E421" s="92" t="n">
        <f aca="false">SRC_Perf!$K121</f>
        <v>0</v>
      </c>
      <c r="F421" s="92" t="n">
        <f aca="false">SRC_Perf!$S121</f>
        <v>0</v>
      </c>
    </row>
    <row r="422" customFormat="false" ht="15" hidden="false" customHeight="false" outlineLevel="0" collapsed="false">
      <c r="A422" s="92" t="str">
        <f aca="false">SRC_Perf!$A122&amp;""</f>
        <v/>
      </c>
      <c r="B422" s="62" t="s">
        <v>3373</v>
      </c>
      <c r="C422" s="61" t="n">
        <v>122</v>
      </c>
      <c r="D422" s="92" t="n">
        <f aca="false">SRC_Perf!$O122</f>
        <v>0</v>
      </c>
      <c r="E422" s="92" t="n">
        <f aca="false">SRC_Perf!$K122</f>
        <v>0</v>
      </c>
      <c r="F422" s="92" t="n">
        <f aca="false">SRC_Perf!$S122</f>
        <v>0</v>
      </c>
    </row>
    <row r="423" customFormat="false" ht="15" hidden="false" customHeight="false" outlineLevel="0" collapsed="false">
      <c r="A423" s="92" t="str">
        <f aca="false">SRC_Perf!$A123&amp;""</f>
        <v/>
      </c>
      <c r="B423" s="62" t="s">
        <v>3373</v>
      </c>
      <c r="C423" s="61" t="n">
        <v>123</v>
      </c>
      <c r="D423" s="92" t="n">
        <f aca="false">SRC_Perf!$O123</f>
        <v>0</v>
      </c>
      <c r="E423" s="92" t="n">
        <f aca="false">SRC_Perf!$K123</f>
        <v>0</v>
      </c>
      <c r="F423" s="92" t="n">
        <f aca="false">SRC_Perf!$S123</f>
        <v>0</v>
      </c>
    </row>
    <row r="424" customFormat="false" ht="15" hidden="false" customHeight="false" outlineLevel="0" collapsed="false">
      <c r="A424" s="92" t="str">
        <f aca="false">SRC_Perf!$A124&amp;""</f>
        <v/>
      </c>
      <c r="B424" s="62" t="s">
        <v>3373</v>
      </c>
      <c r="C424" s="61" t="n">
        <v>124</v>
      </c>
      <c r="D424" s="92" t="n">
        <f aca="false">SRC_Perf!$O124</f>
        <v>0</v>
      </c>
      <c r="E424" s="92" t="n">
        <f aca="false">SRC_Perf!$K124</f>
        <v>0</v>
      </c>
      <c r="F424" s="92" t="n">
        <f aca="false">SRC_Perf!$S124</f>
        <v>0</v>
      </c>
    </row>
    <row r="425" customFormat="false" ht="15" hidden="false" customHeight="false" outlineLevel="0" collapsed="false">
      <c r="A425" s="92" t="str">
        <f aca="false">SRC_Perf!$A125&amp;""</f>
        <v/>
      </c>
      <c r="B425" s="62" t="s">
        <v>3373</v>
      </c>
      <c r="C425" s="61" t="n">
        <v>125</v>
      </c>
      <c r="D425" s="92" t="n">
        <f aca="false">SRC_Perf!$O125</f>
        <v>0</v>
      </c>
      <c r="E425" s="92" t="n">
        <f aca="false">SRC_Perf!$K125</f>
        <v>0</v>
      </c>
      <c r="F425" s="92" t="n">
        <f aca="false">SRC_Perf!$S125</f>
        <v>0</v>
      </c>
    </row>
    <row r="426" customFormat="false" ht="15" hidden="false" customHeight="false" outlineLevel="0" collapsed="false">
      <c r="A426" s="92" t="str">
        <f aca="false">SRC_Perf!$A126&amp;""</f>
        <v/>
      </c>
      <c r="B426" s="62" t="s">
        <v>3373</v>
      </c>
      <c r="C426" s="61" t="n">
        <v>126</v>
      </c>
      <c r="D426" s="92" t="n">
        <f aca="false">SRC_Perf!$O126</f>
        <v>0</v>
      </c>
      <c r="E426" s="92" t="n">
        <f aca="false">SRC_Perf!$K126</f>
        <v>0</v>
      </c>
      <c r="F426" s="92" t="n">
        <f aca="false">SRC_Perf!$S126</f>
        <v>0</v>
      </c>
    </row>
    <row r="427" customFormat="false" ht="15" hidden="false" customHeight="false" outlineLevel="0" collapsed="false">
      <c r="A427" s="92" t="str">
        <f aca="false">SRC_Perf!$A127&amp;""</f>
        <v/>
      </c>
      <c r="B427" s="62" t="s">
        <v>3373</v>
      </c>
      <c r="C427" s="61" t="n">
        <v>127</v>
      </c>
      <c r="D427" s="92" t="n">
        <f aca="false">SRC_Perf!$O127</f>
        <v>0</v>
      </c>
      <c r="E427" s="92" t="n">
        <f aca="false">SRC_Perf!$K127</f>
        <v>0</v>
      </c>
      <c r="F427" s="92" t="n">
        <f aca="false">SRC_Perf!$S127</f>
        <v>0</v>
      </c>
    </row>
    <row r="428" customFormat="false" ht="15" hidden="false" customHeight="false" outlineLevel="0" collapsed="false">
      <c r="A428" s="92" t="str">
        <f aca="false">SRC_Perf!$A128&amp;""</f>
        <v/>
      </c>
      <c r="B428" s="62" t="s">
        <v>3373</v>
      </c>
      <c r="C428" s="61" t="n">
        <v>128</v>
      </c>
      <c r="D428" s="92" t="n">
        <f aca="false">SRC_Perf!$O128</f>
        <v>0</v>
      </c>
      <c r="E428" s="92" t="n">
        <f aca="false">SRC_Perf!$K128</f>
        <v>0</v>
      </c>
      <c r="F428" s="92" t="n">
        <f aca="false">SRC_Perf!$S128</f>
        <v>0</v>
      </c>
    </row>
    <row r="429" customFormat="false" ht="15" hidden="false" customHeight="false" outlineLevel="0" collapsed="false">
      <c r="A429" s="92" t="str">
        <f aca="false">SRC_Perf!$A129&amp;""</f>
        <v/>
      </c>
      <c r="B429" s="62" t="s">
        <v>3373</v>
      </c>
      <c r="C429" s="61" t="n">
        <v>129</v>
      </c>
      <c r="D429" s="92" t="n">
        <f aca="false">SRC_Perf!$O129</f>
        <v>0</v>
      </c>
      <c r="E429" s="92" t="n">
        <f aca="false">SRC_Perf!$K129</f>
        <v>0</v>
      </c>
      <c r="F429" s="92" t="n">
        <f aca="false">SRC_Perf!$S129</f>
        <v>0</v>
      </c>
    </row>
    <row r="430" customFormat="false" ht="15" hidden="false" customHeight="false" outlineLevel="0" collapsed="false">
      <c r="A430" s="92" t="str">
        <f aca="false">SRC_Perf!$A130&amp;""</f>
        <v/>
      </c>
      <c r="B430" s="62" t="s">
        <v>3373</v>
      </c>
      <c r="C430" s="61" t="n">
        <v>130</v>
      </c>
      <c r="D430" s="92" t="n">
        <f aca="false">SRC_Perf!$O130</f>
        <v>0</v>
      </c>
      <c r="E430" s="92" t="n">
        <f aca="false">SRC_Perf!$K130</f>
        <v>0</v>
      </c>
      <c r="F430" s="92" t="n">
        <f aca="false">SRC_Perf!$S130</f>
        <v>0</v>
      </c>
    </row>
    <row r="431" customFormat="false" ht="15" hidden="false" customHeight="false" outlineLevel="0" collapsed="false">
      <c r="A431" s="92" t="str">
        <f aca="false">SRC_Perf!$A131&amp;""</f>
        <v/>
      </c>
      <c r="B431" s="62" t="s">
        <v>3373</v>
      </c>
      <c r="C431" s="61" t="n">
        <v>131</v>
      </c>
      <c r="D431" s="92" t="n">
        <f aca="false">SRC_Perf!$O131</f>
        <v>0</v>
      </c>
      <c r="E431" s="92" t="n">
        <f aca="false">SRC_Perf!$K131</f>
        <v>0</v>
      </c>
      <c r="F431" s="92" t="n">
        <f aca="false">SRC_Perf!$S131</f>
        <v>0</v>
      </c>
    </row>
    <row r="432" customFormat="false" ht="15" hidden="false" customHeight="false" outlineLevel="0" collapsed="false">
      <c r="A432" s="92" t="str">
        <f aca="false">SRC_Perf!$A132&amp;""</f>
        <v/>
      </c>
      <c r="B432" s="62" t="s">
        <v>3373</v>
      </c>
      <c r="C432" s="61" t="n">
        <v>132</v>
      </c>
      <c r="D432" s="92" t="n">
        <f aca="false">SRC_Perf!$O132</f>
        <v>0</v>
      </c>
      <c r="E432" s="92" t="n">
        <f aca="false">SRC_Perf!$K132</f>
        <v>0</v>
      </c>
      <c r="F432" s="92" t="n">
        <f aca="false">SRC_Perf!$S132</f>
        <v>0</v>
      </c>
    </row>
    <row r="433" customFormat="false" ht="15" hidden="false" customHeight="false" outlineLevel="0" collapsed="false">
      <c r="A433" s="92" t="str">
        <f aca="false">SRC_Perf!$A133&amp;""</f>
        <v/>
      </c>
      <c r="B433" s="62" t="s">
        <v>3373</v>
      </c>
      <c r="C433" s="61" t="n">
        <v>133</v>
      </c>
      <c r="D433" s="92" t="n">
        <f aca="false">SRC_Perf!$O133</f>
        <v>0</v>
      </c>
      <c r="E433" s="92" t="n">
        <f aca="false">SRC_Perf!$K133</f>
        <v>0</v>
      </c>
      <c r="F433" s="92" t="n">
        <f aca="false">SRC_Perf!$S133</f>
        <v>0</v>
      </c>
    </row>
    <row r="434" customFormat="false" ht="15" hidden="false" customHeight="false" outlineLevel="0" collapsed="false">
      <c r="A434" s="92" t="str">
        <f aca="false">SRC_Perf!$A134&amp;""</f>
        <v/>
      </c>
      <c r="B434" s="62" t="s">
        <v>3373</v>
      </c>
      <c r="C434" s="61" t="n">
        <v>134</v>
      </c>
      <c r="D434" s="92" t="n">
        <f aca="false">SRC_Perf!$O134</f>
        <v>0</v>
      </c>
      <c r="E434" s="92" t="n">
        <f aca="false">SRC_Perf!$K134</f>
        <v>0</v>
      </c>
      <c r="F434" s="92" t="n">
        <f aca="false">SRC_Perf!$S134</f>
        <v>0</v>
      </c>
    </row>
    <row r="435" customFormat="false" ht="15" hidden="false" customHeight="false" outlineLevel="0" collapsed="false">
      <c r="A435" s="92" t="str">
        <f aca="false">SRC_Perf!$A135&amp;""</f>
        <v/>
      </c>
      <c r="B435" s="62" t="s">
        <v>3373</v>
      </c>
      <c r="C435" s="61" t="n">
        <v>135</v>
      </c>
      <c r="D435" s="92" t="n">
        <f aca="false">SRC_Perf!$O135</f>
        <v>0</v>
      </c>
      <c r="E435" s="92" t="n">
        <f aca="false">SRC_Perf!$K135</f>
        <v>0</v>
      </c>
      <c r="F435" s="92" t="n">
        <f aca="false">SRC_Perf!$S135</f>
        <v>0</v>
      </c>
    </row>
    <row r="436" customFormat="false" ht="15" hidden="false" customHeight="false" outlineLevel="0" collapsed="false">
      <c r="A436" s="92" t="str">
        <f aca="false">SRC_Perf!$A136&amp;""</f>
        <v/>
      </c>
      <c r="B436" s="62" t="s">
        <v>3373</v>
      </c>
      <c r="C436" s="61" t="n">
        <v>136</v>
      </c>
      <c r="D436" s="92" t="n">
        <f aca="false">SRC_Perf!$O136</f>
        <v>0</v>
      </c>
      <c r="E436" s="92" t="n">
        <f aca="false">SRC_Perf!$K136</f>
        <v>0</v>
      </c>
      <c r="F436" s="92" t="n">
        <f aca="false">SRC_Perf!$S136</f>
        <v>0</v>
      </c>
    </row>
    <row r="437" customFormat="false" ht="15" hidden="false" customHeight="false" outlineLevel="0" collapsed="false">
      <c r="A437" s="92" t="str">
        <f aca="false">SRC_Perf!$A137&amp;""</f>
        <v/>
      </c>
      <c r="B437" s="62" t="s">
        <v>3373</v>
      </c>
      <c r="C437" s="61" t="n">
        <v>137</v>
      </c>
      <c r="D437" s="92" t="n">
        <f aca="false">SRC_Perf!$O137</f>
        <v>0</v>
      </c>
      <c r="E437" s="92" t="n">
        <f aca="false">SRC_Perf!$K137</f>
        <v>0</v>
      </c>
      <c r="F437" s="92" t="n">
        <f aca="false">SRC_Perf!$S137</f>
        <v>0</v>
      </c>
    </row>
    <row r="438" customFormat="false" ht="15" hidden="false" customHeight="false" outlineLevel="0" collapsed="false">
      <c r="A438" s="92" t="str">
        <f aca="false">SRC_Price!$A5&amp;""</f>
        <v>SRC_PRC_001</v>
      </c>
      <c r="B438" s="62" t="s">
        <v>3388</v>
      </c>
      <c r="C438" s="61" t="n">
        <v>5</v>
      </c>
      <c r="D438" s="92" t="str">
        <f aca="false">SRC_Price!$O5</f>
        <v>Active</v>
      </c>
      <c r="E438" s="92" t="n">
        <f aca="false">SRC_Price!$K5</f>
        <v>3</v>
      </c>
      <c r="F438" s="92" t="str">
        <f aca="false">SRC_Price!$S5</f>
        <v>—</v>
      </c>
    </row>
    <row r="439" customFormat="false" ht="15" hidden="false" customHeight="false" outlineLevel="0" collapsed="false">
      <c r="A439" s="92" t="str">
        <f aca="false">SRC_Price!$A6&amp;""</f>
        <v>SRC_PRC_002</v>
      </c>
      <c r="B439" s="62" t="s">
        <v>3388</v>
      </c>
      <c r="C439" s="61" t="n">
        <v>6</v>
      </c>
      <c r="D439" s="92" t="str">
        <f aca="false">SRC_Price!$O6</f>
        <v>Active</v>
      </c>
      <c r="E439" s="92" t="n">
        <f aca="false">SRC_Price!$K6</f>
        <v>2</v>
      </c>
      <c r="F439" s="92" t="str">
        <f aca="false">SRC_Price!$S6</f>
        <v>—</v>
      </c>
    </row>
    <row r="440" customFormat="false" ht="15" hidden="false" customHeight="false" outlineLevel="0" collapsed="false">
      <c r="A440" s="92" t="str">
        <f aca="false">SRC_Price!$A7&amp;""</f>
        <v>SRC_PRC_003</v>
      </c>
      <c r="B440" s="62" t="s">
        <v>3388</v>
      </c>
      <c r="C440" s="61" t="n">
        <v>7</v>
      </c>
      <c r="D440" s="92" t="str">
        <f aca="false">SRC_Price!$O7</f>
        <v>Active</v>
      </c>
      <c r="E440" s="92" t="n">
        <f aca="false">SRC_Price!$K7</f>
        <v>1</v>
      </c>
      <c r="F440" s="92" t="str">
        <f aca="false">SRC_Price!$S7</f>
        <v>—</v>
      </c>
    </row>
    <row r="441" customFormat="false" ht="15" hidden="false" customHeight="false" outlineLevel="0" collapsed="false">
      <c r="A441" s="92" t="str">
        <f aca="false">SRC_Price!$A8&amp;""</f>
        <v>SRC_PRC_004</v>
      </c>
      <c r="B441" s="62" t="s">
        <v>3388</v>
      </c>
      <c r="C441" s="61" t="n">
        <v>8</v>
      </c>
      <c r="D441" s="92" t="str">
        <f aca="false">SRC_Price!$O8</f>
        <v>Active</v>
      </c>
      <c r="E441" s="92" t="n">
        <f aca="false">SRC_Price!$K8</f>
        <v>1</v>
      </c>
      <c r="F441" s="92" t="str">
        <f aca="false">SRC_Price!$S8</f>
        <v>—</v>
      </c>
    </row>
    <row r="442" customFormat="false" ht="15" hidden="false" customHeight="false" outlineLevel="0" collapsed="false">
      <c r="A442" s="92" t="str">
        <f aca="false">SRC_Price!$A9&amp;""</f>
        <v>SRC_PRC_005</v>
      </c>
      <c r="B442" s="62" t="s">
        <v>3388</v>
      </c>
      <c r="C442" s="61" t="n">
        <v>9</v>
      </c>
      <c r="D442" s="92" t="str">
        <f aca="false">SRC_Price!$O9</f>
        <v>Active</v>
      </c>
      <c r="E442" s="92" t="n">
        <f aca="false">SRC_Price!$K9</f>
        <v>1</v>
      </c>
      <c r="F442" s="92" t="str">
        <f aca="false">SRC_Price!$S9</f>
        <v>—</v>
      </c>
    </row>
    <row r="443" customFormat="false" ht="15" hidden="false" customHeight="false" outlineLevel="0" collapsed="false">
      <c r="A443" s="92" t="str">
        <f aca="false">SRC_Price!$A10&amp;""</f>
        <v>SRC_PRC_006</v>
      </c>
      <c r="B443" s="62" t="s">
        <v>3388</v>
      </c>
      <c r="C443" s="61" t="n">
        <v>10</v>
      </c>
      <c r="D443" s="92" t="str">
        <f aca="false">SRC_Price!$O10</f>
        <v>Active</v>
      </c>
      <c r="E443" s="92" t="n">
        <f aca="false">SRC_Price!$K10</f>
        <v>1</v>
      </c>
      <c r="F443" s="92" t="str">
        <f aca="false">SRC_Price!$S10</f>
        <v>—</v>
      </c>
    </row>
    <row r="444" customFormat="false" ht="15" hidden="false" customHeight="false" outlineLevel="0" collapsed="false">
      <c r="A444" s="92" t="str">
        <f aca="false">SRC_Price!$A11&amp;""</f>
        <v>SRC_PRC_007</v>
      </c>
      <c r="B444" s="62" t="s">
        <v>3388</v>
      </c>
      <c r="C444" s="61" t="n">
        <v>11</v>
      </c>
      <c r="D444" s="92" t="str">
        <f aca="false">SRC_Price!$O11</f>
        <v>Active</v>
      </c>
      <c r="E444" s="92" t="n">
        <f aca="false">SRC_Price!$K11</f>
        <v>1</v>
      </c>
      <c r="F444" s="92" t="str">
        <f aca="false">SRC_Price!$S11</f>
        <v>—</v>
      </c>
    </row>
    <row r="445" customFormat="false" ht="15" hidden="false" customHeight="false" outlineLevel="0" collapsed="false">
      <c r="A445" s="92" t="str">
        <f aca="false">SRC_Price!$A12&amp;""</f>
        <v>SRC_PRC_008</v>
      </c>
      <c r="B445" s="62" t="s">
        <v>3388</v>
      </c>
      <c r="C445" s="61" t="n">
        <v>12</v>
      </c>
      <c r="D445" s="92" t="str">
        <f aca="false">SRC_Price!$O12</f>
        <v>Active</v>
      </c>
      <c r="E445" s="92" t="n">
        <f aca="false">SRC_Price!$K12</f>
        <v>1</v>
      </c>
      <c r="F445" s="92" t="str">
        <f aca="false">SRC_Price!$S12</f>
        <v>—</v>
      </c>
    </row>
    <row r="446" customFormat="false" ht="15" hidden="false" customHeight="false" outlineLevel="0" collapsed="false">
      <c r="A446" s="92" t="str">
        <f aca="false">SRC_Price!$A13&amp;""</f>
        <v>SRC_PRC_009</v>
      </c>
      <c r="B446" s="62" t="s">
        <v>3388</v>
      </c>
      <c r="C446" s="61" t="n">
        <v>13</v>
      </c>
      <c r="D446" s="92" t="str">
        <f aca="false">SRC_Price!$O13</f>
        <v>Active</v>
      </c>
      <c r="E446" s="92" t="n">
        <f aca="false">SRC_Price!$K13</f>
        <v>1</v>
      </c>
      <c r="F446" s="92" t="str">
        <f aca="false">SRC_Price!$S13</f>
        <v>—</v>
      </c>
    </row>
    <row r="447" customFormat="false" ht="15" hidden="false" customHeight="false" outlineLevel="0" collapsed="false">
      <c r="A447" s="92" t="str">
        <f aca="false">SRC_Price!$A14&amp;""</f>
        <v>SRC_PRC_010</v>
      </c>
      <c r="B447" s="62" t="s">
        <v>3388</v>
      </c>
      <c r="C447" s="61" t="n">
        <v>14</v>
      </c>
      <c r="D447" s="92" t="str">
        <f aca="false">SRC_Price!$O14</f>
        <v>Active</v>
      </c>
      <c r="E447" s="92" t="n">
        <f aca="false">SRC_Price!$K14</f>
        <v>1</v>
      </c>
      <c r="F447" s="92" t="str">
        <f aca="false">SRC_Price!$S14</f>
        <v>—</v>
      </c>
    </row>
    <row r="448" customFormat="false" ht="15" hidden="false" customHeight="false" outlineLevel="0" collapsed="false">
      <c r="A448" s="92" t="str">
        <f aca="false">SRC_Price!$A15&amp;""</f>
        <v>SRC_PRC_011</v>
      </c>
      <c r="B448" s="62" t="s">
        <v>3388</v>
      </c>
      <c r="C448" s="61" t="n">
        <v>15</v>
      </c>
      <c r="D448" s="92" t="str">
        <f aca="false">SRC_Price!$O15</f>
        <v>Active</v>
      </c>
      <c r="E448" s="92" t="n">
        <f aca="false">SRC_Price!$K15</f>
        <v>1</v>
      </c>
      <c r="F448" s="92" t="str">
        <f aca="false">SRC_Price!$S15</f>
        <v>—</v>
      </c>
    </row>
    <row r="449" customFormat="false" ht="15" hidden="false" customHeight="false" outlineLevel="0" collapsed="false">
      <c r="A449" s="92" t="str">
        <f aca="false">SRC_Price!$A16&amp;""</f>
        <v>SRC_PRC_012</v>
      </c>
      <c r="B449" s="62" t="s">
        <v>3388</v>
      </c>
      <c r="C449" s="61" t="n">
        <v>16</v>
      </c>
      <c r="D449" s="92" t="str">
        <f aca="false">SRC_Price!$O16</f>
        <v>Active</v>
      </c>
      <c r="E449" s="92" t="n">
        <f aca="false">SRC_Price!$K16</f>
        <v>2</v>
      </c>
      <c r="F449" s="92" t="str">
        <f aca="false">SRC_Price!$S16</f>
        <v>—</v>
      </c>
    </row>
    <row r="450" customFormat="false" ht="15" hidden="false" customHeight="false" outlineLevel="0" collapsed="false">
      <c r="A450" s="92" t="str">
        <f aca="false">SRC_Price!$A17&amp;""</f>
        <v>SRC_PRC_013</v>
      </c>
      <c r="B450" s="62" t="s">
        <v>3388</v>
      </c>
      <c r="C450" s="61" t="n">
        <v>17</v>
      </c>
      <c r="D450" s="92" t="str">
        <f aca="false">SRC_Price!$O17</f>
        <v>Active</v>
      </c>
      <c r="E450" s="92" t="n">
        <f aca="false">SRC_Price!$K17</f>
        <v>2</v>
      </c>
      <c r="F450" s="92" t="str">
        <f aca="false">SRC_Price!$S17</f>
        <v>—</v>
      </c>
    </row>
    <row r="451" customFormat="false" ht="15" hidden="false" customHeight="false" outlineLevel="0" collapsed="false">
      <c r="A451" s="92" t="str">
        <f aca="false">SRC_Price!$A18&amp;""</f>
        <v>SRC_PRC_014</v>
      </c>
      <c r="B451" s="62" t="s">
        <v>3388</v>
      </c>
      <c r="C451" s="61" t="n">
        <v>18</v>
      </c>
      <c r="D451" s="92" t="str">
        <f aca="false">SRC_Price!$O18</f>
        <v>Active</v>
      </c>
      <c r="E451" s="92" t="n">
        <f aca="false">SRC_Price!$K18</f>
        <v>2</v>
      </c>
      <c r="F451" s="92" t="str">
        <f aca="false">SRC_Price!$S18</f>
        <v>—</v>
      </c>
    </row>
    <row r="452" customFormat="false" ht="15" hidden="false" customHeight="false" outlineLevel="0" collapsed="false">
      <c r="A452" s="92" t="str">
        <f aca="false">SRC_Price!$A19&amp;""</f>
        <v>SRC_PRC_015</v>
      </c>
      <c r="B452" s="62" t="s">
        <v>3388</v>
      </c>
      <c r="C452" s="61" t="n">
        <v>19</v>
      </c>
      <c r="D452" s="92" t="str">
        <f aca="false">SRC_Price!$O19</f>
        <v>Active</v>
      </c>
      <c r="E452" s="92" t="n">
        <f aca="false">SRC_Price!$K19</f>
        <v>2</v>
      </c>
      <c r="F452" s="92" t="str">
        <f aca="false">SRC_Price!$S19</f>
        <v>—</v>
      </c>
    </row>
    <row r="453" customFormat="false" ht="15" hidden="false" customHeight="false" outlineLevel="0" collapsed="false">
      <c r="A453" s="92" t="str">
        <f aca="false">SRC_Price!$A20&amp;""</f>
        <v>SRC_PRC_016</v>
      </c>
      <c r="B453" s="62" t="s">
        <v>3388</v>
      </c>
      <c r="C453" s="61" t="n">
        <v>20</v>
      </c>
      <c r="D453" s="92" t="str">
        <f aca="false">SRC_Price!$O20</f>
        <v>Active</v>
      </c>
      <c r="E453" s="92" t="n">
        <f aca="false">SRC_Price!$K20</f>
        <v>2</v>
      </c>
      <c r="F453" s="92" t="str">
        <f aca="false">SRC_Price!$S20</f>
        <v>—</v>
      </c>
    </row>
    <row r="454" customFormat="false" ht="15" hidden="false" customHeight="false" outlineLevel="0" collapsed="false">
      <c r="A454" s="92" t="str">
        <f aca="false">SRC_Price!$A21&amp;""</f>
        <v>SRC_PRC_017</v>
      </c>
      <c r="B454" s="62" t="s">
        <v>3388</v>
      </c>
      <c r="C454" s="61" t="n">
        <v>21</v>
      </c>
      <c r="D454" s="92" t="str">
        <f aca="false">SRC_Price!$O21</f>
        <v>Active</v>
      </c>
      <c r="E454" s="92" t="n">
        <f aca="false">SRC_Price!$K21</f>
        <v>2</v>
      </c>
      <c r="F454" s="92" t="str">
        <f aca="false">SRC_Price!$S21</f>
        <v>—</v>
      </c>
    </row>
    <row r="455" customFormat="false" ht="15" hidden="false" customHeight="false" outlineLevel="0" collapsed="false">
      <c r="A455" s="92" t="str">
        <f aca="false">SRC_Price!$A22&amp;""</f>
        <v>SRC_PRC_018</v>
      </c>
      <c r="B455" s="62" t="s">
        <v>3388</v>
      </c>
      <c r="C455" s="61" t="n">
        <v>22</v>
      </c>
      <c r="D455" s="92" t="str">
        <f aca="false">SRC_Price!$O22</f>
        <v>Active</v>
      </c>
      <c r="E455" s="92" t="n">
        <f aca="false">SRC_Price!$K22</f>
        <v>2</v>
      </c>
      <c r="F455" s="92" t="str">
        <f aca="false">SRC_Price!$S22</f>
        <v>—</v>
      </c>
    </row>
    <row r="456" customFormat="false" ht="15" hidden="false" customHeight="false" outlineLevel="0" collapsed="false">
      <c r="A456" s="92" t="str">
        <f aca="false">SRC_Price!$A23&amp;""</f>
        <v>SRC_PRC_019</v>
      </c>
      <c r="B456" s="62" t="s">
        <v>3388</v>
      </c>
      <c r="C456" s="61" t="n">
        <v>23</v>
      </c>
      <c r="D456" s="92" t="str">
        <f aca="false">SRC_Price!$O23</f>
        <v>Active</v>
      </c>
      <c r="E456" s="92" t="n">
        <f aca="false">SRC_Price!$K23</f>
        <v>2</v>
      </c>
      <c r="F456" s="92" t="str">
        <f aca="false">SRC_Price!$S23</f>
        <v>—</v>
      </c>
    </row>
    <row r="457" customFormat="false" ht="15" hidden="false" customHeight="false" outlineLevel="0" collapsed="false">
      <c r="A457" s="92" t="str">
        <f aca="false">SRC_Price!$A24&amp;""</f>
        <v>SRC_PRC_020</v>
      </c>
      <c r="B457" s="62" t="s">
        <v>3388</v>
      </c>
      <c r="C457" s="61" t="n">
        <v>24</v>
      </c>
      <c r="D457" s="92" t="str">
        <f aca="false">SRC_Price!$O24</f>
        <v>Active</v>
      </c>
      <c r="E457" s="92" t="n">
        <f aca="false">SRC_Price!$K24</f>
        <v>2</v>
      </c>
      <c r="F457" s="92" t="str">
        <f aca="false">SRC_Price!$S24</f>
        <v>—</v>
      </c>
    </row>
    <row r="458" customFormat="false" ht="15" hidden="false" customHeight="false" outlineLevel="0" collapsed="false">
      <c r="A458" s="92" t="str">
        <f aca="false">SRC_Price!$A25&amp;""</f>
        <v>SRC_PRC_021</v>
      </c>
      <c r="B458" s="62" t="s">
        <v>3388</v>
      </c>
      <c r="C458" s="61" t="n">
        <v>25</v>
      </c>
      <c r="D458" s="92" t="str">
        <f aca="false">SRC_Price!$O25</f>
        <v>Active</v>
      </c>
      <c r="E458" s="92" t="n">
        <f aca="false">SRC_Price!$K25</f>
        <v>1</v>
      </c>
      <c r="F458" s="92" t="str">
        <f aca="false">SRC_Price!$S25</f>
        <v>—</v>
      </c>
    </row>
    <row r="459" customFormat="false" ht="15" hidden="false" customHeight="false" outlineLevel="0" collapsed="false">
      <c r="A459" s="92" t="str">
        <f aca="false">SRC_Price!$A26&amp;""</f>
        <v>SRC_PRC_022</v>
      </c>
      <c r="B459" s="62" t="s">
        <v>3388</v>
      </c>
      <c r="C459" s="61" t="n">
        <v>26</v>
      </c>
      <c r="D459" s="92" t="str">
        <f aca="false">SRC_Price!$O26</f>
        <v>Active</v>
      </c>
      <c r="E459" s="92" t="n">
        <f aca="false">SRC_Price!$K26</f>
        <v>1</v>
      </c>
      <c r="F459" s="92" t="str">
        <f aca="false">SRC_Price!$S26</f>
        <v>—</v>
      </c>
    </row>
    <row r="460" customFormat="false" ht="15" hidden="false" customHeight="false" outlineLevel="0" collapsed="false">
      <c r="A460" s="92" t="str">
        <f aca="false">SRC_Price!$A27&amp;""</f>
        <v>SRC_PRC_023</v>
      </c>
      <c r="B460" s="62" t="s">
        <v>3388</v>
      </c>
      <c r="C460" s="61" t="n">
        <v>27</v>
      </c>
      <c r="D460" s="92" t="str">
        <f aca="false">SRC_Price!$O27</f>
        <v>Active</v>
      </c>
      <c r="E460" s="92" t="n">
        <f aca="false">SRC_Price!$K27</f>
        <v>1</v>
      </c>
      <c r="F460" s="92" t="str">
        <f aca="false">SRC_Price!$S27</f>
        <v>—</v>
      </c>
    </row>
    <row r="461" customFormat="false" ht="15" hidden="false" customHeight="false" outlineLevel="0" collapsed="false">
      <c r="A461" s="92" t="str">
        <f aca="false">SRC_Price!$A28&amp;""</f>
        <v>SRC_PRC_024</v>
      </c>
      <c r="B461" s="62" t="s">
        <v>3388</v>
      </c>
      <c r="C461" s="61" t="n">
        <v>28</v>
      </c>
      <c r="D461" s="92" t="str">
        <f aca="false">SRC_Price!$O28</f>
        <v>Active</v>
      </c>
      <c r="E461" s="92" t="n">
        <f aca="false">SRC_Price!$K28</f>
        <v>1</v>
      </c>
      <c r="F461" s="92" t="str">
        <f aca="false">SRC_Price!$S28</f>
        <v>—</v>
      </c>
    </row>
    <row r="462" customFormat="false" ht="15" hidden="false" customHeight="false" outlineLevel="0" collapsed="false">
      <c r="A462" s="92" t="str">
        <f aca="false">SRC_Price!$A29&amp;""</f>
        <v>SRC_PRC_025</v>
      </c>
      <c r="B462" s="62" t="s">
        <v>3388</v>
      </c>
      <c r="C462" s="61" t="n">
        <v>29</v>
      </c>
      <c r="D462" s="92" t="str">
        <f aca="false">SRC_Price!$O29</f>
        <v>Active</v>
      </c>
      <c r="E462" s="92" t="n">
        <f aca="false">SRC_Price!$K29</f>
        <v>1</v>
      </c>
      <c r="F462" s="92" t="str">
        <f aca="false">SRC_Price!$S29</f>
        <v>—</v>
      </c>
    </row>
    <row r="463" customFormat="false" ht="15" hidden="false" customHeight="false" outlineLevel="0" collapsed="false">
      <c r="A463" s="92" t="str">
        <f aca="false">SRC_Price!$A30&amp;""</f>
        <v>SRC_PRC_026</v>
      </c>
      <c r="B463" s="62" t="s">
        <v>3388</v>
      </c>
      <c r="C463" s="61" t="n">
        <v>30</v>
      </c>
      <c r="D463" s="92" t="str">
        <f aca="false">SRC_Price!$O30</f>
        <v>Active</v>
      </c>
      <c r="E463" s="92" t="n">
        <f aca="false">SRC_Price!$K30</f>
        <v>1</v>
      </c>
      <c r="F463" s="92" t="str">
        <f aca="false">SRC_Price!$S30</f>
        <v>—</v>
      </c>
    </row>
    <row r="464" customFormat="false" ht="15" hidden="false" customHeight="false" outlineLevel="0" collapsed="false">
      <c r="A464" s="92" t="str">
        <f aca="false">SRC_Price!$A31&amp;""</f>
        <v>SRC_PRC_027</v>
      </c>
      <c r="B464" s="62" t="s">
        <v>3388</v>
      </c>
      <c r="C464" s="61" t="n">
        <v>31</v>
      </c>
      <c r="D464" s="92" t="str">
        <f aca="false">SRC_Price!$O31</f>
        <v>Active</v>
      </c>
      <c r="E464" s="92" t="n">
        <f aca="false">SRC_Price!$K31</f>
        <v>1</v>
      </c>
      <c r="F464" s="92" t="str">
        <f aca="false">SRC_Price!$S31</f>
        <v>—</v>
      </c>
    </row>
    <row r="465" customFormat="false" ht="15" hidden="false" customHeight="false" outlineLevel="0" collapsed="false">
      <c r="A465" s="92" t="str">
        <f aca="false">SRC_Price!$A32&amp;""</f>
        <v>SRC_PRC_028</v>
      </c>
      <c r="B465" s="62" t="s">
        <v>3388</v>
      </c>
      <c r="C465" s="61" t="n">
        <v>32</v>
      </c>
      <c r="D465" s="92" t="str">
        <f aca="false">SRC_Price!$O32</f>
        <v>Active</v>
      </c>
      <c r="E465" s="92" t="n">
        <f aca="false">SRC_Price!$K32</f>
        <v>1</v>
      </c>
      <c r="F465" s="92" t="str">
        <f aca="false">SRC_Price!$S32</f>
        <v>—</v>
      </c>
    </row>
    <row r="466" customFormat="false" ht="15" hidden="false" customHeight="false" outlineLevel="0" collapsed="false">
      <c r="A466" s="92" t="str">
        <f aca="false">SRC_Price!$A33&amp;""</f>
        <v>SRC_PRC_029</v>
      </c>
      <c r="B466" s="62" t="s">
        <v>3388</v>
      </c>
      <c r="C466" s="61" t="n">
        <v>33</v>
      </c>
      <c r="D466" s="92" t="str">
        <f aca="false">SRC_Price!$O33</f>
        <v>Active</v>
      </c>
      <c r="E466" s="92" t="n">
        <f aca="false">SRC_Price!$K33</f>
        <v>1</v>
      </c>
      <c r="F466" s="92" t="str">
        <f aca="false">SRC_Price!$S33</f>
        <v>—</v>
      </c>
    </row>
    <row r="467" customFormat="false" ht="15" hidden="false" customHeight="false" outlineLevel="0" collapsed="false">
      <c r="A467" s="92" t="str">
        <f aca="false">SRC_Price!$A34&amp;""</f>
        <v>SRC_PRC_030</v>
      </c>
      <c r="B467" s="62" t="s">
        <v>3388</v>
      </c>
      <c r="C467" s="61" t="n">
        <v>34</v>
      </c>
      <c r="D467" s="92" t="str">
        <f aca="false">SRC_Price!$O34</f>
        <v>Active</v>
      </c>
      <c r="E467" s="92" t="n">
        <f aca="false">SRC_Price!$K34</f>
        <v>1</v>
      </c>
      <c r="F467" s="92" t="str">
        <f aca="false">SRC_Price!$S34</f>
        <v>—</v>
      </c>
    </row>
    <row r="468" customFormat="false" ht="15" hidden="false" customHeight="false" outlineLevel="0" collapsed="false">
      <c r="A468" s="92" t="str">
        <f aca="false">SRC_Price!$A35&amp;""</f>
        <v>SRC_PRC_031</v>
      </c>
      <c r="B468" s="62" t="s">
        <v>3388</v>
      </c>
      <c r="C468" s="61" t="n">
        <v>35</v>
      </c>
      <c r="D468" s="92" t="str">
        <f aca="false">SRC_Price!$O35</f>
        <v>Active</v>
      </c>
      <c r="E468" s="92" t="n">
        <f aca="false">SRC_Price!$K35</f>
        <v>1</v>
      </c>
      <c r="F468" s="92" t="str">
        <f aca="false">SRC_Price!$S35</f>
        <v>—</v>
      </c>
    </row>
    <row r="469" customFormat="false" ht="15" hidden="false" customHeight="false" outlineLevel="0" collapsed="false">
      <c r="A469" s="92" t="str">
        <f aca="false">SRC_Price!$A36&amp;""</f>
        <v>SRC_PRC_032</v>
      </c>
      <c r="B469" s="62" t="s">
        <v>3388</v>
      </c>
      <c r="C469" s="61" t="n">
        <v>36</v>
      </c>
      <c r="D469" s="92" t="str">
        <f aca="false">SRC_Price!$O36</f>
        <v>Active</v>
      </c>
      <c r="E469" s="92" t="n">
        <f aca="false">SRC_Price!$K36</f>
        <v>1</v>
      </c>
      <c r="F469" s="92" t="str">
        <f aca="false">SRC_Price!$S36</f>
        <v>—</v>
      </c>
    </row>
    <row r="470" customFormat="false" ht="15" hidden="false" customHeight="false" outlineLevel="0" collapsed="false">
      <c r="A470" s="92" t="str">
        <f aca="false">SRC_Price!$A37&amp;""</f>
        <v>SRC_PRC_033</v>
      </c>
      <c r="B470" s="62" t="s">
        <v>3388</v>
      </c>
      <c r="C470" s="61" t="n">
        <v>37</v>
      </c>
      <c r="D470" s="92" t="str">
        <f aca="false">SRC_Price!$O37</f>
        <v>Active</v>
      </c>
      <c r="E470" s="92" t="n">
        <f aca="false">SRC_Price!$K37</f>
        <v>1</v>
      </c>
      <c r="F470" s="92" t="str">
        <f aca="false">SRC_Price!$S37</f>
        <v>—</v>
      </c>
    </row>
    <row r="471" customFormat="false" ht="15" hidden="false" customHeight="false" outlineLevel="0" collapsed="false">
      <c r="A471" s="92" t="str">
        <f aca="false">SRC_Price!$A38&amp;""</f>
        <v>SRC_PRC_034</v>
      </c>
      <c r="B471" s="62" t="s">
        <v>3388</v>
      </c>
      <c r="C471" s="61" t="n">
        <v>38</v>
      </c>
      <c r="D471" s="92" t="str">
        <f aca="false">SRC_Price!$O38</f>
        <v>Active</v>
      </c>
      <c r="E471" s="92" t="n">
        <f aca="false">SRC_Price!$K38</f>
        <v>1</v>
      </c>
      <c r="F471" s="92" t="str">
        <f aca="false">SRC_Price!$S38</f>
        <v>—</v>
      </c>
    </row>
    <row r="472" customFormat="false" ht="15" hidden="false" customHeight="false" outlineLevel="0" collapsed="false">
      <c r="A472" s="92" t="str">
        <f aca="false">SRC_Price!$A39&amp;""</f>
        <v>SRC_PRC_035</v>
      </c>
      <c r="B472" s="62" t="s">
        <v>3388</v>
      </c>
      <c r="C472" s="61" t="n">
        <v>39</v>
      </c>
      <c r="D472" s="92" t="str">
        <f aca="false">SRC_Price!$O39</f>
        <v>Active</v>
      </c>
      <c r="E472" s="92" t="n">
        <f aca="false">SRC_Price!$K39</f>
        <v>2</v>
      </c>
      <c r="F472" s="92" t="str">
        <f aca="false">SRC_Price!$S39</f>
        <v>—</v>
      </c>
    </row>
    <row r="473" customFormat="false" ht="15" hidden="false" customHeight="false" outlineLevel="0" collapsed="false">
      <c r="A473" s="92" t="str">
        <f aca="false">SRC_Price!$A40&amp;""</f>
        <v>SRC_PRC_036</v>
      </c>
      <c r="B473" s="62" t="s">
        <v>3388</v>
      </c>
      <c r="C473" s="61" t="n">
        <v>40</v>
      </c>
      <c r="D473" s="92" t="str">
        <f aca="false">SRC_Price!$O40</f>
        <v>Active</v>
      </c>
      <c r="E473" s="92" t="n">
        <f aca="false">SRC_Price!$K40</f>
        <v>2</v>
      </c>
      <c r="F473" s="92" t="str">
        <f aca="false">SRC_Price!$S40</f>
        <v>—</v>
      </c>
    </row>
    <row r="474" customFormat="false" ht="15" hidden="false" customHeight="false" outlineLevel="0" collapsed="false">
      <c r="A474" s="92" t="str">
        <f aca="false">SRC_Price!$A41&amp;""</f>
        <v>SRC_PRC_037</v>
      </c>
      <c r="B474" s="62" t="s">
        <v>3388</v>
      </c>
      <c r="C474" s="61" t="n">
        <v>41</v>
      </c>
      <c r="D474" s="92" t="str">
        <f aca="false">SRC_Price!$O41</f>
        <v>Active</v>
      </c>
      <c r="E474" s="92" t="n">
        <f aca="false">SRC_Price!$K41</f>
        <v>2</v>
      </c>
      <c r="F474" s="92" t="str">
        <f aca="false">SRC_Price!$S41</f>
        <v>—</v>
      </c>
    </row>
    <row r="475" customFormat="false" ht="15" hidden="false" customHeight="false" outlineLevel="0" collapsed="false">
      <c r="A475" s="92" t="str">
        <f aca="false">SRC_Price!$A42&amp;""</f>
        <v>SRC_PRC_038</v>
      </c>
      <c r="B475" s="62" t="s">
        <v>3388</v>
      </c>
      <c r="C475" s="61" t="n">
        <v>42</v>
      </c>
      <c r="D475" s="92" t="str">
        <f aca="false">SRC_Price!$O42</f>
        <v>Active</v>
      </c>
      <c r="E475" s="92" t="n">
        <f aca="false">SRC_Price!$K42</f>
        <v>2</v>
      </c>
      <c r="F475" s="92" t="str">
        <f aca="false">SRC_Price!$S42</f>
        <v>—</v>
      </c>
    </row>
    <row r="476" customFormat="false" ht="15" hidden="false" customHeight="false" outlineLevel="0" collapsed="false">
      <c r="A476" s="92" t="str">
        <f aca="false">SRC_Price!$A43&amp;""</f>
        <v>SRC_PRC_039</v>
      </c>
      <c r="B476" s="62" t="s">
        <v>3388</v>
      </c>
      <c r="C476" s="61" t="n">
        <v>43</v>
      </c>
      <c r="D476" s="92" t="str">
        <f aca="false">SRC_Price!$O43</f>
        <v>Active</v>
      </c>
      <c r="E476" s="92" t="n">
        <f aca="false">SRC_Price!$K43</f>
        <v>2</v>
      </c>
      <c r="F476" s="92" t="str">
        <f aca="false">SRC_Price!$S43</f>
        <v>—</v>
      </c>
    </row>
    <row r="477" customFormat="false" ht="15" hidden="false" customHeight="false" outlineLevel="0" collapsed="false">
      <c r="A477" s="92" t="str">
        <f aca="false">SRC_Price!$A44&amp;""</f>
        <v>SRC_PRC_040</v>
      </c>
      <c r="B477" s="62" t="s">
        <v>3388</v>
      </c>
      <c r="C477" s="61" t="n">
        <v>44</v>
      </c>
      <c r="D477" s="92" t="str">
        <f aca="false">SRC_Price!$O44</f>
        <v>Active</v>
      </c>
      <c r="E477" s="92" t="n">
        <f aca="false">SRC_Price!$K44</f>
        <v>2</v>
      </c>
      <c r="F477" s="92" t="str">
        <f aca="false">SRC_Price!$S44</f>
        <v>—</v>
      </c>
    </row>
    <row r="478" customFormat="false" ht="15" hidden="false" customHeight="false" outlineLevel="0" collapsed="false">
      <c r="A478" s="92" t="str">
        <f aca="false">SRC_Price!$A45&amp;""</f>
        <v>SRC_PRC_041</v>
      </c>
      <c r="B478" s="62" t="s">
        <v>3388</v>
      </c>
      <c r="C478" s="61" t="n">
        <v>45</v>
      </c>
      <c r="D478" s="92" t="str">
        <f aca="false">SRC_Price!$O45</f>
        <v>Alt</v>
      </c>
      <c r="E478" s="92" t="n">
        <f aca="false">SRC_Price!$K45</f>
        <v>2</v>
      </c>
      <c r="F478" s="92" t="str">
        <f aca="false">SRC_Price!$S45</f>
        <v>—</v>
      </c>
    </row>
    <row r="479" customFormat="false" ht="15" hidden="false" customHeight="false" outlineLevel="0" collapsed="false">
      <c r="A479" s="92" t="str">
        <f aca="false">SRC_Price!$A46&amp;""</f>
        <v>SRC_PRC_042</v>
      </c>
      <c r="B479" s="62" t="s">
        <v>3388</v>
      </c>
      <c r="C479" s="61" t="n">
        <v>46</v>
      </c>
      <c r="D479" s="92" t="str">
        <f aca="false">SRC_Price!$O46</f>
        <v>Alt</v>
      </c>
      <c r="E479" s="92" t="n">
        <f aca="false">SRC_Price!$K46</f>
        <v>2</v>
      </c>
      <c r="F479" s="92" t="str">
        <f aca="false">SRC_Price!$S46</f>
        <v>—</v>
      </c>
    </row>
    <row r="480" customFormat="false" ht="15" hidden="false" customHeight="false" outlineLevel="0" collapsed="false">
      <c r="A480" s="92" t="str">
        <f aca="false">SRC_Price!$A47&amp;""</f>
        <v>SRC_PRC_043</v>
      </c>
      <c r="B480" s="62" t="s">
        <v>3388</v>
      </c>
      <c r="C480" s="61" t="n">
        <v>47</v>
      </c>
      <c r="D480" s="92" t="str">
        <f aca="false">SRC_Price!$O47</f>
        <v>Active</v>
      </c>
      <c r="E480" s="92" t="n">
        <f aca="false">SRC_Price!$K47</f>
        <v>2</v>
      </c>
      <c r="F480" s="92" t="str">
        <f aca="false">SRC_Price!$S47</f>
        <v>—</v>
      </c>
    </row>
    <row r="481" customFormat="false" ht="15" hidden="false" customHeight="false" outlineLevel="0" collapsed="false">
      <c r="A481" s="92" t="str">
        <f aca="false">SRC_Price!$A48&amp;""</f>
        <v>SRC_PRC_044</v>
      </c>
      <c r="B481" s="62" t="s">
        <v>3388</v>
      </c>
      <c r="C481" s="61" t="n">
        <v>48</v>
      </c>
      <c r="D481" s="92" t="str">
        <f aca="false">SRC_Price!$O48</f>
        <v>Active</v>
      </c>
      <c r="E481" s="92" t="n">
        <f aca="false">SRC_Price!$K48</f>
        <v>2</v>
      </c>
      <c r="F481" s="92" t="str">
        <f aca="false">SRC_Price!$S48</f>
        <v>—</v>
      </c>
    </row>
    <row r="482" customFormat="false" ht="15" hidden="false" customHeight="false" outlineLevel="0" collapsed="false">
      <c r="A482" s="92" t="str">
        <f aca="false">SRC_Price!$A49&amp;""</f>
        <v>SRC_PRC_045</v>
      </c>
      <c r="B482" s="62" t="s">
        <v>3388</v>
      </c>
      <c r="C482" s="61" t="n">
        <v>49</v>
      </c>
      <c r="D482" s="92" t="str">
        <f aca="false">SRC_Price!$O49</f>
        <v>Active</v>
      </c>
      <c r="E482" s="92" t="n">
        <f aca="false">SRC_Price!$K49</f>
        <v>1</v>
      </c>
      <c r="F482" s="92" t="str">
        <f aca="false">SRC_Price!$S49</f>
        <v>—</v>
      </c>
    </row>
    <row r="483" customFormat="false" ht="15" hidden="false" customHeight="false" outlineLevel="0" collapsed="false">
      <c r="A483" s="92" t="str">
        <f aca="false">SRC_Price!$A50&amp;""</f>
        <v>SRC_PRC_046</v>
      </c>
      <c r="B483" s="62" t="s">
        <v>3388</v>
      </c>
      <c r="C483" s="61" t="n">
        <v>50</v>
      </c>
      <c r="D483" s="92" t="str">
        <f aca="false">SRC_Price!$O50</f>
        <v>Active</v>
      </c>
      <c r="E483" s="92" t="n">
        <f aca="false">SRC_Price!$K50</f>
        <v>1</v>
      </c>
      <c r="F483" s="92" t="str">
        <f aca="false">SRC_Price!$S50</f>
        <v>—</v>
      </c>
    </row>
    <row r="484" customFormat="false" ht="15" hidden="false" customHeight="false" outlineLevel="0" collapsed="false">
      <c r="A484" s="92" t="str">
        <f aca="false">SRC_Price!$A51&amp;""</f>
        <v/>
      </c>
      <c r="B484" s="62" t="s">
        <v>3388</v>
      </c>
      <c r="C484" s="61" t="n">
        <v>51</v>
      </c>
      <c r="D484" s="92" t="n">
        <f aca="false">SRC_Price!$O51</f>
        <v>0</v>
      </c>
      <c r="E484" s="92" t="n">
        <f aca="false">SRC_Price!$K51</f>
        <v>0</v>
      </c>
      <c r="F484" s="92" t="n">
        <f aca="false">SRC_Price!$S51</f>
        <v>0</v>
      </c>
    </row>
    <row r="485" customFormat="false" ht="15" hidden="false" customHeight="false" outlineLevel="0" collapsed="false">
      <c r="A485" s="92" t="str">
        <f aca="false">SRC_Price!$A52&amp;""</f>
        <v/>
      </c>
      <c r="B485" s="62" t="s">
        <v>3388</v>
      </c>
      <c r="C485" s="61" t="n">
        <v>52</v>
      </c>
      <c r="D485" s="92" t="n">
        <f aca="false">SRC_Price!$O52</f>
        <v>0</v>
      </c>
      <c r="E485" s="92" t="n">
        <f aca="false">SRC_Price!$K52</f>
        <v>0</v>
      </c>
      <c r="F485" s="92" t="n">
        <f aca="false">SRC_Price!$S52</f>
        <v>0</v>
      </c>
    </row>
    <row r="486" customFormat="false" ht="15" hidden="false" customHeight="false" outlineLevel="0" collapsed="false">
      <c r="A486" s="92" t="str">
        <f aca="false">SRC_Price!$A53&amp;""</f>
        <v/>
      </c>
      <c r="B486" s="62" t="s">
        <v>3388</v>
      </c>
      <c r="C486" s="61" t="n">
        <v>53</v>
      </c>
      <c r="D486" s="92" t="n">
        <f aca="false">SRC_Price!$O53</f>
        <v>0</v>
      </c>
      <c r="E486" s="92" t="n">
        <f aca="false">SRC_Price!$K53</f>
        <v>0</v>
      </c>
      <c r="F486" s="92" t="n">
        <f aca="false">SRC_Price!$S53</f>
        <v>0</v>
      </c>
    </row>
    <row r="487" customFormat="false" ht="15" hidden="false" customHeight="false" outlineLevel="0" collapsed="false">
      <c r="A487" s="92" t="str">
        <f aca="false">SRC_Price!$A54&amp;""</f>
        <v/>
      </c>
      <c r="B487" s="62" t="s">
        <v>3388</v>
      </c>
      <c r="C487" s="61" t="n">
        <v>54</v>
      </c>
      <c r="D487" s="92" t="n">
        <f aca="false">SRC_Price!$O54</f>
        <v>0</v>
      </c>
      <c r="E487" s="92" t="n">
        <f aca="false">SRC_Price!$K54</f>
        <v>0</v>
      </c>
      <c r="F487" s="92" t="n">
        <f aca="false">SRC_Price!$S54</f>
        <v>0</v>
      </c>
    </row>
    <row r="488" customFormat="false" ht="15" hidden="false" customHeight="false" outlineLevel="0" collapsed="false">
      <c r="A488" s="92" t="str">
        <f aca="false">SRC_Price!$A55&amp;""</f>
        <v/>
      </c>
      <c r="B488" s="62" t="s">
        <v>3388</v>
      </c>
      <c r="C488" s="61" t="n">
        <v>55</v>
      </c>
      <c r="D488" s="92" t="n">
        <f aca="false">SRC_Price!$O55</f>
        <v>0</v>
      </c>
      <c r="E488" s="92" t="n">
        <f aca="false">SRC_Price!$K55</f>
        <v>0</v>
      </c>
      <c r="F488" s="92" t="n">
        <f aca="false">SRC_Price!$S55</f>
        <v>0</v>
      </c>
    </row>
    <row r="489" customFormat="false" ht="15" hidden="false" customHeight="false" outlineLevel="0" collapsed="false">
      <c r="A489" s="92" t="str">
        <f aca="false">SRC_Price!$A56&amp;""</f>
        <v/>
      </c>
      <c r="B489" s="62" t="s">
        <v>3388</v>
      </c>
      <c r="C489" s="61" t="n">
        <v>56</v>
      </c>
      <c r="D489" s="92" t="n">
        <f aca="false">SRC_Price!$O56</f>
        <v>0</v>
      </c>
      <c r="E489" s="92" t="n">
        <f aca="false">SRC_Price!$K56</f>
        <v>0</v>
      </c>
      <c r="F489" s="92" t="n">
        <f aca="false">SRC_Price!$S56</f>
        <v>0</v>
      </c>
    </row>
    <row r="490" customFormat="false" ht="15" hidden="false" customHeight="false" outlineLevel="0" collapsed="false">
      <c r="A490" s="92" t="str">
        <f aca="false">SRC_Price!$A57&amp;""</f>
        <v/>
      </c>
      <c r="B490" s="62" t="s">
        <v>3388</v>
      </c>
      <c r="C490" s="61" t="n">
        <v>57</v>
      </c>
      <c r="D490" s="92" t="n">
        <f aca="false">SRC_Price!$O57</f>
        <v>0</v>
      </c>
      <c r="E490" s="92" t="n">
        <f aca="false">SRC_Price!$K57</f>
        <v>0</v>
      </c>
      <c r="F490" s="92" t="n">
        <f aca="false">SRC_Price!$S57</f>
        <v>0</v>
      </c>
    </row>
    <row r="491" customFormat="false" ht="15" hidden="false" customHeight="false" outlineLevel="0" collapsed="false">
      <c r="A491" s="92" t="str">
        <f aca="false">SRC_Price!$A58&amp;""</f>
        <v/>
      </c>
      <c r="B491" s="62" t="s">
        <v>3388</v>
      </c>
      <c r="C491" s="61" t="n">
        <v>58</v>
      </c>
      <c r="D491" s="92" t="n">
        <f aca="false">SRC_Price!$O58</f>
        <v>0</v>
      </c>
      <c r="E491" s="92" t="n">
        <f aca="false">SRC_Price!$K58</f>
        <v>0</v>
      </c>
      <c r="F491" s="92" t="n">
        <f aca="false">SRC_Price!$S58</f>
        <v>0</v>
      </c>
    </row>
    <row r="492" customFormat="false" ht="15" hidden="false" customHeight="false" outlineLevel="0" collapsed="false">
      <c r="A492" s="92" t="str">
        <f aca="false">SRC_Price!$A59&amp;""</f>
        <v/>
      </c>
      <c r="B492" s="62" t="s">
        <v>3388</v>
      </c>
      <c r="C492" s="61" t="n">
        <v>59</v>
      </c>
      <c r="D492" s="92" t="n">
        <f aca="false">SRC_Price!$O59</f>
        <v>0</v>
      </c>
      <c r="E492" s="92" t="n">
        <f aca="false">SRC_Price!$K59</f>
        <v>0</v>
      </c>
      <c r="F492" s="92" t="n">
        <f aca="false">SRC_Price!$S59</f>
        <v>0</v>
      </c>
    </row>
    <row r="493" customFormat="false" ht="15" hidden="false" customHeight="false" outlineLevel="0" collapsed="false">
      <c r="A493" s="92" t="str">
        <f aca="false">SRC_Price!$A60&amp;""</f>
        <v/>
      </c>
      <c r="B493" s="62" t="s">
        <v>3388</v>
      </c>
      <c r="C493" s="61" t="n">
        <v>60</v>
      </c>
      <c r="D493" s="92" t="n">
        <f aca="false">SRC_Price!$O60</f>
        <v>0</v>
      </c>
      <c r="E493" s="92" t="n">
        <f aca="false">SRC_Price!$K60</f>
        <v>0</v>
      </c>
      <c r="F493" s="92" t="n">
        <f aca="false">SRC_Price!$S60</f>
        <v>0</v>
      </c>
    </row>
    <row r="494" customFormat="false" ht="15" hidden="false" customHeight="false" outlineLevel="0" collapsed="false">
      <c r="A494" s="92" t="str">
        <f aca="false">SRC_Price!$A61&amp;""</f>
        <v/>
      </c>
      <c r="B494" s="62" t="s">
        <v>3388</v>
      </c>
      <c r="C494" s="61" t="n">
        <v>61</v>
      </c>
      <c r="D494" s="92" t="n">
        <f aca="false">SRC_Price!$O61</f>
        <v>0</v>
      </c>
      <c r="E494" s="92" t="n">
        <f aca="false">SRC_Price!$K61</f>
        <v>0</v>
      </c>
      <c r="F494" s="92" t="n">
        <f aca="false">SRC_Price!$S61</f>
        <v>0</v>
      </c>
    </row>
    <row r="495" customFormat="false" ht="15" hidden="false" customHeight="false" outlineLevel="0" collapsed="false">
      <c r="A495" s="92" t="str">
        <f aca="false">SRC_Price!$A62&amp;""</f>
        <v/>
      </c>
      <c r="B495" s="62" t="s">
        <v>3388</v>
      </c>
      <c r="C495" s="61" t="n">
        <v>62</v>
      </c>
      <c r="D495" s="92" t="n">
        <f aca="false">SRC_Price!$O62</f>
        <v>0</v>
      </c>
      <c r="E495" s="92" t="n">
        <f aca="false">SRC_Price!$K62</f>
        <v>0</v>
      </c>
      <c r="F495" s="92" t="n">
        <f aca="false">SRC_Price!$S62</f>
        <v>0</v>
      </c>
    </row>
    <row r="496" customFormat="false" ht="15" hidden="false" customHeight="false" outlineLevel="0" collapsed="false">
      <c r="A496" s="92" t="str">
        <f aca="false">SRC_Price!$A63&amp;""</f>
        <v/>
      </c>
      <c r="B496" s="62" t="s">
        <v>3388</v>
      </c>
      <c r="C496" s="61" t="n">
        <v>63</v>
      </c>
      <c r="D496" s="92" t="n">
        <f aca="false">SRC_Price!$O63</f>
        <v>0</v>
      </c>
      <c r="E496" s="92" t="n">
        <f aca="false">SRC_Price!$K63</f>
        <v>0</v>
      </c>
      <c r="F496" s="92" t="n">
        <f aca="false">SRC_Price!$S63</f>
        <v>0</v>
      </c>
    </row>
    <row r="497" customFormat="false" ht="15" hidden="false" customHeight="false" outlineLevel="0" collapsed="false">
      <c r="A497" s="92" t="str">
        <f aca="false">SRC_Price!$A64&amp;""</f>
        <v/>
      </c>
      <c r="B497" s="62" t="s">
        <v>3388</v>
      </c>
      <c r="C497" s="61" t="n">
        <v>64</v>
      </c>
      <c r="D497" s="92" t="n">
        <f aca="false">SRC_Price!$O64</f>
        <v>0</v>
      </c>
      <c r="E497" s="92" t="n">
        <f aca="false">SRC_Price!$K64</f>
        <v>0</v>
      </c>
      <c r="F497" s="92" t="n">
        <f aca="false">SRC_Price!$S64</f>
        <v>0</v>
      </c>
    </row>
    <row r="498" customFormat="false" ht="15" hidden="false" customHeight="false" outlineLevel="0" collapsed="false">
      <c r="A498" s="92" t="str">
        <f aca="false">SRC_Price!$A65&amp;""</f>
        <v/>
      </c>
      <c r="B498" s="62" t="s">
        <v>3388</v>
      </c>
      <c r="C498" s="61" t="n">
        <v>65</v>
      </c>
      <c r="D498" s="92" t="n">
        <f aca="false">SRC_Price!$O65</f>
        <v>0</v>
      </c>
      <c r="E498" s="92" t="n">
        <f aca="false">SRC_Price!$K65</f>
        <v>0</v>
      </c>
      <c r="F498" s="92" t="n">
        <f aca="false">SRC_Price!$S65</f>
        <v>0</v>
      </c>
    </row>
    <row r="499" customFormat="false" ht="15" hidden="false" customHeight="false" outlineLevel="0" collapsed="false">
      <c r="A499" s="92" t="str">
        <f aca="false">SRC_Price!$A66&amp;""</f>
        <v/>
      </c>
      <c r="B499" s="62" t="s">
        <v>3388</v>
      </c>
      <c r="C499" s="61" t="n">
        <v>66</v>
      </c>
      <c r="D499" s="92" t="n">
        <f aca="false">SRC_Price!$O66</f>
        <v>0</v>
      </c>
      <c r="E499" s="92" t="n">
        <f aca="false">SRC_Price!$K66</f>
        <v>0</v>
      </c>
      <c r="F499" s="92" t="n">
        <f aca="false">SRC_Price!$S66</f>
        <v>0</v>
      </c>
    </row>
    <row r="500" customFormat="false" ht="15" hidden="false" customHeight="false" outlineLevel="0" collapsed="false">
      <c r="A500" s="92" t="str">
        <f aca="false">SRC_Price!$A67&amp;""</f>
        <v/>
      </c>
      <c r="B500" s="62" t="s">
        <v>3388</v>
      </c>
      <c r="C500" s="61" t="n">
        <v>67</v>
      </c>
      <c r="D500" s="92" t="n">
        <f aca="false">SRC_Price!$O67</f>
        <v>0</v>
      </c>
      <c r="E500" s="92" t="n">
        <f aca="false">SRC_Price!$K67</f>
        <v>0</v>
      </c>
      <c r="F500" s="92" t="n">
        <f aca="false">SRC_Price!$S67</f>
        <v>0</v>
      </c>
    </row>
    <row r="501" customFormat="false" ht="15" hidden="false" customHeight="false" outlineLevel="0" collapsed="false">
      <c r="A501" s="92" t="str">
        <f aca="false">SRC_Price!$A68&amp;""</f>
        <v/>
      </c>
      <c r="B501" s="62" t="s">
        <v>3388</v>
      </c>
      <c r="C501" s="61" t="n">
        <v>68</v>
      </c>
      <c r="D501" s="92" t="n">
        <f aca="false">SRC_Price!$O68</f>
        <v>0</v>
      </c>
      <c r="E501" s="92" t="n">
        <f aca="false">SRC_Price!$K68</f>
        <v>0</v>
      </c>
      <c r="F501" s="92" t="n">
        <f aca="false">SRC_Price!$S68</f>
        <v>0</v>
      </c>
    </row>
    <row r="502" customFormat="false" ht="15" hidden="false" customHeight="false" outlineLevel="0" collapsed="false">
      <c r="A502" s="92" t="str">
        <f aca="false">SRC_Price!$A69&amp;""</f>
        <v/>
      </c>
      <c r="B502" s="62" t="s">
        <v>3388</v>
      </c>
      <c r="C502" s="61" t="n">
        <v>69</v>
      </c>
      <c r="D502" s="92" t="n">
        <f aca="false">SRC_Price!$O69</f>
        <v>0</v>
      </c>
      <c r="E502" s="92" t="n">
        <f aca="false">SRC_Price!$K69</f>
        <v>0</v>
      </c>
      <c r="F502" s="92" t="n">
        <f aca="false">SRC_Price!$S69</f>
        <v>0</v>
      </c>
    </row>
    <row r="503" customFormat="false" ht="15" hidden="false" customHeight="false" outlineLevel="0" collapsed="false">
      <c r="A503" s="92" t="str">
        <f aca="false">SRC_Price!$A70&amp;""</f>
        <v/>
      </c>
      <c r="B503" s="62" t="s">
        <v>3388</v>
      </c>
      <c r="C503" s="61" t="n">
        <v>70</v>
      </c>
      <c r="D503" s="92" t="n">
        <f aca="false">SRC_Price!$O70</f>
        <v>0</v>
      </c>
      <c r="E503" s="92" t="n">
        <f aca="false">SRC_Price!$K70</f>
        <v>0</v>
      </c>
      <c r="F503" s="92" t="n">
        <f aca="false">SRC_Price!$S70</f>
        <v>0</v>
      </c>
    </row>
    <row r="504" customFormat="false" ht="15" hidden="false" customHeight="false" outlineLevel="0" collapsed="false">
      <c r="A504" s="92" t="str">
        <f aca="false">SRC_Price!$A71&amp;""</f>
        <v/>
      </c>
      <c r="B504" s="62" t="s">
        <v>3388</v>
      </c>
      <c r="C504" s="61" t="n">
        <v>71</v>
      </c>
      <c r="D504" s="92" t="n">
        <f aca="false">SRC_Price!$O71</f>
        <v>0</v>
      </c>
      <c r="E504" s="92" t="n">
        <f aca="false">SRC_Price!$K71</f>
        <v>0</v>
      </c>
      <c r="F504" s="92" t="n">
        <f aca="false">SRC_Price!$S71</f>
        <v>0</v>
      </c>
    </row>
    <row r="505" customFormat="false" ht="15" hidden="false" customHeight="false" outlineLevel="0" collapsed="false">
      <c r="A505" s="92" t="str">
        <f aca="false">SRC_Price!$A72&amp;""</f>
        <v/>
      </c>
      <c r="B505" s="62" t="s">
        <v>3388</v>
      </c>
      <c r="C505" s="61" t="n">
        <v>72</v>
      </c>
      <c r="D505" s="92" t="n">
        <f aca="false">SRC_Price!$O72</f>
        <v>0</v>
      </c>
      <c r="E505" s="92" t="n">
        <f aca="false">SRC_Price!$K72</f>
        <v>0</v>
      </c>
      <c r="F505" s="92" t="n">
        <f aca="false">SRC_Price!$S72</f>
        <v>0</v>
      </c>
    </row>
    <row r="506" customFormat="false" ht="15" hidden="false" customHeight="false" outlineLevel="0" collapsed="false">
      <c r="A506" s="92" t="str">
        <f aca="false">SRC_Price!$A73&amp;""</f>
        <v/>
      </c>
      <c r="B506" s="62" t="s">
        <v>3388</v>
      </c>
      <c r="C506" s="61" t="n">
        <v>73</v>
      </c>
      <c r="D506" s="92" t="n">
        <f aca="false">SRC_Price!$O73</f>
        <v>0</v>
      </c>
      <c r="E506" s="92" t="n">
        <f aca="false">SRC_Price!$K73</f>
        <v>0</v>
      </c>
      <c r="F506" s="92" t="n">
        <f aca="false">SRC_Price!$S73</f>
        <v>0</v>
      </c>
    </row>
    <row r="507" customFormat="false" ht="15" hidden="false" customHeight="false" outlineLevel="0" collapsed="false">
      <c r="A507" s="92" t="str">
        <f aca="false">SRC_Price!$A74&amp;""</f>
        <v/>
      </c>
      <c r="B507" s="62" t="s">
        <v>3388</v>
      </c>
      <c r="C507" s="61" t="n">
        <v>74</v>
      </c>
      <c r="D507" s="92" t="n">
        <f aca="false">SRC_Price!$O74</f>
        <v>0</v>
      </c>
      <c r="E507" s="92" t="n">
        <f aca="false">SRC_Price!$K74</f>
        <v>0</v>
      </c>
      <c r="F507" s="92" t="n">
        <f aca="false">SRC_Price!$S74</f>
        <v>0</v>
      </c>
    </row>
    <row r="508" customFormat="false" ht="15" hidden="false" customHeight="false" outlineLevel="0" collapsed="false">
      <c r="A508" s="92" t="str">
        <f aca="false">SRC_Price!$A75&amp;""</f>
        <v/>
      </c>
      <c r="B508" s="62" t="s">
        <v>3388</v>
      </c>
      <c r="C508" s="61" t="n">
        <v>75</v>
      </c>
      <c r="D508" s="92" t="n">
        <f aca="false">SRC_Price!$O75</f>
        <v>0</v>
      </c>
      <c r="E508" s="92" t="n">
        <f aca="false">SRC_Price!$K75</f>
        <v>0</v>
      </c>
      <c r="F508" s="92" t="n">
        <f aca="false">SRC_Price!$S75</f>
        <v>0</v>
      </c>
    </row>
    <row r="509" customFormat="false" ht="15" hidden="false" customHeight="false" outlineLevel="0" collapsed="false">
      <c r="A509" s="92" t="str">
        <f aca="false">SRC_Price!$A76&amp;""</f>
        <v/>
      </c>
      <c r="B509" s="62" t="s">
        <v>3388</v>
      </c>
      <c r="C509" s="61" t="n">
        <v>76</v>
      </c>
      <c r="D509" s="92" t="n">
        <f aca="false">SRC_Price!$O76</f>
        <v>0</v>
      </c>
      <c r="E509" s="92" t="n">
        <f aca="false">SRC_Price!$K76</f>
        <v>0</v>
      </c>
      <c r="F509" s="92" t="n">
        <f aca="false">SRC_Price!$S76</f>
        <v>0</v>
      </c>
    </row>
    <row r="510" customFormat="false" ht="15" hidden="false" customHeight="false" outlineLevel="0" collapsed="false">
      <c r="A510" s="92" t="str">
        <f aca="false">SRC_Price!$A77&amp;""</f>
        <v/>
      </c>
      <c r="B510" s="62" t="s">
        <v>3388</v>
      </c>
      <c r="C510" s="61" t="n">
        <v>77</v>
      </c>
      <c r="D510" s="92" t="n">
        <f aca="false">SRC_Price!$O77</f>
        <v>0</v>
      </c>
      <c r="E510" s="92" t="n">
        <f aca="false">SRC_Price!$K77</f>
        <v>0</v>
      </c>
      <c r="F510" s="92" t="n">
        <f aca="false">SRC_Price!$S77</f>
        <v>0</v>
      </c>
    </row>
    <row r="511" customFormat="false" ht="15" hidden="false" customHeight="false" outlineLevel="0" collapsed="false">
      <c r="A511" s="92" t="str">
        <f aca="false">SRC_Price!$A78&amp;""</f>
        <v/>
      </c>
      <c r="B511" s="62" t="s">
        <v>3388</v>
      </c>
      <c r="C511" s="61" t="n">
        <v>78</v>
      </c>
      <c r="D511" s="92" t="n">
        <f aca="false">SRC_Price!$O78</f>
        <v>0</v>
      </c>
      <c r="E511" s="92" t="n">
        <f aca="false">SRC_Price!$K78</f>
        <v>0</v>
      </c>
      <c r="F511" s="92" t="n">
        <f aca="false">SRC_Price!$S78</f>
        <v>0</v>
      </c>
    </row>
    <row r="512" customFormat="false" ht="15" hidden="false" customHeight="false" outlineLevel="0" collapsed="false">
      <c r="A512" s="92" t="str">
        <f aca="false">SRC_Price!$A79&amp;""</f>
        <v/>
      </c>
      <c r="B512" s="62" t="s">
        <v>3388</v>
      </c>
      <c r="C512" s="61" t="n">
        <v>79</v>
      </c>
      <c r="D512" s="92" t="n">
        <f aca="false">SRC_Price!$O79</f>
        <v>0</v>
      </c>
      <c r="E512" s="92" t="n">
        <f aca="false">SRC_Price!$K79</f>
        <v>0</v>
      </c>
      <c r="F512" s="92" t="n">
        <f aca="false">SRC_Price!$S79</f>
        <v>0</v>
      </c>
    </row>
    <row r="513" customFormat="false" ht="15" hidden="false" customHeight="false" outlineLevel="0" collapsed="false">
      <c r="A513" s="92" t="str">
        <f aca="false">SRC_Price!$A80&amp;""</f>
        <v/>
      </c>
      <c r="B513" s="62" t="s">
        <v>3388</v>
      </c>
      <c r="C513" s="61" t="n">
        <v>80</v>
      </c>
      <c r="D513" s="92" t="n">
        <f aca="false">SRC_Price!$O80</f>
        <v>0</v>
      </c>
      <c r="E513" s="92" t="n">
        <f aca="false">SRC_Price!$K80</f>
        <v>0</v>
      </c>
      <c r="F513" s="92" t="n">
        <f aca="false">SRC_Price!$S80</f>
        <v>0</v>
      </c>
    </row>
    <row r="514" customFormat="false" ht="15" hidden="false" customHeight="false" outlineLevel="0" collapsed="false">
      <c r="A514" s="92" t="str">
        <f aca="false">SRC_Price!$A81&amp;""</f>
        <v/>
      </c>
      <c r="B514" s="62" t="s">
        <v>3388</v>
      </c>
      <c r="C514" s="61" t="n">
        <v>81</v>
      </c>
      <c r="D514" s="92" t="n">
        <f aca="false">SRC_Price!$O81</f>
        <v>0</v>
      </c>
      <c r="E514" s="92" t="n">
        <f aca="false">SRC_Price!$K81</f>
        <v>0</v>
      </c>
      <c r="F514" s="92" t="n">
        <f aca="false">SRC_Price!$S81</f>
        <v>0</v>
      </c>
    </row>
    <row r="515" customFormat="false" ht="15" hidden="false" customHeight="false" outlineLevel="0" collapsed="false">
      <c r="A515" s="92" t="str">
        <f aca="false">SRC_Price!$A82&amp;""</f>
        <v/>
      </c>
      <c r="B515" s="62" t="s">
        <v>3388</v>
      </c>
      <c r="C515" s="61" t="n">
        <v>82</v>
      </c>
      <c r="D515" s="92" t="n">
        <f aca="false">SRC_Price!$O82</f>
        <v>0</v>
      </c>
      <c r="E515" s="92" t="n">
        <f aca="false">SRC_Price!$K82</f>
        <v>0</v>
      </c>
      <c r="F515" s="92" t="n">
        <f aca="false">SRC_Price!$S82</f>
        <v>0</v>
      </c>
    </row>
    <row r="516" customFormat="false" ht="15" hidden="false" customHeight="false" outlineLevel="0" collapsed="false">
      <c r="A516" s="92" t="str">
        <f aca="false">SRC_Price!$A83&amp;""</f>
        <v/>
      </c>
      <c r="B516" s="62" t="s">
        <v>3388</v>
      </c>
      <c r="C516" s="61" t="n">
        <v>83</v>
      </c>
      <c r="D516" s="92" t="n">
        <f aca="false">SRC_Price!$O83</f>
        <v>0</v>
      </c>
      <c r="E516" s="92" t="n">
        <f aca="false">SRC_Price!$K83</f>
        <v>0</v>
      </c>
      <c r="F516" s="92" t="n">
        <f aca="false">SRC_Price!$S83</f>
        <v>0</v>
      </c>
    </row>
    <row r="517" customFormat="false" ht="15" hidden="false" customHeight="false" outlineLevel="0" collapsed="false">
      <c r="A517" s="92" t="str">
        <f aca="false">SRC_Price!$A84&amp;""</f>
        <v/>
      </c>
      <c r="B517" s="62" t="s">
        <v>3388</v>
      </c>
      <c r="C517" s="61" t="n">
        <v>84</v>
      </c>
      <c r="D517" s="92" t="n">
        <f aca="false">SRC_Price!$O84</f>
        <v>0</v>
      </c>
      <c r="E517" s="92" t="n">
        <f aca="false">SRC_Price!$K84</f>
        <v>0</v>
      </c>
      <c r="F517" s="92" t="n">
        <f aca="false">SRC_Price!$S84</f>
        <v>0</v>
      </c>
    </row>
    <row r="518" customFormat="false" ht="15" hidden="false" customHeight="false" outlineLevel="0" collapsed="false">
      <c r="A518" s="92" t="str">
        <f aca="false">SRC_Price!$A85&amp;""</f>
        <v/>
      </c>
      <c r="B518" s="62" t="s">
        <v>3388</v>
      </c>
      <c r="C518" s="61" t="n">
        <v>85</v>
      </c>
      <c r="D518" s="92" t="n">
        <f aca="false">SRC_Price!$O85</f>
        <v>0</v>
      </c>
      <c r="E518" s="92" t="n">
        <f aca="false">SRC_Price!$K85</f>
        <v>0</v>
      </c>
      <c r="F518" s="92" t="n">
        <f aca="false">SRC_Price!$S85</f>
        <v>0</v>
      </c>
    </row>
    <row r="519" customFormat="false" ht="15" hidden="false" customHeight="false" outlineLevel="0" collapsed="false">
      <c r="A519" s="92" t="str">
        <f aca="false">SRC_Price!$A86&amp;""</f>
        <v/>
      </c>
      <c r="B519" s="62" t="s">
        <v>3388</v>
      </c>
      <c r="C519" s="61" t="n">
        <v>86</v>
      </c>
      <c r="D519" s="92" t="n">
        <f aca="false">SRC_Price!$O86</f>
        <v>0</v>
      </c>
      <c r="E519" s="92" t="n">
        <f aca="false">SRC_Price!$K86</f>
        <v>0</v>
      </c>
      <c r="F519" s="92" t="n">
        <f aca="false">SRC_Price!$S86</f>
        <v>0</v>
      </c>
    </row>
    <row r="520" customFormat="false" ht="15" hidden="false" customHeight="false" outlineLevel="0" collapsed="false">
      <c r="A520" s="92" t="str">
        <f aca="false">SRC_Price!$A87&amp;""</f>
        <v/>
      </c>
      <c r="B520" s="62" t="s">
        <v>3388</v>
      </c>
      <c r="C520" s="61" t="n">
        <v>87</v>
      </c>
      <c r="D520" s="92" t="n">
        <f aca="false">SRC_Price!$O87</f>
        <v>0</v>
      </c>
      <c r="E520" s="92" t="n">
        <f aca="false">SRC_Price!$K87</f>
        <v>0</v>
      </c>
      <c r="F520" s="92" t="n">
        <f aca="false">SRC_Price!$S87</f>
        <v>0</v>
      </c>
    </row>
    <row r="521" customFormat="false" ht="15" hidden="false" customHeight="false" outlineLevel="0" collapsed="false">
      <c r="A521" s="92" t="str">
        <f aca="false">SRC_Price!$A88&amp;""</f>
        <v/>
      </c>
      <c r="B521" s="62" t="s">
        <v>3388</v>
      </c>
      <c r="C521" s="61" t="n">
        <v>88</v>
      </c>
      <c r="D521" s="92" t="n">
        <f aca="false">SRC_Price!$O88</f>
        <v>0</v>
      </c>
      <c r="E521" s="92" t="n">
        <f aca="false">SRC_Price!$K88</f>
        <v>0</v>
      </c>
      <c r="F521" s="92" t="n">
        <f aca="false">SRC_Price!$S88</f>
        <v>0</v>
      </c>
    </row>
    <row r="522" customFormat="false" ht="15" hidden="false" customHeight="false" outlineLevel="0" collapsed="false">
      <c r="A522" s="92" t="str">
        <f aca="false">SRC_Price!$A89&amp;""</f>
        <v/>
      </c>
      <c r="B522" s="62" t="s">
        <v>3388</v>
      </c>
      <c r="C522" s="61" t="n">
        <v>89</v>
      </c>
      <c r="D522" s="92" t="n">
        <f aca="false">SRC_Price!$O89</f>
        <v>0</v>
      </c>
      <c r="E522" s="92" t="n">
        <f aca="false">SRC_Price!$K89</f>
        <v>0</v>
      </c>
      <c r="F522" s="92" t="n">
        <f aca="false">SRC_Price!$S89</f>
        <v>0</v>
      </c>
    </row>
    <row r="523" customFormat="false" ht="15" hidden="false" customHeight="false" outlineLevel="0" collapsed="false">
      <c r="A523" s="92" t="str">
        <f aca="false">SRC_Price!$A90&amp;""</f>
        <v/>
      </c>
      <c r="B523" s="62" t="s">
        <v>3388</v>
      </c>
      <c r="C523" s="61" t="n">
        <v>90</v>
      </c>
      <c r="D523" s="92" t="n">
        <f aca="false">SRC_Price!$O90</f>
        <v>0</v>
      </c>
      <c r="E523" s="92" t="n">
        <f aca="false">SRC_Price!$K90</f>
        <v>0</v>
      </c>
      <c r="F523" s="92" t="n">
        <f aca="false">SRC_Price!$S90</f>
        <v>0</v>
      </c>
    </row>
    <row r="524" customFormat="false" ht="15" hidden="false" customHeight="false" outlineLevel="0" collapsed="false">
      <c r="A524" s="92" t="str">
        <f aca="false">SRC_Price!$A91&amp;""</f>
        <v/>
      </c>
      <c r="B524" s="62" t="s">
        <v>3388</v>
      </c>
      <c r="C524" s="61" t="n">
        <v>91</v>
      </c>
      <c r="D524" s="92" t="n">
        <f aca="false">SRC_Price!$O91</f>
        <v>0</v>
      </c>
      <c r="E524" s="92" t="n">
        <f aca="false">SRC_Price!$K91</f>
        <v>0</v>
      </c>
      <c r="F524" s="92" t="n">
        <f aca="false">SRC_Price!$S91</f>
        <v>0</v>
      </c>
    </row>
    <row r="525" customFormat="false" ht="15" hidden="false" customHeight="false" outlineLevel="0" collapsed="false">
      <c r="A525" s="92" t="str">
        <f aca="false">SRC_Price!$A92&amp;""</f>
        <v/>
      </c>
      <c r="B525" s="62" t="s">
        <v>3388</v>
      </c>
      <c r="C525" s="61" t="n">
        <v>92</v>
      </c>
      <c r="D525" s="92" t="n">
        <f aca="false">SRC_Price!$O92</f>
        <v>0</v>
      </c>
      <c r="E525" s="92" t="n">
        <f aca="false">SRC_Price!$K92</f>
        <v>0</v>
      </c>
      <c r="F525" s="92" t="n">
        <f aca="false">SRC_Price!$S92</f>
        <v>0</v>
      </c>
    </row>
    <row r="526" customFormat="false" ht="15" hidden="false" customHeight="false" outlineLevel="0" collapsed="false">
      <c r="A526" s="92" t="str">
        <f aca="false">SRC_Price!$A93&amp;""</f>
        <v/>
      </c>
      <c r="B526" s="62" t="s">
        <v>3388</v>
      </c>
      <c r="C526" s="61" t="n">
        <v>93</v>
      </c>
      <c r="D526" s="92" t="n">
        <f aca="false">SRC_Price!$O93</f>
        <v>0</v>
      </c>
      <c r="E526" s="92" t="n">
        <f aca="false">SRC_Price!$K93</f>
        <v>0</v>
      </c>
      <c r="F526" s="92" t="n">
        <f aca="false">SRC_Price!$S93</f>
        <v>0</v>
      </c>
    </row>
    <row r="527" customFormat="false" ht="15" hidden="false" customHeight="false" outlineLevel="0" collapsed="false">
      <c r="A527" s="92" t="str">
        <f aca="false">SRC_Price!$A94&amp;""</f>
        <v/>
      </c>
      <c r="B527" s="62" t="s">
        <v>3388</v>
      </c>
      <c r="C527" s="61" t="n">
        <v>94</v>
      </c>
      <c r="D527" s="92" t="n">
        <f aca="false">SRC_Price!$O94</f>
        <v>0</v>
      </c>
      <c r="E527" s="92" t="n">
        <f aca="false">SRC_Price!$K94</f>
        <v>0</v>
      </c>
      <c r="F527" s="92" t="n">
        <f aca="false">SRC_Price!$S94</f>
        <v>0</v>
      </c>
    </row>
    <row r="528" customFormat="false" ht="15" hidden="false" customHeight="false" outlineLevel="0" collapsed="false">
      <c r="A528" s="92" t="str">
        <f aca="false">SRC_Price!$A95&amp;""</f>
        <v/>
      </c>
      <c r="B528" s="62" t="s">
        <v>3388</v>
      </c>
      <c r="C528" s="61" t="n">
        <v>95</v>
      </c>
      <c r="D528" s="92" t="n">
        <f aca="false">SRC_Price!$O95</f>
        <v>0</v>
      </c>
      <c r="E528" s="92" t="n">
        <f aca="false">SRC_Price!$K95</f>
        <v>0</v>
      </c>
      <c r="F528" s="92" t="n">
        <f aca="false">SRC_Price!$S95</f>
        <v>0</v>
      </c>
    </row>
    <row r="529" customFormat="false" ht="15" hidden="false" customHeight="false" outlineLevel="0" collapsed="false">
      <c r="A529" s="92" t="str">
        <f aca="false">SRC_Price!$A96&amp;""</f>
        <v/>
      </c>
      <c r="B529" s="62" t="s">
        <v>3388</v>
      </c>
      <c r="C529" s="61" t="n">
        <v>96</v>
      </c>
      <c r="D529" s="92" t="n">
        <f aca="false">SRC_Price!$O96</f>
        <v>0</v>
      </c>
      <c r="E529" s="92" t="n">
        <f aca="false">SRC_Price!$K96</f>
        <v>0</v>
      </c>
      <c r="F529" s="92" t="n">
        <f aca="false">SRC_Price!$S96</f>
        <v>0</v>
      </c>
    </row>
    <row r="530" customFormat="false" ht="15" hidden="false" customHeight="false" outlineLevel="0" collapsed="false">
      <c r="A530" s="92" t="str">
        <f aca="false">SRC_Price!$A97&amp;""</f>
        <v/>
      </c>
      <c r="B530" s="62" t="s">
        <v>3388</v>
      </c>
      <c r="C530" s="61" t="n">
        <v>97</v>
      </c>
      <c r="D530" s="92" t="n">
        <f aca="false">SRC_Price!$O97</f>
        <v>0</v>
      </c>
      <c r="E530" s="92" t="n">
        <f aca="false">SRC_Price!$K97</f>
        <v>0</v>
      </c>
      <c r="F530" s="92" t="n">
        <f aca="false">SRC_Price!$S97</f>
        <v>0</v>
      </c>
    </row>
    <row r="531" customFormat="false" ht="15" hidden="false" customHeight="false" outlineLevel="0" collapsed="false">
      <c r="A531" s="92" t="str">
        <f aca="false">SRC_Price!$A98&amp;""</f>
        <v/>
      </c>
      <c r="B531" s="62" t="s">
        <v>3388</v>
      </c>
      <c r="C531" s="61" t="n">
        <v>98</v>
      </c>
      <c r="D531" s="92" t="n">
        <f aca="false">SRC_Price!$O98</f>
        <v>0</v>
      </c>
      <c r="E531" s="92" t="n">
        <f aca="false">SRC_Price!$K98</f>
        <v>0</v>
      </c>
      <c r="F531" s="92" t="n">
        <f aca="false">SRC_Price!$S98</f>
        <v>0</v>
      </c>
    </row>
    <row r="532" customFormat="false" ht="15" hidden="false" customHeight="false" outlineLevel="0" collapsed="false">
      <c r="A532" s="92" t="str">
        <f aca="false">SRC_Price!$A99&amp;""</f>
        <v/>
      </c>
      <c r="B532" s="62" t="s">
        <v>3388</v>
      </c>
      <c r="C532" s="61" t="n">
        <v>99</v>
      </c>
      <c r="D532" s="92" t="n">
        <f aca="false">SRC_Price!$O99</f>
        <v>0</v>
      </c>
      <c r="E532" s="92" t="n">
        <f aca="false">SRC_Price!$K99</f>
        <v>0</v>
      </c>
      <c r="F532" s="92" t="n">
        <f aca="false">SRC_Price!$S99</f>
        <v>0</v>
      </c>
    </row>
    <row r="533" customFormat="false" ht="15" hidden="false" customHeight="false" outlineLevel="0" collapsed="false">
      <c r="A533" s="92" t="str">
        <f aca="false">SRC_Price!$A100&amp;""</f>
        <v/>
      </c>
      <c r="B533" s="62" t="s">
        <v>3388</v>
      </c>
      <c r="C533" s="61" t="n">
        <v>100</v>
      </c>
      <c r="D533" s="92" t="n">
        <f aca="false">SRC_Price!$O100</f>
        <v>0</v>
      </c>
      <c r="E533" s="92" t="n">
        <f aca="false">SRC_Price!$K100</f>
        <v>0</v>
      </c>
      <c r="F533" s="92" t="n">
        <f aca="false">SRC_Price!$S100</f>
        <v>0</v>
      </c>
    </row>
    <row r="534" customFormat="false" ht="15" hidden="false" customHeight="false" outlineLevel="0" collapsed="false">
      <c r="A534" s="92" t="str">
        <f aca="false">SRC_Cap!$A5&amp;""</f>
        <v>SRC_CAP_001</v>
      </c>
      <c r="B534" s="62" t="s">
        <v>10482</v>
      </c>
      <c r="C534" s="61" t="n">
        <v>5</v>
      </c>
      <c r="D534" s="92" t="str">
        <f aca="false">SRC_Cap!$O5</f>
        <v>Active</v>
      </c>
      <c r="E534" s="92" t="n">
        <f aca="false">SRC_Cap!$K5</f>
        <v>2</v>
      </c>
      <c r="F534" s="92" t="str">
        <f aca="false">SRC_Cap!$S5</f>
        <v>—</v>
      </c>
    </row>
    <row r="535" customFormat="false" ht="15" hidden="false" customHeight="false" outlineLevel="0" collapsed="false">
      <c r="A535" s="92" t="str">
        <f aca="false">SRC_Cap!$A6&amp;""</f>
        <v>SRC_CAP_002</v>
      </c>
      <c r="B535" s="62" t="s">
        <v>10482</v>
      </c>
      <c r="C535" s="61" t="n">
        <v>6</v>
      </c>
      <c r="D535" s="92" t="str">
        <f aca="false">SRC_Cap!$O6</f>
        <v>Active</v>
      </c>
      <c r="E535" s="92" t="n">
        <f aca="false">SRC_Cap!$K6</f>
        <v>2</v>
      </c>
      <c r="F535" s="92" t="str">
        <f aca="false">SRC_Cap!$S6</f>
        <v>—</v>
      </c>
    </row>
    <row r="536" customFormat="false" ht="15" hidden="false" customHeight="false" outlineLevel="0" collapsed="false">
      <c r="A536" s="92" t="str">
        <f aca="false">SRC_Cap!$A7&amp;""</f>
        <v>SRC_CAP_003</v>
      </c>
      <c r="B536" s="62" t="s">
        <v>10482</v>
      </c>
      <c r="C536" s="61" t="n">
        <v>7</v>
      </c>
      <c r="D536" s="92" t="str">
        <f aca="false">SRC_Cap!$O7</f>
        <v>Active</v>
      </c>
      <c r="E536" s="92" t="n">
        <f aca="false">SRC_Cap!$K7</f>
        <v>2</v>
      </c>
      <c r="F536" s="92" t="str">
        <f aca="false">SRC_Cap!$S7</f>
        <v>—</v>
      </c>
    </row>
    <row r="537" customFormat="false" ht="15" hidden="false" customHeight="false" outlineLevel="0" collapsed="false">
      <c r="A537" s="92" t="str">
        <f aca="false">SRC_Cap!$A8&amp;""</f>
        <v>SRC_CAP_004</v>
      </c>
      <c r="B537" s="62" t="s">
        <v>10482</v>
      </c>
      <c r="C537" s="61" t="n">
        <v>8</v>
      </c>
      <c r="D537" s="92" t="str">
        <f aca="false">SRC_Cap!$O8</f>
        <v>Active</v>
      </c>
      <c r="E537" s="92" t="n">
        <f aca="false">SRC_Cap!$K8</f>
        <v>2</v>
      </c>
      <c r="F537" s="92" t="str">
        <f aca="false">SRC_Cap!$S8</f>
        <v>—</v>
      </c>
    </row>
    <row r="538" customFormat="false" ht="15" hidden="false" customHeight="false" outlineLevel="0" collapsed="false">
      <c r="A538" s="92" t="str">
        <f aca="false">SRC_Cap!$A9&amp;""</f>
        <v>SRC_CAP_005</v>
      </c>
      <c r="B538" s="62" t="s">
        <v>10482</v>
      </c>
      <c r="C538" s="61" t="n">
        <v>9</v>
      </c>
      <c r="D538" s="92" t="str">
        <f aca="false">SRC_Cap!$O9</f>
        <v>Active</v>
      </c>
      <c r="E538" s="92" t="n">
        <f aca="false">SRC_Cap!$K9</f>
        <v>2</v>
      </c>
      <c r="F538" s="92" t="str">
        <f aca="false">SRC_Cap!$S9</f>
        <v>—</v>
      </c>
    </row>
    <row r="539" customFormat="false" ht="15" hidden="false" customHeight="false" outlineLevel="0" collapsed="false">
      <c r="A539" s="92" t="str">
        <f aca="false">SRC_Cap!$A10&amp;""</f>
        <v>SRC_CAP_006</v>
      </c>
      <c r="B539" s="62" t="s">
        <v>10482</v>
      </c>
      <c r="C539" s="61" t="n">
        <v>10</v>
      </c>
      <c r="D539" s="92" t="str">
        <f aca="false">SRC_Cap!$O10</f>
        <v>Active</v>
      </c>
      <c r="E539" s="92" t="n">
        <f aca="false">SRC_Cap!$K10</f>
        <v>2</v>
      </c>
      <c r="F539" s="92" t="str">
        <f aca="false">SRC_Cap!$S10</f>
        <v>—</v>
      </c>
    </row>
    <row r="540" customFormat="false" ht="15" hidden="false" customHeight="false" outlineLevel="0" collapsed="false">
      <c r="A540" s="92" t="str">
        <f aca="false">SRC_Cap!$A11&amp;""</f>
        <v>SRC_CAP_007</v>
      </c>
      <c r="B540" s="62" t="s">
        <v>10482</v>
      </c>
      <c r="C540" s="61" t="n">
        <v>11</v>
      </c>
      <c r="D540" s="92" t="str">
        <f aca="false">SRC_Cap!$O11</f>
        <v>Active</v>
      </c>
      <c r="E540" s="92" t="n">
        <f aca="false">SRC_Cap!$K11</f>
        <v>2</v>
      </c>
      <c r="F540" s="92" t="str">
        <f aca="false">SRC_Cap!$S11</f>
        <v>—</v>
      </c>
    </row>
    <row r="541" customFormat="false" ht="15" hidden="false" customHeight="false" outlineLevel="0" collapsed="false">
      <c r="A541" s="92" t="str">
        <f aca="false">SRC_Cap!$A12&amp;""</f>
        <v>SRC_CAP_008</v>
      </c>
      <c r="B541" s="62" t="s">
        <v>10482</v>
      </c>
      <c r="C541" s="61" t="n">
        <v>12</v>
      </c>
      <c r="D541" s="92" t="str">
        <f aca="false">SRC_Cap!$O12</f>
        <v>Active</v>
      </c>
      <c r="E541" s="92" t="n">
        <f aca="false">SRC_Cap!$K12</f>
        <v>1</v>
      </c>
      <c r="F541" s="92" t="str">
        <f aca="false">SRC_Cap!$S12</f>
        <v>2026-10-05</v>
      </c>
    </row>
    <row r="542" customFormat="false" ht="15" hidden="false" customHeight="false" outlineLevel="0" collapsed="false">
      <c r="A542" s="92" t="str">
        <f aca="false">SRC_Cap!$A13&amp;""</f>
        <v>SRC_CAP_009</v>
      </c>
      <c r="B542" s="62" t="s">
        <v>10482</v>
      </c>
      <c r="C542" s="61" t="n">
        <v>13</v>
      </c>
      <c r="D542" s="92" t="str">
        <f aca="false">SRC_Cap!$O13</f>
        <v>Active</v>
      </c>
      <c r="E542" s="92" t="n">
        <f aca="false">SRC_Cap!$K13</f>
        <v>3</v>
      </c>
      <c r="F542" s="92" t="str">
        <f aca="false">SRC_Cap!$S13</f>
        <v>—</v>
      </c>
    </row>
    <row r="543" customFormat="false" ht="15" hidden="false" customHeight="false" outlineLevel="0" collapsed="false">
      <c r="A543" s="92" t="str">
        <f aca="false">SRC_Cap!$A14&amp;""</f>
        <v>SRC_CAP_010</v>
      </c>
      <c r="B543" s="62" t="s">
        <v>10482</v>
      </c>
      <c r="C543" s="61" t="n">
        <v>14</v>
      </c>
      <c r="D543" s="92" t="str">
        <f aca="false">SRC_Cap!$O14</f>
        <v>Active</v>
      </c>
      <c r="E543" s="92" t="n">
        <f aca="false">SRC_Cap!$K14</f>
        <v>3</v>
      </c>
      <c r="F543" s="92" t="str">
        <f aca="false">SRC_Cap!$S14</f>
        <v>—</v>
      </c>
    </row>
    <row r="544" customFormat="false" ht="15" hidden="false" customHeight="false" outlineLevel="0" collapsed="false">
      <c r="A544" s="92" t="str">
        <f aca="false">SRC_Cap!$A15&amp;""</f>
        <v>SRC_CAP_011</v>
      </c>
      <c r="B544" s="62" t="s">
        <v>10482</v>
      </c>
      <c r="C544" s="61" t="n">
        <v>15</v>
      </c>
      <c r="D544" s="92" t="str">
        <f aca="false">SRC_Cap!$O15</f>
        <v>Active</v>
      </c>
      <c r="E544" s="92" t="n">
        <f aca="false">SRC_Cap!$K15</f>
        <v>1</v>
      </c>
      <c r="F544" s="92" t="str">
        <f aca="false">SRC_Cap!$S15</f>
        <v>2026-10-05</v>
      </c>
    </row>
    <row r="545" customFormat="false" ht="15" hidden="false" customHeight="false" outlineLevel="0" collapsed="false">
      <c r="A545" s="92" t="str">
        <f aca="false">SRC_Cap!$A16&amp;""</f>
        <v>SRC_CAP_012</v>
      </c>
      <c r="B545" s="62" t="s">
        <v>10482</v>
      </c>
      <c r="C545" s="61" t="n">
        <v>16</v>
      </c>
      <c r="D545" s="92" t="str">
        <f aca="false">SRC_Cap!$O16</f>
        <v>Active</v>
      </c>
      <c r="E545" s="92" t="n">
        <f aca="false">SRC_Cap!$K16</f>
        <v>2</v>
      </c>
      <c r="F545" s="92" t="str">
        <f aca="false">SRC_Cap!$S16</f>
        <v>—</v>
      </c>
    </row>
    <row r="546" customFormat="false" ht="15" hidden="false" customHeight="false" outlineLevel="0" collapsed="false">
      <c r="A546" s="92" t="str">
        <f aca="false">SRC_Cap!$A17&amp;""</f>
        <v>SRC_CAP_013</v>
      </c>
      <c r="B546" s="62" t="s">
        <v>10482</v>
      </c>
      <c r="C546" s="61" t="n">
        <v>17</v>
      </c>
      <c r="D546" s="92" t="str">
        <f aca="false">SRC_Cap!$O17</f>
        <v>Active</v>
      </c>
      <c r="E546" s="92" t="n">
        <f aca="false">SRC_Cap!$K17</f>
        <v>2</v>
      </c>
      <c r="F546" s="92" t="str">
        <f aca="false">SRC_Cap!$S17</f>
        <v>—</v>
      </c>
    </row>
    <row r="547" customFormat="false" ht="15" hidden="false" customHeight="false" outlineLevel="0" collapsed="false">
      <c r="A547" s="92" t="str">
        <f aca="false">SRC_Cap!$A18&amp;""</f>
        <v>SRC_CAP_014</v>
      </c>
      <c r="B547" s="62" t="s">
        <v>10482</v>
      </c>
      <c r="C547" s="61" t="n">
        <v>18</v>
      </c>
      <c r="D547" s="92" t="str">
        <f aca="false">SRC_Cap!$O18</f>
        <v>Active</v>
      </c>
      <c r="E547" s="92" t="n">
        <f aca="false">SRC_Cap!$K18</f>
        <v>2</v>
      </c>
      <c r="F547" s="92" t="str">
        <f aca="false">SRC_Cap!$S18</f>
        <v>—</v>
      </c>
    </row>
    <row r="548" customFormat="false" ht="15" hidden="false" customHeight="false" outlineLevel="0" collapsed="false">
      <c r="A548" s="92" t="str">
        <f aca="false">SRC_Cap!$A19&amp;""</f>
        <v>SRC_CAP_015</v>
      </c>
      <c r="B548" s="62" t="s">
        <v>10482</v>
      </c>
      <c r="C548" s="61" t="n">
        <v>19</v>
      </c>
      <c r="D548" s="92" t="str">
        <f aca="false">SRC_Cap!$O19</f>
        <v>Active</v>
      </c>
      <c r="E548" s="92" t="n">
        <f aca="false">SRC_Cap!$K19</f>
        <v>2</v>
      </c>
      <c r="F548" s="92" t="str">
        <f aca="false">SRC_Cap!$S19</f>
        <v>—</v>
      </c>
    </row>
    <row r="549" customFormat="false" ht="15" hidden="false" customHeight="false" outlineLevel="0" collapsed="false">
      <c r="A549" s="92" t="str">
        <f aca="false">SRC_Cap!$A20&amp;""</f>
        <v>SRC_CAP_016</v>
      </c>
      <c r="B549" s="62" t="s">
        <v>10482</v>
      </c>
      <c r="C549" s="61" t="n">
        <v>20</v>
      </c>
      <c r="D549" s="92" t="str">
        <f aca="false">SRC_Cap!$O20</f>
        <v>Active</v>
      </c>
      <c r="E549" s="92" t="n">
        <f aca="false">SRC_Cap!$K20</f>
        <v>2</v>
      </c>
      <c r="F549" s="92" t="str">
        <f aca="false">SRC_Cap!$S20</f>
        <v>—</v>
      </c>
    </row>
    <row r="550" customFormat="false" ht="15" hidden="false" customHeight="false" outlineLevel="0" collapsed="false">
      <c r="A550" s="92" t="str">
        <f aca="false">SRC_Cap!$A21&amp;""</f>
        <v>SRC_CAP_017</v>
      </c>
      <c r="B550" s="62" t="s">
        <v>10482</v>
      </c>
      <c r="C550" s="61" t="n">
        <v>21</v>
      </c>
      <c r="D550" s="92" t="str">
        <f aca="false">SRC_Cap!$O21</f>
        <v>Active</v>
      </c>
      <c r="E550" s="92" t="n">
        <f aca="false">SRC_Cap!$K21</f>
        <v>2</v>
      </c>
      <c r="F550" s="92" t="str">
        <f aca="false">SRC_Cap!$S21</f>
        <v>—</v>
      </c>
    </row>
    <row r="551" customFormat="false" ht="15" hidden="false" customHeight="false" outlineLevel="0" collapsed="false">
      <c r="A551" s="92" t="str">
        <f aca="false">SRC_Cap!$A22&amp;""</f>
        <v>SRC_CAP_018</v>
      </c>
      <c r="B551" s="62" t="s">
        <v>10482</v>
      </c>
      <c r="C551" s="61" t="n">
        <v>22</v>
      </c>
      <c r="D551" s="92" t="str">
        <f aca="false">SRC_Cap!$O22</f>
        <v>Active</v>
      </c>
      <c r="E551" s="92" t="n">
        <f aca="false">SRC_Cap!$K22</f>
        <v>2</v>
      </c>
      <c r="F551" s="92" t="str">
        <f aca="false">SRC_Cap!$S22</f>
        <v>—</v>
      </c>
    </row>
    <row r="552" customFormat="false" ht="15" hidden="false" customHeight="false" outlineLevel="0" collapsed="false">
      <c r="A552" s="92" t="str">
        <f aca="false">SRC_Cap!$A23&amp;""</f>
        <v>SRC_CAP_019</v>
      </c>
      <c r="B552" s="62" t="s">
        <v>10482</v>
      </c>
      <c r="C552" s="61" t="n">
        <v>23</v>
      </c>
      <c r="D552" s="92" t="str">
        <f aca="false">SRC_Cap!$O23</f>
        <v>Active</v>
      </c>
      <c r="E552" s="92" t="n">
        <f aca="false">SRC_Cap!$K23</f>
        <v>2</v>
      </c>
      <c r="F552" s="92" t="str">
        <f aca="false">SRC_Cap!$S23</f>
        <v>—</v>
      </c>
    </row>
    <row r="553" customFormat="false" ht="15" hidden="false" customHeight="false" outlineLevel="0" collapsed="false">
      <c r="A553" s="92" t="str">
        <f aca="false">SRC_Cap!$A24&amp;""</f>
        <v>SRC_CAP_020</v>
      </c>
      <c r="B553" s="62" t="s">
        <v>10482</v>
      </c>
      <c r="C553" s="61" t="n">
        <v>24</v>
      </c>
      <c r="D553" s="92" t="str">
        <f aca="false">SRC_Cap!$O24</f>
        <v>Active</v>
      </c>
      <c r="E553" s="92" t="n">
        <f aca="false">SRC_Cap!$K24</f>
        <v>2</v>
      </c>
      <c r="F553" s="92" t="str">
        <f aca="false">SRC_Cap!$S24</f>
        <v>—</v>
      </c>
    </row>
    <row r="554" customFormat="false" ht="15" hidden="false" customHeight="false" outlineLevel="0" collapsed="false">
      <c r="A554" s="92" t="str">
        <f aca="false">SRC_Cap!$A25&amp;""</f>
        <v>SRC_CAP_021</v>
      </c>
      <c r="B554" s="62" t="s">
        <v>10482</v>
      </c>
      <c r="C554" s="61" t="n">
        <v>25</v>
      </c>
      <c r="D554" s="92" t="str">
        <f aca="false">SRC_Cap!$O25</f>
        <v>Active</v>
      </c>
      <c r="E554" s="92" t="n">
        <f aca="false">SRC_Cap!$K25</f>
        <v>2</v>
      </c>
      <c r="F554" s="92" t="str">
        <f aca="false">SRC_Cap!$S25</f>
        <v>—</v>
      </c>
    </row>
    <row r="555" customFormat="false" ht="15" hidden="false" customHeight="false" outlineLevel="0" collapsed="false">
      <c r="A555" s="92" t="str">
        <f aca="false">SRC_Cap!$A26&amp;""</f>
        <v/>
      </c>
      <c r="B555" s="62" t="s">
        <v>10482</v>
      </c>
      <c r="C555" s="61" t="n">
        <v>26</v>
      </c>
      <c r="D555" s="92" t="n">
        <f aca="false">SRC_Cap!$O26</f>
        <v>0</v>
      </c>
      <c r="E555" s="92" t="n">
        <f aca="false">SRC_Cap!$K26</f>
        <v>0</v>
      </c>
      <c r="F555" s="92" t="n">
        <f aca="false">SRC_Cap!$S26</f>
        <v>0</v>
      </c>
    </row>
    <row r="556" customFormat="false" ht="15" hidden="false" customHeight="false" outlineLevel="0" collapsed="false">
      <c r="A556" s="92" t="str">
        <f aca="false">SRC_Cap!$A27&amp;""</f>
        <v/>
      </c>
      <c r="B556" s="62" t="s">
        <v>10482</v>
      </c>
      <c r="C556" s="61" t="n">
        <v>27</v>
      </c>
      <c r="D556" s="92" t="n">
        <f aca="false">SRC_Cap!$O27</f>
        <v>0</v>
      </c>
      <c r="E556" s="92" t="n">
        <f aca="false">SRC_Cap!$K27</f>
        <v>0</v>
      </c>
      <c r="F556" s="92" t="n">
        <f aca="false">SRC_Cap!$S27</f>
        <v>0</v>
      </c>
    </row>
    <row r="557" customFormat="false" ht="15" hidden="false" customHeight="false" outlineLevel="0" collapsed="false">
      <c r="A557" s="92" t="str">
        <f aca="false">SRC_Cap!$A28&amp;""</f>
        <v/>
      </c>
      <c r="B557" s="62" t="s">
        <v>10482</v>
      </c>
      <c r="C557" s="61" t="n">
        <v>28</v>
      </c>
      <c r="D557" s="92" t="n">
        <f aca="false">SRC_Cap!$O28</f>
        <v>0</v>
      </c>
      <c r="E557" s="92" t="n">
        <f aca="false">SRC_Cap!$K28</f>
        <v>0</v>
      </c>
      <c r="F557" s="92" t="n">
        <f aca="false">SRC_Cap!$S28</f>
        <v>0</v>
      </c>
    </row>
    <row r="558" customFormat="false" ht="15" hidden="false" customHeight="false" outlineLevel="0" collapsed="false">
      <c r="A558" s="92" t="str">
        <f aca="false">SRC_Cap!$A29&amp;""</f>
        <v/>
      </c>
      <c r="B558" s="62" t="s">
        <v>10482</v>
      </c>
      <c r="C558" s="61" t="n">
        <v>29</v>
      </c>
      <c r="D558" s="92" t="n">
        <f aca="false">SRC_Cap!$O29</f>
        <v>0</v>
      </c>
      <c r="E558" s="92" t="n">
        <f aca="false">SRC_Cap!$K29</f>
        <v>0</v>
      </c>
      <c r="F558" s="92" t="n">
        <f aca="false">SRC_Cap!$S29</f>
        <v>0</v>
      </c>
    </row>
    <row r="559" customFormat="false" ht="15" hidden="false" customHeight="false" outlineLevel="0" collapsed="false">
      <c r="A559" s="92" t="str">
        <f aca="false">SRC_Cap!$A30&amp;""</f>
        <v/>
      </c>
      <c r="B559" s="62" t="s">
        <v>10482</v>
      </c>
      <c r="C559" s="61" t="n">
        <v>30</v>
      </c>
      <c r="D559" s="92" t="n">
        <f aca="false">SRC_Cap!$O30</f>
        <v>0</v>
      </c>
      <c r="E559" s="92" t="n">
        <f aca="false">SRC_Cap!$K30</f>
        <v>0</v>
      </c>
      <c r="F559" s="92" t="n">
        <f aca="false">SRC_Cap!$S30</f>
        <v>0</v>
      </c>
    </row>
    <row r="560" customFormat="false" ht="15" hidden="false" customHeight="false" outlineLevel="0" collapsed="false">
      <c r="A560" s="92" t="str">
        <f aca="false">SRC_Cap!$A31&amp;""</f>
        <v/>
      </c>
      <c r="B560" s="62" t="s">
        <v>10482</v>
      </c>
      <c r="C560" s="61" t="n">
        <v>31</v>
      </c>
      <c r="D560" s="92" t="n">
        <f aca="false">SRC_Cap!$O31</f>
        <v>0</v>
      </c>
      <c r="E560" s="92" t="n">
        <f aca="false">SRC_Cap!$K31</f>
        <v>0</v>
      </c>
      <c r="F560" s="92" t="n">
        <f aca="false">SRC_Cap!$S31</f>
        <v>0</v>
      </c>
    </row>
    <row r="561" customFormat="false" ht="15" hidden="false" customHeight="false" outlineLevel="0" collapsed="false">
      <c r="A561" s="92" t="str">
        <f aca="false">SRC_Cap!$A32&amp;""</f>
        <v/>
      </c>
      <c r="B561" s="62" t="s">
        <v>10482</v>
      </c>
      <c r="C561" s="61" t="n">
        <v>32</v>
      </c>
      <c r="D561" s="92" t="n">
        <f aca="false">SRC_Cap!$O32</f>
        <v>0</v>
      </c>
      <c r="E561" s="92" t="n">
        <f aca="false">SRC_Cap!$K32</f>
        <v>0</v>
      </c>
      <c r="F561" s="92" t="n">
        <f aca="false">SRC_Cap!$S32</f>
        <v>0</v>
      </c>
    </row>
    <row r="562" customFormat="false" ht="15" hidden="false" customHeight="false" outlineLevel="0" collapsed="false">
      <c r="A562" s="92" t="str">
        <f aca="false">SRC_Cap!$A33&amp;""</f>
        <v/>
      </c>
      <c r="B562" s="62" t="s">
        <v>10482</v>
      </c>
      <c r="C562" s="61" t="n">
        <v>33</v>
      </c>
      <c r="D562" s="92" t="n">
        <f aca="false">SRC_Cap!$O33</f>
        <v>0</v>
      </c>
      <c r="E562" s="92" t="n">
        <f aca="false">SRC_Cap!$K33</f>
        <v>0</v>
      </c>
      <c r="F562" s="92" t="n">
        <f aca="false">SRC_Cap!$S33</f>
        <v>0</v>
      </c>
    </row>
    <row r="563" customFormat="false" ht="15" hidden="false" customHeight="false" outlineLevel="0" collapsed="false">
      <c r="A563" s="92" t="str">
        <f aca="false">SRC_Cap!$A34&amp;""</f>
        <v/>
      </c>
      <c r="B563" s="62" t="s">
        <v>10482</v>
      </c>
      <c r="C563" s="61" t="n">
        <v>34</v>
      </c>
      <c r="D563" s="92" t="n">
        <f aca="false">SRC_Cap!$O34</f>
        <v>0</v>
      </c>
      <c r="E563" s="92" t="n">
        <f aca="false">SRC_Cap!$K34</f>
        <v>0</v>
      </c>
      <c r="F563" s="92" t="n">
        <f aca="false">SRC_Cap!$S34</f>
        <v>0</v>
      </c>
    </row>
    <row r="564" customFormat="false" ht="15" hidden="false" customHeight="false" outlineLevel="0" collapsed="false">
      <c r="A564" s="92" t="str">
        <f aca="false">SRC_Cap!$A35&amp;""</f>
        <v/>
      </c>
      <c r="B564" s="62" t="s">
        <v>10482</v>
      </c>
      <c r="C564" s="61" t="n">
        <v>35</v>
      </c>
      <c r="D564" s="92" t="n">
        <f aca="false">SRC_Cap!$O35</f>
        <v>0</v>
      </c>
      <c r="E564" s="92" t="n">
        <f aca="false">SRC_Cap!$K35</f>
        <v>0</v>
      </c>
      <c r="F564" s="92" t="n">
        <f aca="false">SRC_Cap!$S35</f>
        <v>0</v>
      </c>
    </row>
    <row r="565" customFormat="false" ht="15" hidden="false" customHeight="false" outlineLevel="0" collapsed="false">
      <c r="A565" s="92" t="str">
        <f aca="false">SRC_Cap!$A36&amp;""</f>
        <v/>
      </c>
      <c r="B565" s="62" t="s">
        <v>10482</v>
      </c>
      <c r="C565" s="61" t="n">
        <v>36</v>
      </c>
      <c r="D565" s="92" t="n">
        <f aca="false">SRC_Cap!$O36</f>
        <v>0</v>
      </c>
      <c r="E565" s="92" t="n">
        <f aca="false">SRC_Cap!$K36</f>
        <v>0</v>
      </c>
      <c r="F565" s="92" t="n">
        <f aca="false">SRC_Cap!$S36</f>
        <v>0</v>
      </c>
    </row>
    <row r="566" customFormat="false" ht="15" hidden="false" customHeight="false" outlineLevel="0" collapsed="false">
      <c r="A566" s="92" t="str">
        <f aca="false">SRC_Cap!$A37&amp;""</f>
        <v/>
      </c>
      <c r="B566" s="62" t="s">
        <v>10482</v>
      </c>
      <c r="C566" s="61" t="n">
        <v>37</v>
      </c>
      <c r="D566" s="92" t="n">
        <f aca="false">SRC_Cap!$O37</f>
        <v>0</v>
      </c>
      <c r="E566" s="92" t="n">
        <f aca="false">SRC_Cap!$K37</f>
        <v>0</v>
      </c>
      <c r="F566" s="92" t="n">
        <f aca="false">SRC_Cap!$S37</f>
        <v>0</v>
      </c>
    </row>
    <row r="567" customFormat="false" ht="15" hidden="false" customHeight="false" outlineLevel="0" collapsed="false">
      <c r="A567" s="92" t="str">
        <f aca="false">SRC_Cap!$A38&amp;""</f>
        <v/>
      </c>
      <c r="B567" s="62" t="s">
        <v>10482</v>
      </c>
      <c r="C567" s="61" t="n">
        <v>38</v>
      </c>
      <c r="D567" s="92" t="n">
        <f aca="false">SRC_Cap!$O38</f>
        <v>0</v>
      </c>
      <c r="E567" s="92" t="n">
        <f aca="false">SRC_Cap!$K38</f>
        <v>0</v>
      </c>
      <c r="F567" s="92" t="n">
        <f aca="false">SRC_Cap!$S38</f>
        <v>0</v>
      </c>
    </row>
    <row r="568" customFormat="false" ht="15" hidden="false" customHeight="false" outlineLevel="0" collapsed="false">
      <c r="A568" s="92" t="str">
        <f aca="false">SRC_Cap!$A39&amp;""</f>
        <v/>
      </c>
      <c r="B568" s="62" t="s">
        <v>10482</v>
      </c>
      <c r="C568" s="61" t="n">
        <v>39</v>
      </c>
      <c r="D568" s="92" t="n">
        <f aca="false">SRC_Cap!$O39</f>
        <v>0</v>
      </c>
      <c r="E568" s="92" t="n">
        <f aca="false">SRC_Cap!$K39</f>
        <v>0</v>
      </c>
      <c r="F568" s="92" t="n">
        <f aca="false">SRC_Cap!$S39</f>
        <v>0</v>
      </c>
    </row>
    <row r="569" customFormat="false" ht="15" hidden="false" customHeight="false" outlineLevel="0" collapsed="false">
      <c r="A569" s="92" t="str">
        <f aca="false">SRC_Cap!$A40&amp;""</f>
        <v/>
      </c>
      <c r="B569" s="62" t="s">
        <v>10482</v>
      </c>
      <c r="C569" s="61" t="n">
        <v>40</v>
      </c>
      <c r="D569" s="92" t="n">
        <f aca="false">SRC_Cap!$O40</f>
        <v>0</v>
      </c>
      <c r="E569" s="92" t="n">
        <f aca="false">SRC_Cap!$K40</f>
        <v>0</v>
      </c>
      <c r="F569" s="92" t="n">
        <f aca="false">SRC_Cap!$S40</f>
        <v>0</v>
      </c>
    </row>
    <row r="570" customFormat="false" ht="15" hidden="false" customHeight="false" outlineLevel="0" collapsed="false">
      <c r="A570" s="92" t="str">
        <f aca="false">SRC_Cap!$A41&amp;""</f>
        <v/>
      </c>
      <c r="B570" s="62" t="s">
        <v>10482</v>
      </c>
      <c r="C570" s="61" t="n">
        <v>41</v>
      </c>
      <c r="D570" s="92" t="n">
        <f aca="false">SRC_Cap!$O41</f>
        <v>0</v>
      </c>
      <c r="E570" s="92" t="n">
        <f aca="false">SRC_Cap!$K41</f>
        <v>0</v>
      </c>
      <c r="F570" s="92" t="n">
        <f aca="false">SRC_Cap!$S41</f>
        <v>0</v>
      </c>
    </row>
    <row r="571" customFormat="false" ht="15" hidden="false" customHeight="false" outlineLevel="0" collapsed="false">
      <c r="A571" s="92" t="str">
        <f aca="false">SRC_Cap!$A42&amp;""</f>
        <v/>
      </c>
      <c r="B571" s="62" t="s">
        <v>10482</v>
      </c>
      <c r="C571" s="61" t="n">
        <v>42</v>
      </c>
      <c r="D571" s="92" t="n">
        <f aca="false">SRC_Cap!$O42</f>
        <v>0</v>
      </c>
      <c r="E571" s="92" t="n">
        <f aca="false">SRC_Cap!$K42</f>
        <v>0</v>
      </c>
      <c r="F571" s="92" t="n">
        <f aca="false">SRC_Cap!$S42</f>
        <v>0</v>
      </c>
    </row>
    <row r="572" customFormat="false" ht="15" hidden="false" customHeight="false" outlineLevel="0" collapsed="false">
      <c r="A572" s="92" t="str">
        <f aca="false">SRC_Cap!$A43&amp;""</f>
        <v/>
      </c>
      <c r="B572" s="62" t="s">
        <v>10482</v>
      </c>
      <c r="C572" s="61" t="n">
        <v>43</v>
      </c>
      <c r="D572" s="92" t="n">
        <f aca="false">SRC_Cap!$O43</f>
        <v>0</v>
      </c>
      <c r="E572" s="92" t="n">
        <f aca="false">SRC_Cap!$K43</f>
        <v>0</v>
      </c>
      <c r="F572" s="92" t="n">
        <f aca="false">SRC_Cap!$S43</f>
        <v>0</v>
      </c>
    </row>
    <row r="573" customFormat="false" ht="15" hidden="false" customHeight="false" outlineLevel="0" collapsed="false">
      <c r="A573" s="92" t="str">
        <f aca="false">SRC_Cap!$A44&amp;""</f>
        <v/>
      </c>
      <c r="B573" s="62" t="s">
        <v>10482</v>
      </c>
      <c r="C573" s="61" t="n">
        <v>44</v>
      </c>
      <c r="D573" s="92" t="n">
        <f aca="false">SRC_Cap!$O44</f>
        <v>0</v>
      </c>
      <c r="E573" s="92" t="n">
        <f aca="false">SRC_Cap!$K44</f>
        <v>0</v>
      </c>
      <c r="F573" s="92" t="n">
        <f aca="false">SRC_Cap!$S44</f>
        <v>0</v>
      </c>
    </row>
    <row r="574" customFormat="false" ht="15" hidden="false" customHeight="false" outlineLevel="0" collapsed="false">
      <c r="A574" s="92" t="str">
        <f aca="false">SRC_Cap!$A45&amp;""</f>
        <v/>
      </c>
      <c r="B574" s="62" t="s">
        <v>10482</v>
      </c>
      <c r="C574" s="61" t="n">
        <v>45</v>
      </c>
      <c r="D574" s="92" t="n">
        <f aca="false">SRC_Cap!$O45</f>
        <v>0</v>
      </c>
      <c r="E574" s="92" t="n">
        <f aca="false">SRC_Cap!$K45</f>
        <v>0</v>
      </c>
      <c r="F574" s="92" t="n">
        <f aca="false">SRC_Cap!$S45</f>
        <v>0</v>
      </c>
    </row>
    <row r="575" customFormat="false" ht="15" hidden="false" customHeight="false" outlineLevel="0" collapsed="false">
      <c r="A575" s="92" t="str">
        <f aca="false">SRC_Cap!$A46&amp;""</f>
        <v/>
      </c>
      <c r="B575" s="62" t="s">
        <v>10482</v>
      </c>
      <c r="C575" s="61" t="n">
        <v>46</v>
      </c>
      <c r="D575" s="92" t="n">
        <f aca="false">SRC_Cap!$O46</f>
        <v>0</v>
      </c>
      <c r="E575" s="92" t="n">
        <f aca="false">SRC_Cap!$K46</f>
        <v>0</v>
      </c>
      <c r="F575" s="92" t="n">
        <f aca="false">SRC_Cap!$S46</f>
        <v>0</v>
      </c>
    </row>
    <row r="576" customFormat="false" ht="15" hidden="false" customHeight="false" outlineLevel="0" collapsed="false">
      <c r="A576" s="92" t="str">
        <f aca="false">SRC_Cap!$A47&amp;""</f>
        <v/>
      </c>
      <c r="B576" s="62" t="s">
        <v>10482</v>
      </c>
      <c r="C576" s="61" t="n">
        <v>47</v>
      </c>
      <c r="D576" s="92" t="n">
        <f aca="false">SRC_Cap!$O47</f>
        <v>0</v>
      </c>
      <c r="E576" s="92" t="n">
        <f aca="false">SRC_Cap!$K47</f>
        <v>0</v>
      </c>
      <c r="F576" s="92" t="n">
        <f aca="false">SRC_Cap!$S47</f>
        <v>0</v>
      </c>
    </row>
    <row r="577" customFormat="false" ht="15" hidden="false" customHeight="false" outlineLevel="0" collapsed="false">
      <c r="A577" s="92" t="str">
        <f aca="false">SRC_Cap!$A48&amp;""</f>
        <v/>
      </c>
      <c r="B577" s="62" t="s">
        <v>10482</v>
      </c>
      <c r="C577" s="61" t="n">
        <v>48</v>
      </c>
      <c r="D577" s="92" t="n">
        <f aca="false">SRC_Cap!$O48</f>
        <v>0</v>
      </c>
      <c r="E577" s="92" t="n">
        <f aca="false">SRC_Cap!$K48</f>
        <v>0</v>
      </c>
      <c r="F577" s="92" t="n">
        <f aca="false">SRC_Cap!$S48</f>
        <v>0</v>
      </c>
    </row>
    <row r="578" customFormat="false" ht="15" hidden="false" customHeight="false" outlineLevel="0" collapsed="false">
      <c r="A578" s="92" t="str">
        <f aca="false">SRC_Cap!$A49&amp;""</f>
        <v/>
      </c>
      <c r="B578" s="62" t="s">
        <v>10482</v>
      </c>
      <c r="C578" s="61" t="n">
        <v>49</v>
      </c>
      <c r="D578" s="92" t="n">
        <f aca="false">SRC_Cap!$O49</f>
        <v>0</v>
      </c>
      <c r="E578" s="92" t="n">
        <f aca="false">SRC_Cap!$K49</f>
        <v>0</v>
      </c>
      <c r="F578" s="92" t="n">
        <f aca="false">SRC_Cap!$S49</f>
        <v>0</v>
      </c>
    </row>
    <row r="579" customFormat="false" ht="15" hidden="false" customHeight="false" outlineLevel="0" collapsed="false">
      <c r="A579" s="92" t="str">
        <f aca="false">SRC_Cap!$A50&amp;""</f>
        <v/>
      </c>
      <c r="B579" s="62" t="s">
        <v>10482</v>
      </c>
      <c r="C579" s="61" t="n">
        <v>50</v>
      </c>
      <c r="D579" s="92" t="n">
        <f aca="false">SRC_Cap!$O50</f>
        <v>0</v>
      </c>
      <c r="E579" s="92" t="n">
        <f aca="false">SRC_Cap!$K50</f>
        <v>0</v>
      </c>
      <c r="F579" s="92" t="n">
        <f aca="false">SRC_Cap!$S50</f>
        <v>0</v>
      </c>
    </row>
    <row r="580" customFormat="false" ht="15" hidden="false" customHeight="false" outlineLevel="0" collapsed="false">
      <c r="A580" s="92" t="str">
        <f aca="false">SRC_Cap!$A51&amp;""</f>
        <v/>
      </c>
      <c r="B580" s="62" t="s">
        <v>10482</v>
      </c>
      <c r="C580" s="61" t="n">
        <v>51</v>
      </c>
      <c r="D580" s="92" t="n">
        <f aca="false">SRC_Cap!$O51</f>
        <v>0</v>
      </c>
      <c r="E580" s="92" t="n">
        <f aca="false">SRC_Cap!$K51</f>
        <v>0</v>
      </c>
      <c r="F580" s="92" t="n">
        <f aca="false">SRC_Cap!$S51</f>
        <v>0</v>
      </c>
    </row>
    <row r="581" customFormat="false" ht="15" hidden="false" customHeight="false" outlineLevel="0" collapsed="false">
      <c r="A581" s="92" t="str">
        <f aca="false">SRC_Cap!$A52&amp;""</f>
        <v/>
      </c>
      <c r="B581" s="62" t="s">
        <v>10482</v>
      </c>
      <c r="C581" s="61" t="n">
        <v>52</v>
      </c>
      <c r="D581" s="92" t="n">
        <f aca="false">SRC_Cap!$O52</f>
        <v>0</v>
      </c>
      <c r="E581" s="92" t="n">
        <f aca="false">SRC_Cap!$K52</f>
        <v>0</v>
      </c>
      <c r="F581" s="92" t="n">
        <f aca="false">SRC_Cap!$S52</f>
        <v>0</v>
      </c>
    </row>
    <row r="582" customFormat="false" ht="15" hidden="false" customHeight="false" outlineLevel="0" collapsed="false">
      <c r="A582" s="92" t="str">
        <f aca="false">SRC_Cap!$A53&amp;""</f>
        <v/>
      </c>
      <c r="B582" s="62" t="s">
        <v>10482</v>
      </c>
      <c r="C582" s="61" t="n">
        <v>53</v>
      </c>
      <c r="D582" s="92" t="n">
        <f aca="false">SRC_Cap!$O53</f>
        <v>0</v>
      </c>
      <c r="E582" s="92" t="n">
        <f aca="false">SRC_Cap!$K53</f>
        <v>0</v>
      </c>
      <c r="F582" s="92" t="n">
        <f aca="false">SRC_Cap!$S53</f>
        <v>0</v>
      </c>
    </row>
    <row r="583" customFormat="false" ht="15" hidden="false" customHeight="false" outlineLevel="0" collapsed="false">
      <c r="A583" s="92" t="str">
        <f aca="false">SRC_Cap!$A54&amp;""</f>
        <v/>
      </c>
      <c r="B583" s="62" t="s">
        <v>10482</v>
      </c>
      <c r="C583" s="61" t="n">
        <v>54</v>
      </c>
      <c r="D583" s="92" t="n">
        <f aca="false">SRC_Cap!$O54</f>
        <v>0</v>
      </c>
      <c r="E583" s="92" t="n">
        <f aca="false">SRC_Cap!$K54</f>
        <v>0</v>
      </c>
      <c r="F583" s="92" t="n">
        <f aca="false">SRC_Cap!$S54</f>
        <v>0</v>
      </c>
    </row>
    <row r="584" customFormat="false" ht="15" hidden="false" customHeight="false" outlineLevel="0" collapsed="false">
      <c r="A584" s="92" t="str">
        <f aca="false">SRC_Cap!$A55&amp;""</f>
        <v/>
      </c>
      <c r="B584" s="62" t="s">
        <v>10482</v>
      </c>
      <c r="C584" s="61" t="n">
        <v>55</v>
      </c>
      <c r="D584" s="92" t="n">
        <f aca="false">SRC_Cap!$O55</f>
        <v>0</v>
      </c>
      <c r="E584" s="92" t="n">
        <f aca="false">SRC_Cap!$K55</f>
        <v>0</v>
      </c>
      <c r="F584" s="92" t="n">
        <f aca="false">SRC_Cap!$S55</f>
        <v>0</v>
      </c>
    </row>
    <row r="585" customFormat="false" ht="15" hidden="false" customHeight="false" outlineLevel="0" collapsed="false">
      <c r="A585" s="92" t="str">
        <f aca="false">SRC_Cap!$A56&amp;""</f>
        <v/>
      </c>
      <c r="B585" s="62" t="s">
        <v>10482</v>
      </c>
      <c r="C585" s="61" t="n">
        <v>56</v>
      </c>
      <c r="D585" s="92" t="n">
        <f aca="false">SRC_Cap!$O56</f>
        <v>0</v>
      </c>
      <c r="E585" s="92" t="n">
        <f aca="false">SRC_Cap!$K56</f>
        <v>0</v>
      </c>
      <c r="F585" s="92" t="n">
        <f aca="false">SRC_Cap!$S56</f>
        <v>0</v>
      </c>
    </row>
    <row r="586" customFormat="false" ht="15" hidden="false" customHeight="false" outlineLevel="0" collapsed="false">
      <c r="A586" s="92" t="str">
        <f aca="false">SRC_Cap!$A57&amp;""</f>
        <v/>
      </c>
      <c r="B586" s="62" t="s">
        <v>10482</v>
      </c>
      <c r="C586" s="61" t="n">
        <v>57</v>
      </c>
      <c r="D586" s="92" t="n">
        <f aca="false">SRC_Cap!$O57</f>
        <v>0</v>
      </c>
      <c r="E586" s="92" t="n">
        <f aca="false">SRC_Cap!$K57</f>
        <v>0</v>
      </c>
      <c r="F586" s="92" t="n">
        <f aca="false">SRC_Cap!$S57</f>
        <v>0</v>
      </c>
    </row>
    <row r="587" customFormat="false" ht="15" hidden="false" customHeight="false" outlineLevel="0" collapsed="false">
      <c r="A587" s="92" t="str">
        <f aca="false">SRC_Cap!$A58&amp;""</f>
        <v/>
      </c>
      <c r="B587" s="62" t="s">
        <v>10482</v>
      </c>
      <c r="C587" s="61" t="n">
        <v>58</v>
      </c>
      <c r="D587" s="92" t="n">
        <f aca="false">SRC_Cap!$O58</f>
        <v>0</v>
      </c>
      <c r="E587" s="92" t="n">
        <f aca="false">SRC_Cap!$K58</f>
        <v>0</v>
      </c>
      <c r="F587" s="92" t="n">
        <f aca="false">SRC_Cap!$S58</f>
        <v>0</v>
      </c>
    </row>
    <row r="588" customFormat="false" ht="15" hidden="false" customHeight="false" outlineLevel="0" collapsed="false">
      <c r="A588" s="92" t="str">
        <f aca="false">SRC_Cap!$A59&amp;""</f>
        <v/>
      </c>
      <c r="B588" s="62" t="s">
        <v>10482</v>
      </c>
      <c r="C588" s="61" t="n">
        <v>59</v>
      </c>
      <c r="D588" s="92" t="n">
        <f aca="false">SRC_Cap!$O59</f>
        <v>0</v>
      </c>
      <c r="E588" s="92" t="n">
        <f aca="false">SRC_Cap!$K59</f>
        <v>0</v>
      </c>
      <c r="F588" s="92" t="n">
        <f aca="false">SRC_Cap!$S59</f>
        <v>0</v>
      </c>
    </row>
    <row r="589" customFormat="false" ht="15" hidden="false" customHeight="false" outlineLevel="0" collapsed="false">
      <c r="A589" s="92" t="str">
        <f aca="false">SRC_Cap!$A60&amp;""</f>
        <v/>
      </c>
      <c r="B589" s="62" t="s">
        <v>10482</v>
      </c>
      <c r="C589" s="61" t="n">
        <v>60</v>
      </c>
      <c r="D589" s="92" t="n">
        <f aca="false">SRC_Cap!$O60</f>
        <v>0</v>
      </c>
      <c r="E589" s="92" t="n">
        <f aca="false">SRC_Cap!$K60</f>
        <v>0</v>
      </c>
      <c r="F589" s="92" t="n">
        <f aca="false">SRC_Cap!$S60</f>
        <v>0</v>
      </c>
    </row>
    <row r="590" customFormat="false" ht="15" hidden="false" customHeight="false" outlineLevel="0" collapsed="false">
      <c r="A590" s="92" t="str">
        <f aca="false">SRC_Cap!$A61&amp;""</f>
        <v/>
      </c>
      <c r="B590" s="62" t="s">
        <v>10482</v>
      </c>
      <c r="C590" s="61" t="n">
        <v>61</v>
      </c>
      <c r="D590" s="92" t="n">
        <f aca="false">SRC_Cap!$O61</f>
        <v>0</v>
      </c>
      <c r="E590" s="92" t="n">
        <f aca="false">SRC_Cap!$K61</f>
        <v>0</v>
      </c>
      <c r="F590" s="92" t="n">
        <f aca="false">SRC_Cap!$S61</f>
        <v>0</v>
      </c>
    </row>
    <row r="591" customFormat="false" ht="15" hidden="false" customHeight="false" outlineLevel="0" collapsed="false">
      <c r="A591" s="92" t="str">
        <f aca="false">SRC_Cap!$A62&amp;""</f>
        <v/>
      </c>
      <c r="B591" s="62" t="s">
        <v>10482</v>
      </c>
      <c r="C591" s="61" t="n">
        <v>62</v>
      </c>
      <c r="D591" s="92" t="n">
        <f aca="false">SRC_Cap!$O62</f>
        <v>0</v>
      </c>
      <c r="E591" s="92" t="n">
        <f aca="false">SRC_Cap!$K62</f>
        <v>0</v>
      </c>
      <c r="F591" s="92" t="n">
        <f aca="false">SRC_Cap!$S62</f>
        <v>0</v>
      </c>
    </row>
    <row r="592" customFormat="false" ht="15" hidden="false" customHeight="false" outlineLevel="0" collapsed="false">
      <c r="A592" s="92" t="str">
        <f aca="false">SRC_Cap!$A63&amp;""</f>
        <v/>
      </c>
      <c r="B592" s="62" t="s">
        <v>10482</v>
      </c>
      <c r="C592" s="61" t="n">
        <v>63</v>
      </c>
      <c r="D592" s="92" t="n">
        <f aca="false">SRC_Cap!$O63</f>
        <v>0</v>
      </c>
      <c r="E592" s="92" t="n">
        <f aca="false">SRC_Cap!$K63</f>
        <v>0</v>
      </c>
      <c r="F592" s="92" t="n">
        <f aca="false">SRC_Cap!$S63</f>
        <v>0</v>
      </c>
    </row>
    <row r="593" customFormat="false" ht="15" hidden="false" customHeight="false" outlineLevel="0" collapsed="false">
      <c r="A593" s="92" t="str">
        <f aca="false">SRC_Cap!$A64&amp;""</f>
        <v/>
      </c>
      <c r="B593" s="62" t="s">
        <v>10482</v>
      </c>
      <c r="C593" s="61" t="n">
        <v>64</v>
      </c>
      <c r="D593" s="92" t="n">
        <f aca="false">SRC_Cap!$O64</f>
        <v>0</v>
      </c>
      <c r="E593" s="92" t="n">
        <f aca="false">SRC_Cap!$K64</f>
        <v>0</v>
      </c>
      <c r="F593" s="92" t="n">
        <f aca="false">SRC_Cap!$S64</f>
        <v>0</v>
      </c>
    </row>
    <row r="594" customFormat="false" ht="15" hidden="false" customHeight="false" outlineLevel="0" collapsed="false">
      <c r="A594" s="92" t="str">
        <f aca="false">SRC_Cap!$A65&amp;""</f>
        <v/>
      </c>
      <c r="B594" s="62" t="s">
        <v>10482</v>
      </c>
      <c r="C594" s="61" t="n">
        <v>65</v>
      </c>
      <c r="D594" s="92" t="n">
        <f aca="false">SRC_Cap!$O65</f>
        <v>0</v>
      </c>
      <c r="E594" s="92" t="n">
        <f aca="false">SRC_Cap!$K65</f>
        <v>0</v>
      </c>
      <c r="F594" s="92" t="n">
        <f aca="false">SRC_Cap!$S65</f>
        <v>0</v>
      </c>
    </row>
    <row r="595" customFormat="false" ht="15" hidden="false" customHeight="false" outlineLevel="0" collapsed="false">
      <c r="A595" s="92" t="str">
        <f aca="false">SRC_Cap!$A66&amp;""</f>
        <v/>
      </c>
      <c r="B595" s="62" t="s">
        <v>10482</v>
      </c>
      <c r="C595" s="61" t="n">
        <v>66</v>
      </c>
      <c r="D595" s="92" t="n">
        <f aca="false">SRC_Cap!$O66</f>
        <v>0</v>
      </c>
      <c r="E595" s="92" t="n">
        <f aca="false">SRC_Cap!$K66</f>
        <v>0</v>
      </c>
      <c r="F595" s="92" t="n">
        <f aca="false">SRC_Cap!$S66</f>
        <v>0</v>
      </c>
    </row>
    <row r="596" customFormat="false" ht="15" hidden="false" customHeight="false" outlineLevel="0" collapsed="false">
      <c r="A596" s="92" t="str">
        <f aca="false">SRC_Cap!$A67&amp;""</f>
        <v/>
      </c>
      <c r="B596" s="62" t="s">
        <v>10482</v>
      </c>
      <c r="C596" s="61" t="n">
        <v>67</v>
      </c>
      <c r="D596" s="92" t="n">
        <f aca="false">SRC_Cap!$O67</f>
        <v>0</v>
      </c>
      <c r="E596" s="92" t="n">
        <f aca="false">SRC_Cap!$K67</f>
        <v>0</v>
      </c>
      <c r="F596" s="92" t="n">
        <f aca="false">SRC_Cap!$S67</f>
        <v>0</v>
      </c>
    </row>
    <row r="597" customFormat="false" ht="15" hidden="false" customHeight="false" outlineLevel="0" collapsed="false">
      <c r="A597" s="92" t="str">
        <f aca="false">SRC_Cap!$A68&amp;""</f>
        <v/>
      </c>
      <c r="B597" s="62" t="s">
        <v>10482</v>
      </c>
      <c r="C597" s="61" t="n">
        <v>68</v>
      </c>
      <c r="D597" s="92" t="n">
        <f aca="false">SRC_Cap!$O68</f>
        <v>0</v>
      </c>
      <c r="E597" s="92" t="n">
        <f aca="false">SRC_Cap!$K68</f>
        <v>0</v>
      </c>
      <c r="F597" s="92" t="n">
        <f aca="false">SRC_Cap!$S68</f>
        <v>0</v>
      </c>
    </row>
    <row r="598" customFormat="false" ht="15" hidden="false" customHeight="false" outlineLevel="0" collapsed="false">
      <c r="A598" s="92" t="str">
        <f aca="false">SRC_Cap!$A69&amp;""</f>
        <v/>
      </c>
      <c r="B598" s="62" t="s">
        <v>10482</v>
      </c>
      <c r="C598" s="61" t="n">
        <v>69</v>
      </c>
      <c r="D598" s="92" t="n">
        <f aca="false">SRC_Cap!$O69</f>
        <v>0</v>
      </c>
      <c r="E598" s="92" t="n">
        <f aca="false">SRC_Cap!$K69</f>
        <v>0</v>
      </c>
      <c r="F598" s="92" t="n">
        <f aca="false">SRC_Cap!$S69</f>
        <v>0</v>
      </c>
    </row>
    <row r="599" customFormat="false" ht="15" hidden="false" customHeight="false" outlineLevel="0" collapsed="false">
      <c r="A599" s="92" t="str">
        <f aca="false">SRC_Cap!$A70&amp;""</f>
        <v/>
      </c>
      <c r="B599" s="62" t="s">
        <v>10482</v>
      </c>
      <c r="C599" s="61" t="n">
        <v>70</v>
      </c>
      <c r="D599" s="92" t="n">
        <f aca="false">SRC_Cap!$O70</f>
        <v>0</v>
      </c>
      <c r="E599" s="92" t="n">
        <f aca="false">SRC_Cap!$K70</f>
        <v>0</v>
      </c>
      <c r="F599" s="92" t="n">
        <f aca="false">SRC_Cap!$S70</f>
        <v>0</v>
      </c>
    </row>
    <row r="600" customFormat="false" ht="15" hidden="false" customHeight="false" outlineLevel="0" collapsed="false">
      <c r="A600" s="92" t="str">
        <f aca="false">SRC_Cap!$A71&amp;""</f>
        <v/>
      </c>
      <c r="B600" s="62" t="s">
        <v>10482</v>
      </c>
      <c r="C600" s="61" t="n">
        <v>71</v>
      </c>
      <c r="D600" s="92" t="n">
        <f aca="false">SRC_Cap!$O71</f>
        <v>0</v>
      </c>
      <c r="E600" s="92" t="n">
        <f aca="false">SRC_Cap!$K71</f>
        <v>0</v>
      </c>
      <c r="F600" s="92" t="n">
        <f aca="false">SRC_Cap!$S71</f>
        <v>0</v>
      </c>
    </row>
    <row r="601" customFormat="false" ht="15" hidden="false" customHeight="false" outlineLevel="0" collapsed="false">
      <c r="A601" s="92" t="str">
        <f aca="false">SRC_Cap!$A72&amp;""</f>
        <v/>
      </c>
      <c r="B601" s="62" t="s">
        <v>10482</v>
      </c>
      <c r="C601" s="61" t="n">
        <v>72</v>
      </c>
      <c r="D601" s="92" t="n">
        <f aca="false">SRC_Cap!$O72</f>
        <v>0</v>
      </c>
      <c r="E601" s="92" t="n">
        <f aca="false">SRC_Cap!$K72</f>
        <v>0</v>
      </c>
      <c r="F601" s="92" t="n">
        <f aca="false">SRC_Cap!$S72</f>
        <v>0</v>
      </c>
    </row>
    <row r="602" customFormat="false" ht="15" hidden="false" customHeight="false" outlineLevel="0" collapsed="false">
      <c r="A602" s="92" t="str">
        <f aca="false">SRC_Cap!$A73&amp;""</f>
        <v/>
      </c>
      <c r="B602" s="62" t="s">
        <v>10482</v>
      </c>
      <c r="C602" s="61" t="n">
        <v>73</v>
      </c>
      <c r="D602" s="92" t="n">
        <f aca="false">SRC_Cap!$O73</f>
        <v>0</v>
      </c>
      <c r="E602" s="92" t="n">
        <f aca="false">SRC_Cap!$K73</f>
        <v>0</v>
      </c>
      <c r="F602" s="92" t="n">
        <f aca="false">SRC_Cap!$S73</f>
        <v>0</v>
      </c>
    </row>
    <row r="603" customFormat="false" ht="15" hidden="false" customHeight="false" outlineLevel="0" collapsed="false">
      <c r="A603" s="92" t="str">
        <f aca="false">SRC_Cap!$A74&amp;""</f>
        <v/>
      </c>
      <c r="B603" s="62" t="s">
        <v>10482</v>
      </c>
      <c r="C603" s="61" t="n">
        <v>74</v>
      </c>
      <c r="D603" s="92" t="n">
        <f aca="false">SRC_Cap!$O74</f>
        <v>0</v>
      </c>
      <c r="E603" s="92" t="n">
        <f aca="false">SRC_Cap!$K74</f>
        <v>0</v>
      </c>
      <c r="F603" s="92" t="n">
        <f aca="false">SRC_Cap!$S74</f>
        <v>0</v>
      </c>
    </row>
    <row r="604" customFormat="false" ht="15" hidden="false" customHeight="false" outlineLevel="0" collapsed="false">
      <c r="A604" s="92" t="str">
        <f aca="false">SRC_Cap!$A75&amp;""</f>
        <v/>
      </c>
      <c r="B604" s="62" t="s">
        <v>10482</v>
      </c>
      <c r="C604" s="61" t="n">
        <v>75</v>
      </c>
      <c r="D604" s="92" t="n">
        <f aca="false">SRC_Cap!$O75</f>
        <v>0</v>
      </c>
      <c r="E604" s="92" t="n">
        <f aca="false">SRC_Cap!$K75</f>
        <v>0</v>
      </c>
      <c r="F604" s="92" t="n">
        <f aca="false">SRC_Cap!$S75</f>
        <v>0</v>
      </c>
    </row>
    <row r="605" customFormat="false" ht="15" hidden="false" customHeight="false" outlineLevel="0" collapsed="false">
      <c r="A605" s="92" t="str">
        <f aca="false">SRC_Harness!$A5&amp;""</f>
        <v>SRC_HAR_001</v>
      </c>
      <c r="B605" s="62" t="s">
        <v>10483</v>
      </c>
      <c r="C605" s="61" t="n">
        <v>5</v>
      </c>
      <c r="D605" s="92" t="str">
        <f aca="false">SRC_Harness!$O5</f>
        <v>Active</v>
      </c>
      <c r="E605" s="92" t="n">
        <f aca="false">SRC_Harness!$K5</f>
        <v>2</v>
      </c>
      <c r="F605" s="92" t="str">
        <f aca="false">SRC_Harness!$S5</f>
        <v>—</v>
      </c>
    </row>
    <row r="606" customFormat="false" ht="15" hidden="false" customHeight="false" outlineLevel="0" collapsed="false">
      <c r="A606" s="92" t="str">
        <f aca="false">SRC_Harness!$A6&amp;""</f>
        <v>SRC_HAR_002</v>
      </c>
      <c r="B606" s="62" t="s">
        <v>10483</v>
      </c>
      <c r="C606" s="61" t="n">
        <v>6</v>
      </c>
      <c r="D606" s="92" t="str">
        <f aca="false">SRC_Harness!$O6</f>
        <v>Active</v>
      </c>
      <c r="E606" s="92" t="n">
        <f aca="false">SRC_Harness!$K6</f>
        <v>2</v>
      </c>
      <c r="F606" s="92" t="str">
        <f aca="false">SRC_Harness!$S6</f>
        <v>—</v>
      </c>
    </row>
    <row r="607" customFormat="false" ht="15" hidden="false" customHeight="false" outlineLevel="0" collapsed="false">
      <c r="A607" s="92" t="str">
        <f aca="false">SRC_Harness!$A7&amp;""</f>
        <v>SRC_HAR_003</v>
      </c>
      <c r="B607" s="62" t="s">
        <v>10483</v>
      </c>
      <c r="C607" s="61" t="n">
        <v>7</v>
      </c>
      <c r="D607" s="92" t="str">
        <f aca="false">SRC_Harness!$O7</f>
        <v>Active</v>
      </c>
      <c r="E607" s="92" t="n">
        <f aca="false">SRC_Harness!$K7</f>
        <v>2</v>
      </c>
      <c r="F607" s="92" t="str">
        <f aca="false">SRC_Harness!$S7</f>
        <v>—</v>
      </c>
    </row>
    <row r="608" customFormat="false" ht="15" hidden="false" customHeight="false" outlineLevel="0" collapsed="false">
      <c r="A608" s="92" t="str">
        <f aca="false">SRC_Harness!$A8&amp;""</f>
        <v>SRC_HAR_004</v>
      </c>
      <c r="B608" s="62" t="s">
        <v>10483</v>
      </c>
      <c r="C608" s="61" t="n">
        <v>8</v>
      </c>
      <c r="D608" s="92" t="str">
        <f aca="false">SRC_Harness!$O8</f>
        <v>Active</v>
      </c>
      <c r="E608" s="92" t="n">
        <f aca="false">SRC_Harness!$K8</f>
        <v>2</v>
      </c>
      <c r="F608" s="92" t="str">
        <f aca="false">SRC_Harness!$S8</f>
        <v>—</v>
      </c>
    </row>
    <row r="609" customFormat="false" ht="15" hidden="false" customHeight="false" outlineLevel="0" collapsed="false">
      <c r="A609" s="92" t="str">
        <f aca="false">SRC_Harness!$A9&amp;""</f>
        <v>SRC_HAR_005</v>
      </c>
      <c r="B609" s="62" t="s">
        <v>10483</v>
      </c>
      <c r="C609" s="61" t="n">
        <v>9</v>
      </c>
      <c r="D609" s="92" t="str">
        <f aca="false">SRC_Harness!$O9</f>
        <v>Active</v>
      </c>
      <c r="E609" s="92" t="n">
        <f aca="false">SRC_Harness!$K9</f>
        <v>2</v>
      </c>
      <c r="F609" s="92" t="str">
        <f aca="false">SRC_Harness!$S9</f>
        <v>—</v>
      </c>
    </row>
    <row r="610" customFormat="false" ht="15" hidden="false" customHeight="false" outlineLevel="0" collapsed="false">
      <c r="A610" s="92" t="str">
        <f aca="false">SRC_Harness!$A10&amp;""</f>
        <v>SRC_HAR_006</v>
      </c>
      <c r="B610" s="62" t="s">
        <v>10483</v>
      </c>
      <c r="C610" s="61" t="n">
        <v>10</v>
      </c>
      <c r="D610" s="92" t="str">
        <f aca="false">SRC_Harness!$O10</f>
        <v>Active</v>
      </c>
      <c r="E610" s="92" t="n">
        <f aca="false">SRC_Harness!$K10</f>
        <v>2</v>
      </c>
      <c r="F610" s="92" t="str">
        <f aca="false">SRC_Harness!$S10</f>
        <v>—</v>
      </c>
    </row>
    <row r="611" customFormat="false" ht="15" hidden="false" customHeight="false" outlineLevel="0" collapsed="false">
      <c r="A611" s="92" t="str">
        <f aca="false">SRC_Harness!$A11&amp;""</f>
        <v>SRC_HAR_007</v>
      </c>
      <c r="B611" s="62" t="s">
        <v>10483</v>
      </c>
      <c r="C611" s="61" t="n">
        <v>11</v>
      </c>
      <c r="D611" s="92" t="str">
        <f aca="false">SRC_Harness!$O11</f>
        <v>Active</v>
      </c>
      <c r="E611" s="92" t="n">
        <f aca="false">SRC_Harness!$K11</f>
        <v>2</v>
      </c>
      <c r="F611" s="92" t="str">
        <f aca="false">SRC_Harness!$S11</f>
        <v>—</v>
      </c>
    </row>
    <row r="612" customFormat="false" ht="15" hidden="false" customHeight="false" outlineLevel="0" collapsed="false">
      <c r="A612" s="92" t="str">
        <f aca="false">SRC_Harness!$A12&amp;""</f>
        <v>SRC_HAR_008</v>
      </c>
      <c r="B612" s="62" t="s">
        <v>10483</v>
      </c>
      <c r="C612" s="61" t="n">
        <v>12</v>
      </c>
      <c r="D612" s="92" t="str">
        <f aca="false">SRC_Harness!$O12</f>
        <v>Active</v>
      </c>
      <c r="E612" s="92" t="n">
        <f aca="false">SRC_Harness!$K12</f>
        <v>2</v>
      </c>
      <c r="F612" s="92" t="str">
        <f aca="false">SRC_Harness!$S12</f>
        <v>—</v>
      </c>
    </row>
    <row r="613" customFormat="false" ht="15" hidden="false" customHeight="false" outlineLevel="0" collapsed="false">
      <c r="A613" s="92" t="str">
        <f aca="false">SRC_Harness!$A13&amp;""</f>
        <v>SRC_HAR_009</v>
      </c>
      <c r="B613" s="62" t="s">
        <v>10483</v>
      </c>
      <c r="C613" s="61" t="n">
        <v>13</v>
      </c>
      <c r="D613" s="92" t="str">
        <f aca="false">SRC_Harness!$O13</f>
        <v>Alt</v>
      </c>
      <c r="E613" s="92" t="n">
        <f aca="false">SRC_Harness!$K13</f>
        <v>2</v>
      </c>
      <c r="F613" s="92" t="str">
        <f aca="false">SRC_Harness!$S13</f>
        <v>—</v>
      </c>
    </row>
    <row r="614" customFormat="false" ht="15" hidden="false" customHeight="false" outlineLevel="0" collapsed="false">
      <c r="A614" s="92" t="str">
        <f aca="false">SRC_Harness!$A14&amp;""</f>
        <v>SRC_HAR_010</v>
      </c>
      <c r="B614" s="62" t="s">
        <v>10483</v>
      </c>
      <c r="C614" s="61" t="n">
        <v>14</v>
      </c>
      <c r="D614" s="92" t="str">
        <f aca="false">SRC_Harness!$O14</f>
        <v>Active</v>
      </c>
      <c r="E614" s="92" t="n">
        <f aca="false">SRC_Harness!$K14</f>
        <v>2</v>
      </c>
      <c r="F614" s="92" t="str">
        <f aca="false">SRC_Harness!$S14</f>
        <v>—</v>
      </c>
    </row>
    <row r="615" customFormat="false" ht="15" hidden="false" customHeight="false" outlineLevel="0" collapsed="false">
      <c r="A615" s="92" t="str">
        <f aca="false">SRC_Harness!$A15&amp;""</f>
        <v>SRC_HAR_011</v>
      </c>
      <c r="B615" s="62" t="s">
        <v>10483</v>
      </c>
      <c r="C615" s="61" t="n">
        <v>15</v>
      </c>
      <c r="D615" s="92" t="str">
        <f aca="false">SRC_Harness!$O15</f>
        <v>Active</v>
      </c>
      <c r="E615" s="92" t="n">
        <f aca="false">SRC_Harness!$K15</f>
        <v>2</v>
      </c>
      <c r="F615" s="92" t="str">
        <f aca="false">SRC_Harness!$S15</f>
        <v>—</v>
      </c>
    </row>
    <row r="616" customFormat="false" ht="15" hidden="false" customHeight="false" outlineLevel="0" collapsed="false">
      <c r="A616" s="92" t="str">
        <f aca="false">SRC_Harness!$A16&amp;""</f>
        <v>SRC_HAR_012</v>
      </c>
      <c r="B616" s="62" t="s">
        <v>10483</v>
      </c>
      <c r="C616" s="61" t="n">
        <v>16</v>
      </c>
      <c r="D616" s="92" t="str">
        <f aca="false">SRC_Harness!$O16</f>
        <v>Active</v>
      </c>
      <c r="E616" s="92" t="n">
        <f aca="false">SRC_Harness!$K16</f>
        <v>2</v>
      </c>
      <c r="F616" s="92" t="str">
        <f aca="false">SRC_Harness!$S16</f>
        <v>—</v>
      </c>
    </row>
    <row r="617" customFormat="false" ht="15" hidden="false" customHeight="false" outlineLevel="0" collapsed="false">
      <c r="A617" s="92" t="str">
        <f aca="false">SRC_Harness!$A17&amp;""</f>
        <v>SRC_HAR_013</v>
      </c>
      <c r="B617" s="62" t="s">
        <v>10483</v>
      </c>
      <c r="C617" s="61" t="n">
        <v>17</v>
      </c>
      <c r="D617" s="92" t="str">
        <f aca="false">SRC_Harness!$O17</f>
        <v>Active</v>
      </c>
      <c r="E617" s="92" t="n">
        <f aca="false">SRC_Harness!$K17</f>
        <v>2</v>
      </c>
      <c r="F617" s="92" t="str">
        <f aca="false">SRC_Harness!$S17</f>
        <v>—</v>
      </c>
    </row>
    <row r="618" customFormat="false" ht="15" hidden="false" customHeight="false" outlineLevel="0" collapsed="false">
      <c r="A618" s="92" t="str">
        <f aca="false">SRC_Harness!$A18&amp;""</f>
        <v>SRC_HAR_014</v>
      </c>
      <c r="B618" s="62" t="s">
        <v>10483</v>
      </c>
      <c r="C618" s="61" t="n">
        <v>18</v>
      </c>
      <c r="D618" s="92" t="str">
        <f aca="false">SRC_Harness!$O18</f>
        <v>Active</v>
      </c>
      <c r="E618" s="92" t="n">
        <f aca="false">SRC_Harness!$K18</f>
        <v>2</v>
      </c>
      <c r="F618" s="92" t="str">
        <f aca="false">SRC_Harness!$S18</f>
        <v>—</v>
      </c>
    </row>
    <row r="619" customFormat="false" ht="15" hidden="false" customHeight="false" outlineLevel="0" collapsed="false">
      <c r="A619" s="92" t="str">
        <f aca="false">SRC_Harness!$A19&amp;""</f>
        <v>SRC_HAR_015</v>
      </c>
      <c r="B619" s="62" t="s">
        <v>10483</v>
      </c>
      <c r="C619" s="61" t="n">
        <v>19</v>
      </c>
      <c r="D619" s="92" t="str">
        <f aca="false">SRC_Harness!$O19</f>
        <v>Active</v>
      </c>
      <c r="E619" s="92" t="n">
        <f aca="false">SRC_Harness!$K19</f>
        <v>2</v>
      </c>
      <c r="F619" s="92" t="str">
        <f aca="false">SRC_Harness!$S19</f>
        <v>—</v>
      </c>
    </row>
    <row r="620" customFormat="false" ht="15" hidden="false" customHeight="false" outlineLevel="0" collapsed="false">
      <c r="A620" s="92" t="str">
        <f aca="false">SRC_Harness!$A20&amp;""</f>
        <v>SRC_HAR_016</v>
      </c>
      <c r="B620" s="62" t="s">
        <v>10483</v>
      </c>
      <c r="C620" s="61" t="n">
        <v>20</v>
      </c>
      <c r="D620" s="92" t="str">
        <f aca="false">SRC_Harness!$O20</f>
        <v>Active</v>
      </c>
      <c r="E620" s="92" t="n">
        <f aca="false">SRC_Harness!$K20</f>
        <v>2</v>
      </c>
      <c r="F620" s="92" t="str">
        <f aca="false">SRC_Harness!$S20</f>
        <v>—</v>
      </c>
    </row>
    <row r="621" customFormat="false" ht="15" hidden="false" customHeight="false" outlineLevel="0" collapsed="false">
      <c r="A621" s="92" t="str">
        <f aca="false">SRC_Harness!$A21&amp;""</f>
        <v/>
      </c>
      <c r="B621" s="62" t="s">
        <v>10483</v>
      </c>
      <c r="C621" s="61" t="n">
        <v>21</v>
      </c>
      <c r="D621" s="92" t="n">
        <f aca="false">SRC_Harness!$O21</f>
        <v>0</v>
      </c>
      <c r="E621" s="92" t="n">
        <f aca="false">SRC_Harness!$K21</f>
        <v>0</v>
      </c>
      <c r="F621" s="92" t="n">
        <f aca="false">SRC_Harness!$S21</f>
        <v>0</v>
      </c>
    </row>
    <row r="622" customFormat="false" ht="15" hidden="false" customHeight="false" outlineLevel="0" collapsed="false">
      <c r="A622" s="92" t="str">
        <f aca="false">SRC_Harness!$A22&amp;""</f>
        <v/>
      </c>
      <c r="B622" s="62" t="s">
        <v>10483</v>
      </c>
      <c r="C622" s="61" t="n">
        <v>22</v>
      </c>
      <c r="D622" s="92" t="n">
        <f aca="false">SRC_Harness!$O22</f>
        <v>0</v>
      </c>
      <c r="E622" s="92" t="n">
        <f aca="false">SRC_Harness!$K22</f>
        <v>0</v>
      </c>
      <c r="F622" s="92" t="n">
        <f aca="false">SRC_Harness!$S22</f>
        <v>0</v>
      </c>
    </row>
    <row r="623" customFormat="false" ht="15" hidden="false" customHeight="false" outlineLevel="0" collapsed="false">
      <c r="A623" s="92" t="str">
        <f aca="false">SRC_Harness!$A23&amp;""</f>
        <v/>
      </c>
      <c r="B623" s="62" t="s">
        <v>10483</v>
      </c>
      <c r="C623" s="61" t="n">
        <v>23</v>
      </c>
      <c r="D623" s="92" t="n">
        <f aca="false">SRC_Harness!$O23</f>
        <v>0</v>
      </c>
      <c r="E623" s="92" t="n">
        <f aca="false">SRC_Harness!$K23</f>
        <v>0</v>
      </c>
      <c r="F623" s="92" t="n">
        <f aca="false">SRC_Harness!$S23</f>
        <v>0</v>
      </c>
    </row>
    <row r="624" customFormat="false" ht="15" hidden="false" customHeight="false" outlineLevel="0" collapsed="false">
      <c r="A624" s="92" t="str">
        <f aca="false">SRC_Harness!$A24&amp;""</f>
        <v/>
      </c>
      <c r="B624" s="62" t="s">
        <v>10483</v>
      </c>
      <c r="C624" s="61" t="n">
        <v>24</v>
      </c>
      <c r="D624" s="92" t="n">
        <f aca="false">SRC_Harness!$O24</f>
        <v>0</v>
      </c>
      <c r="E624" s="92" t="n">
        <f aca="false">SRC_Harness!$K24</f>
        <v>0</v>
      </c>
      <c r="F624" s="92" t="n">
        <f aca="false">SRC_Harness!$S24</f>
        <v>0</v>
      </c>
    </row>
    <row r="625" customFormat="false" ht="15" hidden="false" customHeight="false" outlineLevel="0" collapsed="false">
      <c r="A625" s="92" t="str">
        <f aca="false">SRC_Harness!$A25&amp;""</f>
        <v/>
      </c>
      <c r="B625" s="62" t="s">
        <v>10483</v>
      </c>
      <c r="C625" s="61" t="n">
        <v>25</v>
      </c>
      <c r="D625" s="92" t="n">
        <f aca="false">SRC_Harness!$O25</f>
        <v>0</v>
      </c>
      <c r="E625" s="92" t="n">
        <f aca="false">SRC_Harness!$K25</f>
        <v>0</v>
      </c>
      <c r="F625" s="92" t="n">
        <f aca="false">SRC_Harness!$S25</f>
        <v>0</v>
      </c>
    </row>
    <row r="626" customFormat="false" ht="15" hidden="false" customHeight="false" outlineLevel="0" collapsed="false">
      <c r="A626" s="92" t="str">
        <f aca="false">SRC_Harness!$A26&amp;""</f>
        <v/>
      </c>
      <c r="B626" s="62" t="s">
        <v>10483</v>
      </c>
      <c r="C626" s="61" t="n">
        <v>26</v>
      </c>
      <c r="D626" s="92" t="n">
        <f aca="false">SRC_Harness!$O26</f>
        <v>0</v>
      </c>
      <c r="E626" s="92" t="n">
        <f aca="false">SRC_Harness!$K26</f>
        <v>0</v>
      </c>
      <c r="F626" s="92" t="n">
        <f aca="false">SRC_Harness!$S26</f>
        <v>0</v>
      </c>
    </row>
    <row r="627" customFormat="false" ht="15" hidden="false" customHeight="false" outlineLevel="0" collapsed="false">
      <c r="A627" s="92" t="str">
        <f aca="false">SRC_Harness!$A27&amp;""</f>
        <v/>
      </c>
      <c r="B627" s="62" t="s">
        <v>10483</v>
      </c>
      <c r="C627" s="61" t="n">
        <v>27</v>
      </c>
      <c r="D627" s="92" t="n">
        <f aca="false">SRC_Harness!$O27</f>
        <v>0</v>
      </c>
      <c r="E627" s="92" t="n">
        <f aca="false">SRC_Harness!$K27</f>
        <v>0</v>
      </c>
      <c r="F627" s="92" t="n">
        <f aca="false">SRC_Harness!$S27</f>
        <v>0</v>
      </c>
    </row>
    <row r="628" customFormat="false" ht="15" hidden="false" customHeight="false" outlineLevel="0" collapsed="false">
      <c r="A628" s="92" t="str">
        <f aca="false">SRC_Harness!$A28&amp;""</f>
        <v/>
      </c>
      <c r="B628" s="62" t="s">
        <v>10483</v>
      </c>
      <c r="C628" s="61" t="n">
        <v>28</v>
      </c>
      <c r="D628" s="92" t="n">
        <f aca="false">SRC_Harness!$O28</f>
        <v>0</v>
      </c>
      <c r="E628" s="92" t="n">
        <f aca="false">SRC_Harness!$K28</f>
        <v>0</v>
      </c>
      <c r="F628" s="92" t="n">
        <f aca="false">SRC_Harness!$S28</f>
        <v>0</v>
      </c>
    </row>
    <row r="629" customFormat="false" ht="15" hidden="false" customHeight="false" outlineLevel="0" collapsed="false">
      <c r="A629" s="92" t="str">
        <f aca="false">SRC_Harness!$A29&amp;""</f>
        <v/>
      </c>
      <c r="B629" s="62" t="s">
        <v>10483</v>
      </c>
      <c r="C629" s="61" t="n">
        <v>29</v>
      </c>
      <c r="D629" s="92" t="n">
        <f aca="false">SRC_Harness!$O29</f>
        <v>0</v>
      </c>
      <c r="E629" s="92" t="n">
        <f aca="false">SRC_Harness!$K29</f>
        <v>0</v>
      </c>
      <c r="F629" s="92" t="n">
        <f aca="false">SRC_Harness!$S29</f>
        <v>0</v>
      </c>
    </row>
    <row r="630" customFormat="false" ht="15" hidden="false" customHeight="false" outlineLevel="0" collapsed="false">
      <c r="A630" s="92" t="str">
        <f aca="false">SRC_Harness!$A30&amp;""</f>
        <v/>
      </c>
      <c r="B630" s="62" t="s">
        <v>10483</v>
      </c>
      <c r="C630" s="61" t="n">
        <v>30</v>
      </c>
      <c r="D630" s="92" t="n">
        <f aca="false">SRC_Harness!$O30</f>
        <v>0</v>
      </c>
      <c r="E630" s="92" t="n">
        <f aca="false">SRC_Harness!$K30</f>
        <v>0</v>
      </c>
      <c r="F630" s="92" t="n">
        <f aca="false">SRC_Harness!$S30</f>
        <v>0</v>
      </c>
    </row>
    <row r="631" customFormat="false" ht="15" hidden="false" customHeight="false" outlineLevel="0" collapsed="false">
      <c r="A631" s="92" t="str">
        <f aca="false">SRC_Harness!$A31&amp;""</f>
        <v/>
      </c>
      <c r="B631" s="62" t="s">
        <v>10483</v>
      </c>
      <c r="C631" s="61" t="n">
        <v>31</v>
      </c>
      <c r="D631" s="92" t="n">
        <f aca="false">SRC_Harness!$O31</f>
        <v>0</v>
      </c>
      <c r="E631" s="92" t="n">
        <f aca="false">SRC_Harness!$K31</f>
        <v>0</v>
      </c>
      <c r="F631" s="92" t="n">
        <f aca="false">SRC_Harness!$S31</f>
        <v>0</v>
      </c>
    </row>
    <row r="632" customFormat="false" ht="15" hidden="false" customHeight="false" outlineLevel="0" collapsed="false">
      <c r="A632" s="92" t="str">
        <f aca="false">SRC_Harness!$A32&amp;""</f>
        <v/>
      </c>
      <c r="B632" s="62" t="s">
        <v>10483</v>
      </c>
      <c r="C632" s="61" t="n">
        <v>32</v>
      </c>
      <c r="D632" s="92" t="n">
        <f aca="false">SRC_Harness!$O32</f>
        <v>0</v>
      </c>
      <c r="E632" s="92" t="n">
        <f aca="false">SRC_Harness!$K32</f>
        <v>0</v>
      </c>
      <c r="F632" s="92" t="n">
        <f aca="false">SRC_Harness!$S32</f>
        <v>0</v>
      </c>
    </row>
    <row r="633" customFormat="false" ht="15" hidden="false" customHeight="false" outlineLevel="0" collapsed="false">
      <c r="A633" s="92" t="str">
        <f aca="false">SRC_Harness!$A33&amp;""</f>
        <v/>
      </c>
      <c r="B633" s="62" t="s">
        <v>10483</v>
      </c>
      <c r="C633" s="61" t="n">
        <v>33</v>
      </c>
      <c r="D633" s="92" t="n">
        <f aca="false">SRC_Harness!$O33</f>
        <v>0</v>
      </c>
      <c r="E633" s="92" t="n">
        <f aca="false">SRC_Harness!$K33</f>
        <v>0</v>
      </c>
      <c r="F633" s="92" t="n">
        <f aca="false">SRC_Harness!$S33</f>
        <v>0</v>
      </c>
    </row>
    <row r="634" customFormat="false" ht="15" hidden="false" customHeight="false" outlineLevel="0" collapsed="false">
      <c r="A634" s="92" t="str">
        <f aca="false">SRC_Harness!$A34&amp;""</f>
        <v/>
      </c>
      <c r="B634" s="62" t="s">
        <v>10483</v>
      </c>
      <c r="C634" s="61" t="n">
        <v>34</v>
      </c>
      <c r="D634" s="92" t="n">
        <f aca="false">SRC_Harness!$O34</f>
        <v>0</v>
      </c>
      <c r="E634" s="92" t="n">
        <f aca="false">SRC_Harness!$K34</f>
        <v>0</v>
      </c>
      <c r="F634" s="92" t="n">
        <f aca="false">SRC_Harness!$S34</f>
        <v>0</v>
      </c>
    </row>
    <row r="635" customFormat="false" ht="15" hidden="false" customHeight="false" outlineLevel="0" collapsed="false">
      <c r="A635" s="92" t="str">
        <f aca="false">SRC_Harness!$A35&amp;""</f>
        <v/>
      </c>
      <c r="B635" s="62" t="s">
        <v>10483</v>
      </c>
      <c r="C635" s="61" t="n">
        <v>35</v>
      </c>
      <c r="D635" s="92" t="n">
        <f aca="false">SRC_Harness!$O35</f>
        <v>0</v>
      </c>
      <c r="E635" s="92" t="n">
        <f aca="false">SRC_Harness!$K35</f>
        <v>0</v>
      </c>
      <c r="F635" s="92" t="n">
        <f aca="false">SRC_Harness!$S35</f>
        <v>0</v>
      </c>
    </row>
    <row r="636" customFormat="false" ht="15" hidden="false" customHeight="false" outlineLevel="0" collapsed="false">
      <c r="A636" s="92" t="str">
        <f aca="false">SRC_Harness!$A36&amp;""</f>
        <v/>
      </c>
      <c r="B636" s="62" t="s">
        <v>10483</v>
      </c>
      <c r="C636" s="61" t="n">
        <v>36</v>
      </c>
      <c r="D636" s="92" t="n">
        <f aca="false">SRC_Harness!$O36</f>
        <v>0</v>
      </c>
      <c r="E636" s="92" t="n">
        <f aca="false">SRC_Harness!$K36</f>
        <v>0</v>
      </c>
      <c r="F636" s="92" t="n">
        <f aca="false">SRC_Harness!$S36</f>
        <v>0</v>
      </c>
    </row>
    <row r="637" customFormat="false" ht="15" hidden="false" customHeight="false" outlineLevel="0" collapsed="false">
      <c r="A637" s="92" t="str">
        <f aca="false">SRC_Harness!$A37&amp;""</f>
        <v/>
      </c>
      <c r="B637" s="62" t="s">
        <v>10483</v>
      </c>
      <c r="C637" s="61" t="n">
        <v>37</v>
      </c>
      <c r="D637" s="92" t="n">
        <f aca="false">SRC_Harness!$O37</f>
        <v>0</v>
      </c>
      <c r="E637" s="92" t="n">
        <f aca="false">SRC_Harness!$K37</f>
        <v>0</v>
      </c>
      <c r="F637" s="92" t="n">
        <f aca="false">SRC_Harness!$S37</f>
        <v>0</v>
      </c>
    </row>
    <row r="638" customFormat="false" ht="15" hidden="false" customHeight="false" outlineLevel="0" collapsed="false">
      <c r="A638" s="92" t="str">
        <f aca="false">SRC_Harness!$A38&amp;""</f>
        <v/>
      </c>
      <c r="B638" s="62" t="s">
        <v>10483</v>
      </c>
      <c r="C638" s="61" t="n">
        <v>38</v>
      </c>
      <c r="D638" s="92" t="n">
        <f aca="false">SRC_Harness!$O38</f>
        <v>0</v>
      </c>
      <c r="E638" s="92" t="n">
        <f aca="false">SRC_Harness!$K38</f>
        <v>0</v>
      </c>
      <c r="F638" s="92" t="n">
        <f aca="false">SRC_Harness!$S38</f>
        <v>0</v>
      </c>
    </row>
    <row r="639" customFormat="false" ht="15" hidden="false" customHeight="false" outlineLevel="0" collapsed="false">
      <c r="A639" s="92" t="str">
        <f aca="false">SRC_Harness!$A39&amp;""</f>
        <v/>
      </c>
      <c r="B639" s="62" t="s">
        <v>10483</v>
      </c>
      <c r="C639" s="61" t="n">
        <v>39</v>
      </c>
      <c r="D639" s="92" t="n">
        <f aca="false">SRC_Harness!$O39</f>
        <v>0</v>
      </c>
      <c r="E639" s="92" t="n">
        <f aca="false">SRC_Harness!$K39</f>
        <v>0</v>
      </c>
      <c r="F639" s="92" t="n">
        <f aca="false">SRC_Harness!$S39</f>
        <v>0</v>
      </c>
    </row>
    <row r="640" customFormat="false" ht="15" hidden="false" customHeight="false" outlineLevel="0" collapsed="false">
      <c r="A640" s="92" t="str">
        <f aca="false">SRC_Harness!$A40&amp;""</f>
        <v/>
      </c>
      <c r="B640" s="62" t="s">
        <v>10483</v>
      </c>
      <c r="C640" s="61" t="n">
        <v>40</v>
      </c>
      <c r="D640" s="92" t="n">
        <f aca="false">SRC_Harness!$O40</f>
        <v>0</v>
      </c>
      <c r="E640" s="92" t="n">
        <f aca="false">SRC_Harness!$K40</f>
        <v>0</v>
      </c>
      <c r="F640" s="92" t="n">
        <f aca="false">SRC_Harness!$S40</f>
        <v>0</v>
      </c>
    </row>
    <row r="641" customFormat="false" ht="15" hidden="false" customHeight="false" outlineLevel="0" collapsed="false">
      <c r="A641" s="92" t="str">
        <f aca="false">SRC_Harness!$A41&amp;""</f>
        <v/>
      </c>
      <c r="B641" s="62" t="s">
        <v>10483</v>
      </c>
      <c r="C641" s="61" t="n">
        <v>41</v>
      </c>
      <c r="D641" s="92" t="n">
        <f aca="false">SRC_Harness!$O41</f>
        <v>0</v>
      </c>
      <c r="E641" s="92" t="n">
        <f aca="false">SRC_Harness!$K41</f>
        <v>0</v>
      </c>
      <c r="F641" s="92" t="n">
        <f aca="false">SRC_Harness!$S41</f>
        <v>0</v>
      </c>
    </row>
    <row r="642" customFormat="false" ht="15" hidden="false" customHeight="false" outlineLevel="0" collapsed="false">
      <c r="A642" s="92" t="str">
        <f aca="false">SRC_Harness!$A42&amp;""</f>
        <v/>
      </c>
      <c r="B642" s="62" t="s">
        <v>10483</v>
      </c>
      <c r="C642" s="61" t="n">
        <v>42</v>
      </c>
      <c r="D642" s="92" t="n">
        <f aca="false">SRC_Harness!$O42</f>
        <v>0</v>
      </c>
      <c r="E642" s="92" t="n">
        <f aca="false">SRC_Harness!$K42</f>
        <v>0</v>
      </c>
      <c r="F642" s="92" t="n">
        <f aca="false">SRC_Harness!$S42</f>
        <v>0</v>
      </c>
    </row>
    <row r="643" customFormat="false" ht="15" hidden="false" customHeight="false" outlineLevel="0" collapsed="false">
      <c r="A643" s="92" t="str">
        <f aca="false">SRC_Harness!$A43&amp;""</f>
        <v/>
      </c>
      <c r="B643" s="62" t="s">
        <v>10483</v>
      </c>
      <c r="C643" s="61" t="n">
        <v>43</v>
      </c>
      <c r="D643" s="92" t="n">
        <f aca="false">SRC_Harness!$O43</f>
        <v>0</v>
      </c>
      <c r="E643" s="92" t="n">
        <f aca="false">SRC_Harness!$K43</f>
        <v>0</v>
      </c>
      <c r="F643" s="92" t="n">
        <f aca="false">SRC_Harness!$S43</f>
        <v>0</v>
      </c>
    </row>
    <row r="644" customFormat="false" ht="15" hidden="false" customHeight="false" outlineLevel="0" collapsed="false">
      <c r="A644" s="92" t="str">
        <f aca="false">SRC_Harness!$A44&amp;""</f>
        <v/>
      </c>
      <c r="B644" s="62" t="s">
        <v>10483</v>
      </c>
      <c r="C644" s="61" t="n">
        <v>44</v>
      </c>
      <c r="D644" s="92" t="n">
        <f aca="false">SRC_Harness!$O44</f>
        <v>0</v>
      </c>
      <c r="E644" s="92" t="n">
        <f aca="false">SRC_Harness!$K44</f>
        <v>0</v>
      </c>
      <c r="F644" s="92" t="n">
        <f aca="false">SRC_Harness!$S44</f>
        <v>0</v>
      </c>
    </row>
    <row r="645" customFormat="false" ht="15" hidden="false" customHeight="false" outlineLevel="0" collapsed="false">
      <c r="A645" s="92" t="str">
        <f aca="false">SRC_Harness!$A45&amp;""</f>
        <v/>
      </c>
      <c r="B645" s="62" t="s">
        <v>10483</v>
      </c>
      <c r="C645" s="61" t="n">
        <v>45</v>
      </c>
      <c r="D645" s="92" t="n">
        <f aca="false">SRC_Harness!$O45</f>
        <v>0</v>
      </c>
      <c r="E645" s="92" t="n">
        <f aca="false">SRC_Harness!$K45</f>
        <v>0</v>
      </c>
      <c r="F645" s="92" t="n">
        <f aca="false">SRC_Harness!$S45</f>
        <v>0</v>
      </c>
    </row>
    <row r="646" customFormat="false" ht="15" hidden="false" customHeight="false" outlineLevel="0" collapsed="false">
      <c r="A646" s="92" t="str">
        <f aca="false">SRC_Harness!$A46&amp;""</f>
        <v/>
      </c>
      <c r="B646" s="62" t="s">
        <v>10483</v>
      </c>
      <c r="C646" s="61" t="n">
        <v>46</v>
      </c>
      <c r="D646" s="92" t="n">
        <f aca="false">SRC_Harness!$O46</f>
        <v>0</v>
      </c>
      <c r="E646" s="92" t="n">
        <f aca="false">SRC_Harness!$K46</f>
        <v>0</v>
      </c>
      <c r="F646" s="92" t="n">
        <f aca="false">SRC_Harness!$S46</f>
        <v>0</v>
      </c>
    </row>
    <row r="647" customFormat="false" ht="15" hidden="false" customHeight="false" outlineLevel="0" collapsed="false">
      <c r="A647" s="92" t="str">
        <f aca="false">SRC_Harness!$A47&amp;""</f>
        <v/>
      </c>
      <c r="B647" s="62" t="s">
        <v>10483</v>
      </c>
      <c r="C647" s="61" t="n">
        <v>47</v>
      </c>
      <c r="D647" s="92" t="n">
        <f aca="false">SRC_Harness!$O47</f>
        <v>0</v>
      </c>
      <c r="E647" s="92" t="n">
        <f aca="false">SRC_Harness!$K47</f>
        <v>0</v>
      </c>
      <c r="F647" s="92" t="n">
        <f aca="false">SRC_Harness!$S47</f>
        <v>0</v>
      </c>
    </row>
    <row r="648" customFormat="false" ht="15" hidden="false" customHeight="false" outlineLevel="0" collapsed="false">
      <c r="A648" s="92" t="str">
        <f aca="false">SRC_Harness!$A48&amp;""</f>
        <v/>
      </c>
      <c r="B648" s="62" t="s">
        <v>10483</v>
      </c>
      <c r="C648" s="61" t="n">
        <v>48</v>
      </c>
      <c r="D648" s="92" t="n">
        <f aca="false">SRC_Harness!$O48</f>
        <v>0</v>
      </c>
      <c r="E648" s="92" t="n">
        <f aca="false">SRC_Harness!$K48</f>
        <v>0</v>
      </c>
      <c r="F648" s="92" t="n">
        <f aca="false">SRC_Harness!$S48</f>
        <v>0</v>
      </c>
    </row>
    <row r="649" customFormat="false" ht="15" hidden="false" customHeight="false" outlineLevel="0" collapsed="false">
      <c r="A649" s="92" t="str">
        <f aca="false">SRC_Harness!$A49&amp;""</f>
        <v/>
      </c>
      <c r="B649" s="62" t="s">
        <v>10483</v>
      </c>
      <c r="C649" s="61" t="n">
        <v>49</v>
      </c>
      <c r="D649" s="92" t="n">
        <f aca="false">SRC_Harness!$O49</f>
        <v>0</v>
      </c>
      <c r="E649" s="92" t="n">
        <f aca="false">SRC_Harness!$K49</f>
        <v>0</v>
      </c>
      <c r="F649" s="92" t="n">
        <f aca="false">SRC_Harness!$S49</f>
        <v>0</v>
      </c>
    </row>
    <row r="650" customFormat="false" ht="15" hidden="false" customHeight="false" outlineLevel="0" collapsed="false">
      <c r="A650" s="92" t="str">
        <f aca="false">SRC_Harness!$A50&amp;""</f>
        <v/>
      </c>
      <c r="B650" s="62" t="s">
        <v>10483</v>
      </c>
      <c r="C650" s="61" t="n">
        <v>50</v>
      </c>
      <c r="D650" s="92" t="n">
        <f aca="false">SRC_Harness!$O50</f>
        <v>0</v>
      </c>
      <c r="E650" s="92" t="n">
        <f aca="false">SRC_Harness!$K50</f>
        <v>0</v>
      </c>
      <c r="F650" s="92" t="n">
        <f aca="false">SRC_Harness!$S50</f>
        <v>0</v>
      </c>
    </row>
    <row r="651" customFormat="false" ht="15" hidden="false" customHeight="false" outlineLevel="0" collapsed="false">
      <c r="A651" s="92" t="str">
        <f aca="false">SRC_Harness!$A51&amp;""</f>
        <v/>
      </c>
      <c r="B651" s="62" t="s">
        <v>10483</v>
      </c>
      <c r="C651" s="61" t="n">
        <v>51</v>
      </c>
      <c r="D651" s="92" t="n">
        <f aca="false">SRC_Harness!$O51</f>
        <v>0</v>
      </c>
      <c r="E651" s="92" t="n">
        <f aca="false">SRC_Harness!$K51</f>
        <v>0</v>
      </c>
      <c r="F651" s="92" t="n">
        <f aca="false">SRC_Harness!$S51</f>
        <v>0</v>
      </c>
    </row>
    <row r="652" customFormat="false" ht="15" hidden="false" customHeight="false" outlineLevel="0" collapsed="false">
      <c r="A652" s="92" t="str">
        <f aca="false">SRC_Harness!$A52&amp;""</f>
        <v/>
      </c>
      <c r="B652" s="62" t="s">
        <v>10483</v>
      </c>
      <c r="C652" s="61" t="n">
        <v>52</v>
      </c>
      <c r="D652" s="92" t="n">
        <f aca="false">SRC_Harness!$O52</f>
        <v>0</v>
      </c>
      <c r="E652" s="92" t="n">
        <f aca="false">SRC_Harness!$K52</f>
        <v>0</v>
      </c>
      <c r="F652" s="92" t="n">
        <f aca="false">SRC_Harness!$S52</f>
        <v>0</v>
      </c>
    </row>
    <row r="653" customFormat="false" ht="15" hidden="false" customHeight="false" outlineLevel="0" collapsed="false">
      <c r="A653" s="92" t="str">
        <f aca="false">SRC_Harness!$A53&amp;""</f>
        <v/>
      </c>
      <c r="B653" s="62" t="s">
        <v>10483</v>
      </c>
      <c r="C653" s="61" t="n">
        <v>53</v>
      </c>
      <c r="D653" s="92" t="n">
        <f aca="false">SRC_Harness!$O53</f>
        <v>0</v>
      </c>
      <c r="E653" s="92" t="n">
        <f aca="false">SRC_Harness!$K53</f>
        <v>0</v>
      </c>
      <c r="F653" s="92" t="n">
        <f aca="false">SRC_Harness!$S53</f>
        <v>0</v>
      </c>
    </row>
    <row r="654" customFormat="false" ht="15" hidden="false" customHeight="false" outlineLevel="0" collapsed="false">
      <c r="A654" s="92" t="str">
        <f aca="false">SRC_Harness!$A54&amp;""</f>
        <v/>
      </c>
      <c r="B654" s="62" t="s">
        <v>10483</v>
      </c>
      <c r="C654" s="61" t="n">
        <v>54</v>
      </c>
      <c r="D654" s="92" t="n">
        <f aca="false">SRC_Harness!$O54</f>
        <v>0</v>
      </c>
      <c r="E654" s="92" t="n">
        <f aca="false">SRC_Harness!$K54</f>
        <v>0</v>
      </c>
      <c r="F654" s="92" t="n">
        <f aca="false">SRC_Harness!$S54</f>
        <v>0</v>
      </c>
    </row>
    <row r="655" customFormat="false" ht="15" hidden="false" customHeight="false" outlineLevel="0" collapsed="false">
      <c r="A655" s="92" t="str">
        <f aca="false">SRC_Harness!$A55&amp;""</f>
        <v/>
      </c>
      <c r="B655" s="62" t="s">
        <v>10483</v>
      </c>
      <c r="C655" s="61" t="n">
        <v>55</v>
      </c>
      <c r="D655" s="92" t="n">
        <f aca="false">SRC_Harness!$O55</f>
        <v>0</v>
      </c>
      <c r="E655" s="92" t="n">
        <f aca="false">SRC_Harness!$K55</f>
        <v>0</v>
      </c>
      <c r="F655" s="92" t="n">
        <f aca="false">SRC_Harness!$S55</f>
        <v>0</v>
      </c>
    </row>
    <row r="656" customFormat="false" ht="15" hidden="false" customHeight="false" outlineLevel="0" collapsed="false">
      <c r="A656" s="92" t="str">
        <f aca="false">SRC_Harness!$A56&amp;""</f>
        <v/>
      </c>
      <c r="B656" s="62" t="s">
        <v>10483</v>
      </c>
      <c r="C656" s="61" t="n">
        <v>56</v>
      </c>
      <c r="D656" s="92" t="n">
        <f aca="false">SRC_Harness!$O56</f>
        <v>0</v>
      </c>
      <c r="E656" s="92" t="n">
        <f aca="false">SRC_Harness!$K56</f>
        <v>0</v>
      </c>
      <c r="F656" s="92" t="n">
        <f aca="false">SRC_Harness!$S56</f>
        <v>0</v>
      </c>
    </row>
    <row r="657" customFormat="false" ht="15" hidden="false" customHeight="false" outlineLevel="0" collapsed="false">
      <c r="A657" s="92" t="str">
        <f aca="false">SRC_Harness!$A57&amp;""</f>
        <v/>
      </c>
      <c r="B657" s="62" t="s">
        <v>10483</v>
      </c>
      <c r="C657" s="61" t="n">
        <v>57</v>
      </c>
      <c r="D657" s="92" t="n">
        <f aca="false">SRC_Harness!$O57</f>
        <v>0</v>
      </c>
      <c r="E657" s="92" t="n">
        <f aca="false">SRC_Harness!$K57</f>
        <v>0</v>
      </c>
      <c r="F657" s="92" t="n">
        <f aca="false">SRC_Harness!$S57</f>
        <v>0</v>
      </c>
    </row>
    <row r="658" customFormat="false" ht="15" hidden="false" customHeight="false" outlineLevel="0" collapsed="false">
      <c r="A658" s="92" t="str">
        <f aca="false">SRC_Harness!$A58&amp;""</f>
        <v/>
      </c>
      <c r="B658" s="62" t="s">
        <v>10483</v>
      </c>
      <c r="C658" s="61" t="n">
        <v>58</v>
      </c>
      <c r="D658" s="92" t="n">
        <f aca="false">SRC_Harness!$O58</f>
        <v>0</v>
      </c>
      <c r="E658" s="92" t="n">
        <f aca="false">SRC_Harness!$K58</f>
        <v>0</v>
      </c>
      <c r="F658" s="92" t="n">
        <f aca="false">SRC_Harness!$S58</f>
        <v>0</v>
      </c>
    </row>
    <row r="659" customFormat="false" ht="15" hidden="false" customHeight="false" outlineLevel="0" collapsed="false">
      <c r="A659" s="92" t="str">
        <f aca="false">SRC_Harness!$A59&amp;""</f>
        <v/>
      </c>
      <c r="B659" s="62" t="s">
        <v>10483</v>
      </c>
      <c r="C659" s="61" t="n">
        <v>59</v>
      </c>
      <c r="D659" s="92" t="n">
        <f aca="false">SRC_Harness!$O59</f>
        <v>0</v>
      </c>
      <c r="E659" s="92" t="n">
        <f aca="false">SRC_Harness!$K59</f>
        <v>0</v>
      </c>
      <c r="F659" s="92" t="n">
        <f aca="false">SRC_Harness!$S59</f>
        <v>0</v>
      </c>
    </row>
    <row r="660" customFormat="false" ht="15" hidden="false" customHeight="false" outlineLevel="0" collapsed="false">
      <c r="A660" s="92" t="str">
        <f aca="false">SRC_Harness!$A60&amp;""</f>
        <v/>
      </c>
      <c r="B660" s="62" t="s">
        <v>10483</v>
      </c>
      <c r="C660" s="61" t="n">
        <v>60</v>
      </c>
      <c r="D660" s="92" t="n">
        <f aca="false">SRC_Harness!$O60</f>
        <v>0</v>
      </c>
      <c r="E660" s="92" t="n">
        <f aca="false">SRC_Harness!$K60</f>
        <v>0</v>
      </c>
      <c r="F660" s="92" t="n">
        <f aca="false">SRC_Harness!$S60</f>
        <v>0</v>
      </c>
    </row>
    <row r="661" customFormat="false" ht="15" hidden="false" customHeight="false" outlineLevel="0" collapsed="false">
      <c r="A661" s="92" t="str">
        <f aca="false">SRC_Harness!$A61&amp;""</f>
        <v/>
      </c>
      <c r="B661" s="62" t="s">
        <v>10483</v>
      </c>
      <c r="C661" s="61" t="n">
        <v>61</v>
      </c>
      <c r="D661" s="92" t="n">
        <f aca="false">SRC_Harness!$O61</f>
        <v>0</v>
      </c>
      <c r="E661" s="92" t="n">
        <f aca="false">SRC_Harness!$K61</f>
        <v>0</v>
      </c>
      <c r="F661" s="92" t="n">
        <f aca="false">SRC_Harness!$S61</f>
        <v>0</v>
      </c>
    </row>
    <row r="662" customFormat="false" ht="15" hidden="false" customHeight="false" outlineLevel="0" collapsed="false">
      <c r="A662" s="92" t="str">
        <f aca="false">SRC_Harness!$A62&amp;""</f>
        <v/>
      </c>
      <c r="B662" s="62" t="s">
        <v>10483</v>
      </c>
      <c r="C662" s="61" t="n">
        <v>62</v>
      </c>
      <c r="D662" s="92" t="n">
        <f aca="false">SRC_Harness!$O62</f>
        <v>0</v>
      </c>
      <c r="E662" s="92" t="n">
        <f aca="false">SRC_Harness!$K62</f>
        <v>0</v>
      </c>
      <c r="F662" s="92" t="n">
        <f aca="false">SRC_Harness!$S62</f>
        <v>0</v>
      </c>
    </row>
    <row r="663" customFormat="false" ht="15" hidden="false" customHeight="false" outlineLevel="0" collapsed="false">
      <c r="A663" s="92" t="str">
        <f aca="false">SRC_Harness!$A63&amp;""</f>
        <v/>
      </c>
      <c r="B663" s="62" t="s">
        <v>10483</v>
      </c>
      <c r="C663" s="61" t="n">
        <v>63</v>
      </c>
      <c r="D663" s="92" t="n">
        <f aca="false">SRC_Harness!$O63</f>
        <v>0</v>
      </c>
      <c r="E663" s="92" t="n">
        <f aca="false">SRC_Harness!$K63</f>
        <v>0</v>
      </c>
      <c r="F663" s="92" t="n">
        <f aca="false">SRC_Harness!$S63</f>
        <v>0</v>
      </c>
    </row>
    <row r="664" customFormat="false" ht="15" hidden="false" customHeight="false" outlineLevel="0" collapsed="false">
      <c r="A664" s="92" t="str">
        <f aca="false">SRC_Harness!$A64&amp;""</f>
        <v/>
      </c>
      <c r="B664" s="62" t="s">
        <v>10483</v>
      </c>
      <c r="C664" s="61" t="n">
        <v>64</v>
      </c>
      <c r="D664" s="92" t="n">
        <f aca="false">SRC_Harness!$O64</f>
        <v>0</v>
      </c>
      <c r="E664" s="92" t="n">
        <f aca="false">SRC_Harness!$K64</f>
        <v>0</v>
      </c>
      <c r="F664" s="92" t="n">
        <f aca="false">SRC_Harness!$S64</f>
        <v>0</v>
      </c>
    </row>
    <row r="665" customFormat="false" ht="15" hidden="false" customHeight="false" outlineLevel="0" collapsed="false">
      <c r="A665" s="92" t="str">
        <f aca="false">SRC_Harness!$A65&amp;""</f>
        <v/>
      </c>
      <c r="B665" s="62" t="s">
        <v>10483</v>
      </c>
      <c r="C665" s="61" t="n">
        <v>65</v>
      </c>
      <c r="D665" s="92" t="n">
        <f aca="false">SRC_Harness!$O65</f>
        <v>0</v>
      </c>
      <c r="E665" s="92" t="n">
        <f aca="false">SRC_Harness!$K65</f>
        <v>0</v>
      </c>
      <c r="F665" s="92" t="n">
        <f aca="false">SRC_Harness!$S65</f>
        <v>0</v>
      </c>
    </row>
    <row r="666" customFormat="false" ht="15" hidden="false" customHeight="false" outlineLevel="0" collapsed="false">
      <c r="A666" s="92" t="str">
        <f aca="false">SRC_Harness!$A66&amp;""</f>
        <v/>
      </c>
      <c r="B666" s="62" t="s">
        <v>10483</v>
      </c>
      <c r="C666" s="61" t="n">
        <v>66</v>
      </c>
      <c r="D666" s="92" t="n">
        <f aca="false">SRC_Harness!$O66</f>
        <v>0</v>
      </c>
      <c r="E666" s="92" t="n">
        <f aca="false">SRC_Harness!$K66</f>
        <v>0</v>
      </c>
      <c r="F666" s="92" t="n">
        <f aca="false">SRC_Harness!$S66</f>
        <v>0</v>
      </c>
    </row>
    <row r="667" customFormat="false" ht="15" hidden="false" customHeight="false" outlineLevel="0" collapsed="false">
      <c r="A667" s="92" t="str">
        <f aca="false">SRC_Harness!$A67&amp;""</f>
        <v/>
      </c>
      <c r="B667" s="62" t="s">
        <v>10483</v>
      </c>
      <c r="C667" s="61" t="n">
        <v>67</v>
      </c>
      <c r="D667" s="92" t="n">
        <f aca="false">SRC_Harness!$O67</f>
        <v>0</v>
      </c>
      <c r="E667" s="92" t="n">
        <f aca="false">SRC_Harness!$K67</f>
        <v>0</v>
      </c>
      <c r="F667" s="92" t="n">
        <f aca="false">SRC_Harness!$S67</f>
        <v>0</v>
      </c>
    </row>
    <row r="668" customFormat="false" ht="15" hidden="false" customHeight="false" outlineLevel="0" collapsed="false">
      <c r="A668" s="92" t="str">
        <f aca="false">SRC_Harness!$A68&amp;""</f>
        <v/>
      </c>
      <c r="B668" s="62" t="s">
        <v>10483</v>
      </c>
      <c r="C668" s="61" t="n">
        <v>68</v>
      </c>
      <c r="D668" s="92" t="n">
        <f aca="false">SRC_Harness!$O68</f>
        <v>0</v>
      </c>
      <c r="E668" s="92" t="n">
        <f aca="false">SRC_Harness!$K68</f>
        <v>0</v>
      </c>
      <c r="F668" s="92" t="n">
        <f aca="false">SRC_Harness!$S68</f>
        <v>0</v>
      </c>
    </row>
    <row r="669" customFormat="false" ht="15" hidden="false" customHeight="false" outlineLevel="0" collapsed="false">
      <c r="A669" s="92" t="str">
        <f aca="false">SRC_Harness!$A69&amp;""</f>
        <v/>
      </c>
      <c r="B669" s="62" t="s">
        <v>10483</v>
      </c>
      <c r="C669" s="61" t="n">
        <v>69</v>
      </c>
      <c r="D669" s="92" t="n">
        <f aca="false">SRC_Harness!$O69</f>
        <v>0</v>
      </c>
      <c r="E669" s="92" t="n">
        <f aca="false">SRC_Harness!$K69</f>
        <v>0</v>
      </c>
      <c r="F669" s="92" t="n">
        <f aca="false">SRC_Harness!$S69</f>
        <v>0</v>
      </c>
    </row>
    <row r="670" customFormat="false" ht="15" hidden="false" customHeight="false" outlineLevel="0" collapsed="false">
      <c r="A670" s="92" t="str">
        <f aca="false">SRC_Harness!$A70&amp;""</f>
        <v/>
      </c>
      <c r="B670" s="62" t="s">
        <v>10483</v>
      </c>
      <c r="C670" s="61" t="n">
        <v>70</v>
      </c>
      <c r="D670" s="92" t="n">
        <f aca="false">SRC_Harness!$O70</f>
        <v>0</v>
      </c>
      <c r="E670" s="92" t="n">
        <f aca="false">SRC_Harness!$K70</f>
        <v>0</v>
      </c>
      <c r="F670" s="92" t="n">
        <f aca="false">SRC_Harness!$S70</f>
        <v>0</v>
      </c>
    </row>
    <row r="671" customFormat="false" ht="15" hidden="false" customHeight="false" outlineLevel="0" collapsed="false">
      <c r="A671" s="92" t="str">
        <f aca="false">SRC_Demand!$A5&amp;""</f>
        <v>SRC_DEM_001</v>
      </c>
      <c r="B671" s="62" t="s">
        <v>3389</v>
      </c>
      <c r="C671" s="61" t="n">
        <v>5</v>
      </c>
      <c r="D671" s="92" t="str">
        <f aca="false">SRC_Demand!$O5</f>
        <v>Active</v>
      </c>
      <c r="E671" s="92" t="n">
        <f aca="false">SRC_Demand!$K5</f>
        <v>1</v>
      </c>
      <c r="F671" s="92" t="str">
        <f aca="false">SRC_Demand!$S5</f>
        <v>—</v>
      </c>
    </row>
    <row r="672" customFormat="false" ht="15" hidden="false" customHeight="false" outlineLevel="0" collapsed="false">
      <c r="A672" s="92" t="str">
        <f aca="false">SRC_Demand!$A6&amp;""</f>
        <v>SRC_DEM_002</v>
      </c>
      <c r="B672" s="62" t="s">
        <v>3389</v>
      </c>
      <c r="C672" s="61" t="n">
        <v>6</v>
      </c>
      <c r="D672" s="92" t="str">
        <f aca="false">SRC_Demand!$O6</f>
        <v>Active</v>
      </c>
      <c r="E672" s="92" t="n">
        <f aca="false">SRC_Demand!$K6</f>
        <v>1</v>
      </c>
      <c r="F672" s="92" t="str">
        <f aca="false">SRC_Demand!$S6</f>
        <v>—</v>
      </c>
    </row>
    <row r="673" customFormat="false" ht="15" hidden="false" customHeight="false" outlineLevel="0" collapsed="false">
      <c r="A673" s="92" t="str">
        <f aca="false">SRC_Demand!$A7&amp;""</f>
        <v>SRC_DEM_003</v>
      </c>
      <c r="B673" s="62" t="s">
        <v>3389</v>
      </c>
      <c r="C673" s="61" t="n">
        <v>7</v>
      </c>
      <c r="D673" s="92" t="str">
        <f aca="false">SRC_Demand!$O7</f>
        <v>Active</v>
      </c>
      <c r="E673" s="92" t="n">
        <f aca="false">SRC_Demand!$K7</f>
        <v>1</v>
      </c>
      <c r="F673" s="92" t="str">
        <f aca="false">SRC_Demand!$S7</f>
        <v>—</v>
      </c>
    </row>
    <row r="674" customFormat="false" ht="15" hidden="false" customHeight="false" outlineLevel="0" collapsed="false">
      <c r="A674" s="92" t="str">
        <f aca="false">SRC_Demand!$A8&amp;""</f>
        <v>SRC_DEM_004</v>
      </c>
      <c r="B674" s="62" t="s">
        <v>3389</v>
      </c>
      <c r="C674" s="61" t="n">
        <v>8</v>
      </c>
      <c r="D674" s="92" t="str">
        <f aca="false">SRC_Demand!$O8</f>
        <v>Active</v>
      </c>
      <c r="E674" s="92" t="n">
        <f aca="false">SRC_Demand!$K8</f>
        <v>2</v>
      </c>
      <c r="F674" s="92" t="str">
        <f aca="false">SRC_Demand!$S8</f>
        <v>—</v>
      </c>
    </row>
    <row r="675" customFormat="false" ht="15" hidden="false" customHeight="false" outlineLevel="0" collapsed="false">
      <c r="A675" s="92" t="str">
        <f aca="false">SRC_Demand!$A9&amp;""</f>
        <v>SRC_DEM_005</v>
      </c>
      <c r="B675" s="62" t="s">
        <v>3389</v>
      </c>
      <c r="C675" s="61" t="n">
        <v>9</v>
      </c>
      <c r="D675" s="92" t="str">
        <f aca="false">SRC_Demand!$O9</f>
        <v>Active</v>
      </c>
      <c r="E675" s="92" t="n">
        <f aca="false">SRC_Demand!$K9</f>
        <v>2</v>
      </c>
      <c r="F675" s="92" t="str">
        <f aca="false">SRC_Demand!$S9</f>
        <v>—</v>
      </c>
    </row>
    <row r="676" customFormat="false" ht="15" hidden="false" customHeight="false" outlineLevel="0" collapsed="false">
      <c r="A676" s="92" t="str">
        <f aca="false">SRC_Demand!$A10&amp;""</f>
        <v>SRC_DEM_006</v>
      </c>
      <c r="B676" s="62" t="s">
        <v>3389</v>
      </c>
      <c r="C676" s="61" t="n">
        <v>10</v>
      </c>
      <c r="D676" s="92" t="str">
        <f aca="false">SRC_Demand!$O10</f>
        <v>Active</v>
      </c>
      <c r="E676" s="92" t="n">
        <f aca="false">SRC_Demand!$K10</f>
        <v>2</v>
      </c>
      <c r="F676" s="92" t="str">
        <f aca="false">SRC_Demand!$S10</f>
        <v>—</v>
      </c>
    </row>
    <row r="677" customFormat="false" ht="15" hidden="false" customHeight="false" outlineLevel="0" collapsed="false">
      <c r="A677" s="92" t="str">
        <f aca="false">SRC_Demand!$A11&amp;""</f>
        <v>SRC_DEM_007</v>
      </c>
      <c r="B677" s="62" t="s">
        <v>3389</v>
      </c>
      <c r="C677" s="61" t="n">
        <v>11</v>
      </c>
      <c r="D677" s="92" t="str">
        <f aca="false">SRC_Demand!$O11</f>
        <v>Active</v>
      </c>
      <c r="E677" s="92" t="n">
        <f aca="false">SRC_Demand!$K11</f>
        <v>2</v>
      </c>
      <c r="F677" s="92" t="str">
        <f aca="false">SRC_Demand!$S11</f>
        <v>—</v>
      </c>
    </row>
    <row r="678" customFormat="false" ht="15" hidden="false" customHeight="false" outlineLevel="0" collapsed="false">
      <c r="A678" s="92" t="str">
        <f aca="false">SRC_Demand!$A12&amp;""</f>
        <v>SRC_DEM_008</v>
      </c>
      <c r="B678" s="62" t="s">
        <v>3389</v>
      </c>
      <c r="C678" s="61" t="n">
        <v>12</v>
      </c>
      <c r="D678" s="92" t="str">
        <f aca="false">SRC_Demand!$O12</f>
        <v>Active</v>
      </c>
      <c r="E678" s="92" t="n">
        <f aca="false">SRC_Demand!$K12</f>
        <v>2</v>
      </c>
      <c r="F678" s="92" t="str">
        <f aca="false">SRC_Demand!$S12</f>
        <v>—</v>
      </c>
    </row>
    <row r="679" customFormat="false" ht="15" hidden="false" customHeight="false" outlineLevel="0" collapsed="false">
      <c r="A679" s="92" t="str">
        <f aca="false">SRC_Demand!$A13&amp;""</f>
        <v>SRC_DEM_009</v>
      </c>
      <c r="B679" s="62" t="s">
        <v>3389</v>
      </c>
      <c r="C679" s="61" t="n">
        <v>13</v>
      </c>
      <c r="D679" s="92" t="str">
        <f aca="false">SRC_Demand!$O13</f>
        <v>Active</v>
      </c>
      <c r="E679" s="92" t="n">
        <f aca="false">SRC_Demand!$K13</f>
        <v>2</v>
      </c>
      <c r="F679" s="92" t="str">
        <f aca="false">SRC_Demand!$S13</f>
        <v>—</v>
      </c>
    </row>
    <row r="680" customFormat="false" ht="15" hidden="false" customHeight="false" outlineLevel="0" collapsed="false">
      <c r="A680" s="92" t="str">
        <f aca="false">SRC_Demand!$A14&amp;""</f>
        <v>SRC_DEM_010</v>
      </c>
      <c r="B680" s="62" t="s">
        <v>3389</v>
      </c>
      <c r="C680" s="61" t="n">
        <v>14</v>
      </c>
      <c r="D680" s="92" t="str">
        <f aca="false">SRC_Demand!$O14</f>
        <v>Active</v>
      </c>
      <c r="E680" s="92" t="n">
        <f aca="false">SRC_Demand!$K14</f>
        <v>2</v>
      </c>
      <c r="F680" s="92" t="str">
        <f aca="false">SRC_Demand!$S14</f>
        <v>—</v>
      </c>
    </row>
    <row r="681" customFormat="false" ht="15" hidden="false" customHeight="false" outlineLevel="0" collapsed="false">
      <c r="A681" s="92" t="str">
        <f aca="false">SRC_Demand!$A15&amp;""</f>
        <v>SRC_DEM_011</v>
      </c>
      <c r="B681" s="62" t="s">
        <v>3389</v>
      </c>
      <c r="C681" s="61" t="n">
        <v>15</v>
      </c>
      <c r="D681" s="92" t="str">
        <f aca="false">SRC_Demand!$O15</f>
        <v>Active</v>
      </c>
      <c r="E681" s="92" t="n">
        <f aca="false">SRC_Demand!$K15</f>
        <v>1</v>
      </c>
      <c r="F681" s="92" t="str">
        <f aca="false">SRC_Demand!$S15</f>
        <v>2026-10-05</v>
      </c>
    </row>
    <row r="682" customFormat="false" ht="15" hidden="false" customHeight="false" outlineLevel="0" collapsed="false">
      <c r="A682" s="92" t="str">
        <f aca="false">SRC_Demand!$A16&amp;""</f>
        <v>SRC_DEM_012</v>
      </c>
      <c r="B682" s="62" t="s">
        <v>3389</v>
      </c>
      <c r="C682" s="61" t="n">
        <v>16</v>
      </c>
      <c r="D682" s="92" t="str">
        <f aca="false">SRC_Demand!$O16</f>
        <v>Active</v>
      </c>
      <c r="E682" s="92" t="n">
        <f aca="false">SRC_Demand!$K16</f>
        <v>2</v>
      </c>
      <c r="F682" s="92" t="str">
        <f aca="false">SRC_Demand!$S16</f>
        <v>—</v>
      </c>
    </row>
    <row r="683" customFormat="false" ht="15" hidden="false" customHeight="false" outlineLevel="0" collapsed="false">
      <c r="A683" s="92" t="str">
        <f aca="false">SRC_Demand!$A17&amp;""</f>
        <v>SRC_DEM_013</v>
      </c>
      <c r="B683" s="62" t="s">
        <v>3389</v>
      </c>
      <c r="C683" s="61" t="n">
        <v>17</v>
      </c>
      <c r="D683" s="92" t="str">
        <f aca="false">SRC_Demand!$O17</f>
        <v>Active</v>
      </c>
      <c r="E683" s="92" t="n">
        <f aca="false">SRC_Demand!$K17</f>
        <v>1</v>
      </c>
      <c r="F683" s="92" t="str">
        <f aca="false">SRC_Demand!$S17</f>
        <v>2026-10-05</v>
      </c>
    </row>
    <row r="684" customFormat="false" ht="15" hidden="false" customHeight="false" outlineLevel="0" collapsed="false">
      <c r="A684" s="92" t="str">
        <f aca="false">SRC_Demand!$A18&amp;""</f>
        <v>SRC_DEM_014</v>
      </c>
      <c r="B684" s="62" t="s">
        <v>3389</v>
      </c>
      <c r="C684" s="61" t="n">
        <v>18</v>
      </c>
      <c r="D684" s="92" t="str">
        <f aca="false">SRC_Demand!$O18</f>
        <v>Active</v>
      </c>
      <c r="E684" s="92" t="n">
        <f aca="false">SRC_Demand!$K18</f>
        <v>1</v>
      </c>
      <c r="F684" s="92" t="str">
        <f aca="false">SRC_Demand!$S18</f>
        <v>—</v>
      </c>
    </row>
    <row r="685" customFormat="false" ht="15" hidden="false" customHeight="false" outlineLevel="0" collapsed="false">
      <c r="A685" s="92" t="str">
        <f aca="false">SRC_Demand!$A19&amp;""</f>
        <v>SRC_DEM_015</v>
      </c>
      <c r="B685" s="62" t="s">
        <v>3389</v>
      </c>
      <c r="C685" s="61" t="n">
        <v>19</v>
      </c>
      <c r="D685" s="92" t="str">
        <f aca="false">SRC_Demand!$O19</f>
        <v>Active</v>
      </c>
      <c r="E685" s="92" t="n">
        <f aca="false">SRC_Demand!$K19</f>
        <v>1</v>
      </c>
      <c r="F685" s="92" t="str">
        <f aca="false">SRC_Demand!$S19</f>
        <v>—</v>
      </c>
    </row>
    <row r="686" customFormat="false" ht="15" hidden="false" customHeight="false" outlineLevel="0" collapsed="false">
      <c r="A686" s="92" t="str">
        <f aca="false">SRC_Demand!$A20&amp;""</f>
        <v>SRC_DEM_016</v>
      </c>
      <c r="B686" s="62" t="s">
        <v>3389</v>
      </c>
      <c r="C686" s="61" t="n">
        <v>20</v>
      </c>
      <c r="D686" s="92" t="str">
        <f aca="false">SRC_Demand!$O20</f>
        <v>Active</v>
      </c>
      <c r="E686" s="92" t="n">
        <f aca="false">SRC_Demand!$K20</f>
        <v>1</v>
      </c>
      <c r="F686" s="92" t="str">
        <f aca="false">SRC_Demand!$S20</f>
        <v>—</v>
      </c>
    </row>
    <row r="687" customFormat="false" ht="15" hidden="false" customHeight="false" outlineLevel="0" collapsed="false">
      <c r="A687" s="92" t="str">
        <f aca="false">SRC_Demand!$A21&amp;""</f>
        <v>SRC_DEM_017</v>
      </c>
      <c r="B687" s="62" t="s">
        <v>3389</v>
      </c>
      <c r="C687" s="61" t="n">
        <v>21</v>
      </c>
      <c r="D687" s="92" t="str">
        <f aca="false">SRC_Demand!$O21</f>
        <v>Active</v>
      </c>
      <c r="E687" s="92" t="n">
        <f aca="false">SRC_Demand!$K21</f>
        <v>1</v>
      </c>
      <c r="F687" s="92" t="str">
        <f aca="false">SRC_Demand!$S21</f>
        <v>—</v>
      </c>
    </row>
    <row r="688" customFormat="false" ht="15" hidden="false" customHeight="false" outlineLevel="0" collapsed="false">
      <c r="A688" s="92" t="str">
        <f aca="false">SRC_Demand!$A22&amp;""</f>
        <v>SRC_DEM_018</v>
      </c>
      <c r="B688" s="62" t="s">
        <v>3389</v>
      </c>
      <c r="C688" s="61" t="n">
        <v>22</v>
      </c>
      <c r="D688" s="92" t="str">
        <f aca="false">SRC_Demand!$O22</f>
        <v>Active</v>
      </c>
      <c r="E688" s="92" t="n">
        <f aca="false">SRC_Demand!$K22</f>
        <v>2</v>
      </c>
      <c r="F688" s="92" t="str">
        <f aca="false">SRC_Demand!$S22</f>
        <v>—</v>
      </c>
    </row>
    <row r="689" customFormat="false" ht="15" hidden="false" customHeight="false" outlineLevel="0" collapsed="false">
      <c r="A689" s="92" t="str">
        <f aca="false">SRC_Demand!$A23&amp;""</f>
        <v>SRC_DEM_019</v>
      </c>
      <c r="B689" s="62" t="s">
        <v>3389</v>
      </c>
      <c r="C689" s="61" t="n">
        <v>23</v>
      </c>
      <c r="D689" s="92" t="str">
        <f aca="false">SRC_Demand!$O23</f>
        <v>Active</v>
      </c>
      <c r="E689" s="92" t="n">
        <f aca="false">SRC_Demand!$K23</f>
        <v>1</v>
      </c>
      <c r="F689" s="92" t="str">
        <f aca="false">SRC_Demand!$S23</f>
        <v>—</v>
      </c>
    </row>
    <row r="690" customFormat="false" ht="15" hidden="false" customHeight="false" outlineLevel="0" collapsed="false">
      <c r="A690" s="92" t="str">
        <f aca="false">SRC_Demand!$A24&amp;""</f>
        <v>SRC_DEM_020</v>
      </c>
      <c r="B690" s="62" t="s">
        <v>3389</v>
      </c>
      <c r="C690" s="61" t="n">
        <v>24</v>
      </c>
      <c r="D690" s="92" t="str">
        <f aca="false">SRC_Demand!$O24</f>
        <v>Active</v>
      </c>
      <c r="E690" s="92" t="n">
        <f aca="false">SRC_Demand!$K24</f>
        <v>1</v>
      </c>
      <c r="F690" s="92" t="str">
        <f aca="false">SRC_Demand!$S24</f>
        <v>—</v>
      </c>
    </row>
    <row r="691" customFormat="false" ht="15" hidden="false" customHeight="false" outlineLevel="0" collapsed="false">
      <c r="A691" s="92" t="str">
        <f aca="false">SRC_Demand!$A25&amp;""</f>
        <v>SRC_DEM_021</v>
      </c>
      <c r="B691" s="62" t="s">
        <v>3389</v>
      </c>
      <c r="C691" s="61" t="n">
        <v>25</v>
      </c>
      <c r="D691" s="92" t="str">
        <f aca="false">SRC_Demand!$O25</f>
        <v>Active</v>
      </c>
      <c r="E691" s="92" t="n">
        <f aca="false">SRC_Demand!$K25</f>
        <v>1</v>
      </c>
      <c r="F691" s="92" t="str">
        <f aca="false">SRC_Demand!$S25</f>
        <v>—</v>
      </c>
    </row>
    <row r="692" customFormat="false" ht="15" hidden="false" customHeight="false" outlineLevel="0" collapsed="false">
      <c r="A692" s="92" t="str">
        <f aca="false">SRC_Demand!$A26&amp;""</f>
        <v>SRC_DEM_022</v>
      </c>
      <c r="B692" s="62" t="s">
        <v>3389</v>
      </c>
      <c r="C692" s="61" t="n">
        <v>26</v>
      </c>
      <c r="D692" s="92" t="str">
        <f aca="false">SRC_Demand!$O26</f>
        <v>Active</v>
      </c>
      <c r="E692" s="92" t="n">
        <f aca="false">SRC_Demand!$K26</f>
        <v>1</v>
      </c>
      <c r="F692" s="92" t="str">
        <f aca="false">SRC_Demand!$S26</f>
        <v>—</v>
      </c>
    </row>
    <row r="693" customFormat="false" ht="15" hidden="false" customHeight="false" outlineLevel="0" collapsed="false">
      <c r="A693" s="92" t="str">
        <f aca="false">SRC_Demand!$A27&amp;""</f>
        <v>SRC_DEM_023</v>
      </c>
      <c r="B693" s="62" t="s">
        <v>3389</v>
      </c>
      <c r="C693" s="61" t="n">
        <v>27</v>
      </c>
      <c r="D693" s="92" t="str">
        <f aca="false">SRC_Demand!$O27</f>
        <v>Active</v>
      </c>
      <c r="E693" s="92" t="n">
        <f aca="false">SRC_Demand!$K27</f>
        <v>1</v>
      </c>
      <c r="F693" s="92" t="str">
        <f aca="false">SRC_Demand!$S27</f>
        <v>—</v>
      </c>
    </row>
    <row r="694" customFormat="false" ht="15" hidden="false" customHeight="false" outlineLevel="0" collapsed="false">
      <c r="A694" s="92" t="str">
        <f aca="false">SRC_Demand!$A28&amp;""</f>
        <v>SRC_DEM_024</v>
      </c>
      <c r="B694" s="62" t="s">
        <v>3389</v>
      </c>
      <c r="C694" s="61" t="n">
        <v>28</v>
      </c>
      <c r="D694" s="92" t="str">
        <f aca="false">SRC_Demand!$O28</f>
        <v>Active</v>
      </c>
      <c r="E694" s="92" t="n">
        <f aca="false">SRC_Demand!$K28</f>
        <v>2</v>
      </c>
      <c r="F694" s="92" t="str">
        <f aca="false">SRC_Demand!$S28</f>
        <v>—</v>
      </c>
    </row>
    <row r="695" customFormat="false" ht="15" hidden="false" customHeight="false" outlineLevel="0" collapsed="false">
      <c r="A695" s="92" t="str">
        <f aca="false">SRC_Demand!$A29&amp;""</f>
        <v>SRC_DEM_025</v>
      </c>
      <c r="B695" s="62" t="s">
        <v>3389</v>
      </c>
      <c r="C695" s="61" t="n">
        <v>29</v>
      </c>
      <c r="D695" s="92" t="str">
        <f aca="false">SRC_Demand!$O29</f>
        <v>Active</v>
      </c>
      <c r="E695" s="92" t="n">
        <f aca="false">SRC_Demand!$K29</f>
        <v>2</v>
      </c>
      <c r="F695" s="92" t="str">
        <f aca="false">SRC_Demand!$S29</f>
        <v>—</v>
      </c>
    </row>
    <row r="696" customFormat="false" ht="15" hidden="false" customHeight="false" outlineLevel="0" collapsed="false">
      <c r="A696" s="92" t="str">
        <f aca="false">SRC_Demand!$A30&amp;""</f>
        <v>SRC_DEM_026</v>
      </c>
      <c r="B696" s="62" t="s">
        <v>3389</v>
      </c>
      <c r="C696" s="61" t="n">
        <v>30</v>
      </c>
      <c r="D696" s="92" t="str">
        <f aca="false">SRC_Demand!$O30</f>
        <v>Active</v>
      </c>
      <c r="E696" s="92" t="n">
        <f aca="false">SRC_Demand!$K30</f>
        <v>2</v>
      </c>
      <c r="F696" s="92" t="str">
        <f aca="false">SRC_Demand!$S30</f>
        <v>—</v>
      </c>
    </row>
    <row r="697" customFormat="false" ht="15" hidden="false" customHeight="false" outlineLevel="0" collapsed="false">
      <c r="A697" s="92" t="str">
        <f aca="false">SRC_Demand!$A31&amp;""</f>
        <v>SRC_DEM_027</v>
      </c>
      <c r="B697" s="62" t="s">
        <v>3389</v>
      </c>
      <c r="C697" s="61" t="n">
        <v>31</v>
      </c>
      <c r="D697" s="92" t="str">
        <f aca="false">SRC_Demand!$O31</f>
        <v>Active</v>
      </c>
      <c r="E697" s="92" t="n">
        <f aca="false">SRC_Demand!$K31</f>
        <v>2</v>
      </c>
      <c r="F697" s="92" t="str">
        <f aca="false">SRC_Demand!$S31</f>
        <v>—</v>
      </c>
    </row>
    <row r="698" customFormat="false" ht="15" hidden="false" customHeight="false" outlineLevel="0" collapsed="false">
      <c r="A698" s="92" t="str">
        <f aca="false">SRC_Demand!$A32&amp;""</f>
        <v>SRC_DEM_028</v>
      </c>
      <c r="B698" s="62" t="s">
        <v>3389</v>
      </c>
      <c r="C698" s="61" t="n">
        <v>32</v>
      </c>
      <c r="D698" s="92" t="str">
        <f aca="false">SRC_Demand!$O32</f>
        <v>Active</v>
      </c>
      <c r="E698" s="92" t="n">
        <f aca="false">SRC_Demand!$K32</f>
        <v>2</v>
      </c>
      <c r="F698" s="92" t="str">
        <f aca="false">SRC_Demand!$S32</f>
        <v>—</v>
      </c>
    </row>
    <row r="699" customFormat="false" ht="15" hidden="false" customHeight="false" outlineLevel="0" collapsed="false">
      <c r="A699" s="92" t="str">
        <f aca="false">SRC_Demand!$A33&amp;""</f>
        <v>SRC_DEM_029</v>
      </c>
      <c r="B699" s="62" t="s">
        <v>3389</v>
      </c>
      <c r="C699" s="61" t="n">
        <v>33</v>
      </c>
      <c r="D699" s="92" t="str">
        <f aca="false">SRC_Demand!$O33</f>
        <v>Active</v>
      </c>
      <c r="E699" s="92" t="n">
        <f aca="false">SRC_Demand!$K33</f>
        <v>2</v>
      </c>
      <c r="F699" s="92" t="str">
        <f aca="false">SRC_Demand!$S33</f>
        <v>—</v>
      </c>
    </row>
    <row r="700" customFormat="false" ht="15" hidden="false" customHeight="false" outlineLevel="0" collapsed="false">
      <c r="A700" s="92" t="str">
        <f aca="false">SRC_Demand!$A34&amp;""</f>
        <v>SRC_DEM_030</v>
      </c>
      <c r="B700" s="62" t="s">
        <v>3389</v>
      </c>
      <c r="C700" s="61" t="n">
        <v>34</v>
      </c>
      <c r="D700" s="92" t="str">
        <f aca="false">SRC_Demand!$O34</f>
        <v>Active</v>
      </c>
      <c r="E700" s="92" t="n">
        <f aca="false">SRC_Demand!$K34</f>
        <v>1</v>
      </c>
      <c r="F700" s="92" t="str">
        <f aca="false">SRC_Demand!$S34</f>
        <v>—</v>
      </c>
    </row>
    <row r="701" customFormat="false" ht="15" hidden="false" customHeight="false" outlineLevel="0" collapsed="false">
      <c r="A701" s="92" t="str">
        <f aca="false">SRC_Demand!$A35&amp;""</f>
        <v>SRC_DEM_031</v>
      </c>
      <c r="B701" s="62" t="s">
        <v>3389</v>
      </c>
      <c r="C701" s="61" t="n">
        <v>35</v>
      </c>
      <c r="D701" s="92" t="str">
        <f aca="false">SRC_Demand!$O35</f>
        <v>Active</v>
      </c>
      <c r="E701" s="92" t="n">
        <f aca="false">SRC_Demand!$K35</f>
        <v>2</v>
      </c>
      <c r="F701" s="92" t="str">
        <f aca="false">SRC_Demand!$S35</f>
        <v>—</v>
      </c>
    </row>
    <row r="702" customFormat="false" ht="15" hidden="false" customHeight="false" outlineLevel="0" collapsed="false">
      <c r="A702" s="92" t="str">
        <f aca="false">SRC_Demand!$A36&amp;""</f>
        <v>SRC_DEM_032</v>
      </c>
      <c r="B702" s="62" t="s">
        <v>3389</v>
      </c>
      <c r="C702" s="61" t="n">
        <v>36</v>
      </c>
      <c r="D702" s="92" t="str">
        <f aca="false">SRC_Demand!$O36</f>
        <v>Active</v>
      </c>
      <c r="E702" s="92" t="n">
        <f aca="false">SRC_Demand!$K36</f>
        <v>1</v>
      </c>
      <c r="F702" s="92" t="str">
        <f aca="false">SRC_Demand!$S36</f>
        <v>—</v>
      </c>
    </row>
    <row r="703" customFormat="false" ht="15" hidden="false" customHeight="false" outlineLevel="0" collapsed="false">
      <c r="A703" s="92" t="str">
        <f aca="false">SRC_Demand!$A37&amp;""</f>
        <v>SRC_DEM_033</v>
      </c>
      <c r="B703" s="62" t="s">
        <v>3389</v>
      </c>
      <c r="C703" s="61" t="n">
        <v>37</v>
      </c>
      <c r="D703" s="92" t="str">
        <f aca="false">SRC_Demand!$O37</f>
        <v>Active</v>
      </c>
      <c r="E703" s="92" t="n">
        <f aca="false">SRC_Demand!$K37</f>
        <v>1</v>
      </c>
      <c r="F703" s="92" t="str">
        <f aca="false">SRC_Demand!$S37</f>
        <v>—</v>
      </c>
    </row>
    <row r="704" customFormat="false" ht="15" hidden="false" customHeight="false" outlineLevel="0" collapsed="false">
      <c r="A704" s="92" t="str">
        <f aca="false">SRC_Demand!$A38&amp;""</f>
        <v>SRC_DEM_034</v>
      </c>
      <c r="B704" s="62" t="s">
        <v>3389</v>
      </c>
      <c r="C704" s="61" t="n">
        <v>38</v>
      </c>
      <c r="D704" s="92" t="str">
        <f aca="false">SRC_Demand!$O38</f>
        <v>Active</v>
      </c>
      <c r="E704" s="92" t="n">
        <f aca="false">SRC_Demand!$K38</f>
        <v>2</v>
      </c>
      <c r="F704" s="92" t="str">
        <f aca="false">SRC_Demand!$S38</f>
        <v>—</v>
      </c>
    </row>
    <row r="705" customFormat="false" ht="15" hidden="false" customHeight="false" outlineLevel="0" collapsed="false">
      <c r="A705" s="92" t="str">
        <f aca="false">SRC_Demand!$A39&amp;""</f>
        <v>SRC_DEM_035</v>
      </c>
      <c r="B705" s="62" t="s">
        <v>3389</v>
      </c>
      <c r="C705" s="61" t="n">
        <v>39</v>
      </c>
      <c r="D705" s="92" t="str">
        <f aca="false">SRC_Demand!$O39</f>
        <v>Active</v>
      </c>
      <c r="E705" s="92" t="n">
        <f aca="false">SRC_Demand!$K39</f>
        <v>2</v>
      </c>
      <c r="F705" s="92" t="str">
        <f aca="false">SRC_Demand!$S39</f>
        <v>—</v>
      </c>
    </row>
    <row r="706" customFormat="false" ht="15" hidden="false" customHeight="false" outlineLevel="0" collapsed="false">
      <c r="A706" s="92" t="str">
        <f aca="false">SRC_Demand!$A40&amp;""</f>
        <v>SRC_DEM_036</v>
      </c>
      <c r="B706" s="62" t="s">
        <v>3389</v>
      </c>
      <c r="C706" s="61" t="n">
        <v>40</v>
      </c>
      <c r="D706" s="92" t="str">
        <f aca="false">SRC_Demand!$O40</f>
        <v>Active</v>
      </c>
      <c r="E706" s="92" t="n">
        <f aca="false">SRC_Demand!$K40</f>
        <v>2</v>
      </c>
      <c r="F706" s="92" t="str">
        <f aca="false">SRC_Demand!$S40</f>
        <v>—</v>
      </c>
    </row>
    <row r="707" customFormat="false" ht="15" hidden="false" customHeight="false" outlineLevel="0" collapsed="false">
      <c r="A707" s="92" t="str">
        <f aca="false">SRC_Demand!$A41&amp;""</f>
        <v>SRC_DEM_037</v>
      </c>
      <c r="B707" s="62" t="s">
        <v>3389</v>
      </c>
      <c r="C707" s="61" t="n">
        <v>41</v>
      </c>
      <c r="D707" s="92" t="str">
        <f aca="false">SRC_Demand!$O41</f>
        <v>Active</v>
      </c>
      <c r="E707" s="92" t="n">
        <f aca="false">SRC_Demand!$K41</f>
        <v>2</v>
      </c>
      <c r="F707" s="92" t="str">
        <f aca="false">SRC_Demand!$S41</f>
        <v>—</v>
      </c>
    </row>
    <row r="708" customFormat="false" ht="15" hidden="false" customHeight="false" outlineLevel="0" collapsed="false">
      <c r="A708" s="92" t="str">
        <f aca="false">SRC_Demand!$A42&amp;""</f>
        <v>SRC_DEM_038</v>
      </c>
      <c r="B708" s="62" t="s">
        <v>3389</v>
      </c>
      <c r="C708" s="61" t="n">
        <v>42</v>
      </c>
      <c r="D708" s="92" t="str">
        <f aca="false">SRC_Demand!$O42</f>
        <v>Active</v>
      </c>
      <c r="E708" s="92" t="n">
        <f aca="false">SRC_Demand!$K42</f>
        <v>2</v>
      </c>
      <c r="F708" s="92" t="str">
        <f aca="false">SRC_Demand!$S42</f>
        <v>—</v>
      </c>
    </row>
    <row r="709" customFormat="false" ht="15" hidden="false" customHeight="false" outlineLevel="0" collapsed="false">
      <c r="A709" s="92" t="str">
        <f aca="false">SRC_Demand!$A43&amp;""</f>
        <v>SRC_DEM_039</v>
      </c>
      <c r="B709" s="62" t="s">
        <v>3389</v>
      </c>
      <c r="C709" s="61" t="n">
        <v>43</v>
      </c>
      <c r="D709" s="92" t="str">
        <f aca="false">SRC_Demand!$O43</f>
        <v>Active</v>
      </c>
      <c r="E709" s="92" t="n">
        <f aca="false">SRC_Demand!$K43</f>
        <v>2</v>
      </c>
      <c r="F709" s="92" t="str">
        <f aca="false">SRC_Demand!$S43</f>
        <v>—</v>
      </c>
    </row>
    <row r="710" customFormat="false" ht="15" hidden="false" customHeight="false" outlineLevel="0" collapsed="false">
      <c r="A710" s="92" t="str">
        <f aca="false">SRC_Demand!$A44&amp;""</f>
        <v>SRC_DEM_040</v>
      </c>
      <c r="B710" s="62" t="s">
        <v>3389</v>
      </c>
      <c r="C710" s="61" t="n">
        <v>44</v>
      </c>
      <c r="D710" s="92" t="str">
        <f aca="false">SRC_Demand!$O44</f>
        <v>Active</v>
      </c>
      <c r="E710" s="92" t="n">
        <f aca="false">SRC_Demand!$K44</f>
        <v>2</v>
      </c>
      <c r="F710" s="92" t="str">
        <f aca="false">SRC_Demand!$S44</f>
        <v>—</v>
      </c>
    </row>
    <row r="711" customFormat="false" ht="15" hidden="false" customHeight="false" outlineLevel="0" collapsed="false">
      <c r="A711" s="92" t="str">
        <f aca="false">SRC_Demand!$A45&amp;""</f>
        <v>SRC_DEM_041</v>
      </c>
      <c r="B711" s="62" t="s">
        <v>3389</v>
      </c>
      <c r="C711" s="61" t="n">
        <v>45</v>
      </c>
      <c r="D711" s="92" t="str">
        <f aca="false">SRC_Demand!$O45</f>
        <v>Active</v>
      </c>
      <c r="E711" s="92" t="n">
        <f aca="false">SRC_Demand!$K45</f>
        <v>2</v>
      </c>
      <c r="F711" s="92" t="str">
        <f aca="false">SRC_Demand!$S45</f>
        <v>—</v>
      </c>
    </row>
    <row r="712" customFormat="false" ht="15" hidden="false" customHeight="false" outlineLevel="0" collapsed="false">
      <c r="A712" s="92" t="str">
        <f aca="false">SRC_Demand!$A46&amp;""</f>
        <v>SRC_DEM_042</v>
      </c>
      <c r="B712" s="62" t="s">
        <v>3389</v>
      </c>
      <c r="C712" s="61" t="n">
        <v>46</v>
      </c>
      <c r="D712" s="92" t="str">
        <f aca="false">SRC_Demand!$O46</f>
        <v>Active</v>
      </c>
      <c r="E712" s="92" t="n">
        <f aca="false">SRC_Demand!$K46</f>
        <v>2</v>
      </c>
      <c r="F712" s="92" t="str">
        <f aca="false">SRC_Demand!$S46</f>
        <v>—</v>
      </c>
    </row>
    <row r="713" customFormat="false" ht="15" hidden="false" customHeight="false" outlineLevel="0" collapsed="false">
      <c r="A713" s="92" t="str">
        <f aca="false">SRC_Demand!$A47&amp;""</f>
        <v>SRC_DEM_043</v>
      </c>
      <c r="B713" s="62" t="s">
        <v>3389</v>
      </c>
      <c r="C713" s="61" t="n">
        <v>47</v>
      </c>
      <c r="D713" s="92" t="str">
        <f aca="false">SRC_Demand!$O47</f>
        <v>Active</v>
      </c>
      <c r="E713" s="92" t="n">
        <f aca="false">SRC_Demand!$K47</f>
        <v>2</v>
      </c>
      <c r="F713" s="92" t="str">
        <f aca="false">SRC_Demand!$S47</f>
        <v>—</v>
      </c>
    </row>
    <row r="714" customFormat="false" ht="15" hidden="false" customHeight="false" outlineLevel="0" collapsed="false">
      <c r="A714" s="92" t="str">
        <f aca="false">SRC_Demand!$A48&amp;""</f>
        <v>SRC_DEM_044</v>
      </c>
      <c r="B714" s="62" t="s">
        <v>3389</v>
      </c>
      <c r="C714" s="61" t="n">
        <v>48</v>
      </c>
      <c r="D714" s="92" t="str">
        <f aca="false">SRC_Demand!$O48</f>
        <v>Active</v>
      </c>
      <c r="E714" s="92" t="n">
        <f aca="false">SRC_Demand!$K48</f>
        <v>1</v>
      </c>
      <c r="F714" s="92" t="str">
        <f aca="false">SRC_Demand!$S48</f>
        <v>—</v>
      </c>
    </row>
    <row r="715" customFormat="false" ht="15" hidden="false" customHeight="false" outlineLevel="0" collapsed="false">
      <c r="A715" s="92" t="str">
        <f aca="false">SRC_Demand!$A49&amp;""</f>
        <v>SRC_DEM_045</v>
      </c>
      <c r="B715" s="62" t="s">
        <v>3389</v>
      </c>
      <c r="C715" s="61" t="n">
        <v>49</v>
      </c>
      <c r="D715" s="92" t="str">
        <f aca="false">SRC_Demand!$O49</f>
        <v>Active</v>
      </c>
      <c r="E715" s="92" t="n">
        <f aca="false">SRC_Demand!$K49</f>
        <v>1</v>
      </c>
      <c r="F715" s="92" t="str">
        <f aca="false">SRC_Demand!$S49</f>
        <v>—</v>
      </c>
    </row>
    <row r="716" customFormat="false" ht="15" hidden="false" customHeight="false" outlineLevel="0" collapsed="false">
      <c r="A716" s="92" t="str">
        <f aca="false">SRC_Demand!$A50&amp;""</f>
        <v>SRC_DEM_046</v>
      </c>
      <c r="B716" s="62" t="s">
        <v>3389</v>
      </c>
      <c r="C716" s="61" t="n">
        <v>50</v>
      </c>
      <c r="D716" s="92" t="str">
        <f aca="false">SRC_Demand!$O50</f>
        <v>Active</v>
      </c>
      <c r="E716" s="92" t="n">
        <f aca="false">SRC_Demand!$K50</f>
        <v>1</v>
      </c>
      <c r="F716" s="92" t="str">
        <f aca="false">SRC_Demand!$S50</f>
        <v>—</v>
      </c>
    </row>
    <row r="717" customFormat="false" ht="15" hidden="false" customHeight="false" outlineLevel="0" collapsed="false">
      <c r="A717" s="92" t="str">
        <f aca="false">SRC_Demand!$A51&amp;""</f>
        <v>SRC_DEM_047</v>
      </c>
      <c r="B717" s="62" t="s">
        <v>3389</v>
      </c>
      <c r="C717" s="61" t="n">
        <v>51</v>
      </c>
      <c r="D717" s="92" t="str">
        <f aca="false">SRC_Demand!$O51</f>
        <v>Active</v>
      </c>
      <c r="E717" s="92" t="n">
        <f aca="false">SRC_Demand!$K51</f>
        <v>1</v>
      </c>
      <c r="F717" s="92" t="str">
        <f aca="false">SRC_Demand!$S51</f>
        <v>—</v>
      </c>
    </row>
    <row r="718" customFormat="false" ht="15" hidden="false" customHeight="false" outlineLevel="0" collapsed="false">
      <c r="A718" s="92" t="str">
        <f aca="false">SRC_Demand!$A52&amp;""</f>
        <v>SRC_DEM_048</v>
      </c>
      <c r="B718" s="62" t="s">
        <v>3389</v>
      </c>
      <c r="C718" s="61" t="n">
        <v>52</v>
      </c>
      <c r="D718" s="92" t="str">
        <f aca="false">SRC_Demand!$O52</f>
        <v>Active</v>
      </c>
      <c r="E718" s="92" t="n">
        <f aca="false">SRC_Demand!$K52</f>
        <v>2</v>
      </c>
      <c r="F718" s="92" t="str">
        <f aca="false">SRC_Demand!$S52</f>
        <v>—</v>
      </c>
    </row>
    <row r="719" customFormat="false" ht="15" hidden="false" customHeight="false" outlineLevel="0" collapsed="false">
      <c r="A719" s="92" t="str">
        <f aca="false">SRC_Demand!$A53&amp;""</f>
        <v>SRC_DEM_049</v>
      </c>
      <c r="B719" s="62" t="s">
        <v>3389</v>
      </c>
      <c r="C719" s="61" t="n">
        <v>53</v>
      </c>
      <c r="D719" s="92" t="str">
        <f aca="false">SRC_Demand!$O53</f>
        <v>Active</v>
      </c>
      <c r="E719" s="92" t="n">
        <f aca="false">SRC_Demand!$K53</f>
        <v>1</v>
      </c>
      <c r="F719" s="92" t="str">
        <f aca="false">SRC_Demand!$S53</f>
        <v>—</v>
      </c>
    </row>
    <row r="720" customFormat="false" ht="15" hidden="false" customHeight="false" outlineLevel="0" collapsed="false">
      <c r="A720" s="92" t="str">
        <f aca="false">SRC_Demand!$A54&amp;""</f>
        <v>SRC_DEM_050</v>
      </c>
      <c r="B720" s="62" t="s">
        <v>3389</v>
      </c>
      <c r="C720" s="61" t="n">
        <v>54</v>
      </c>
      <c r="D720" s="92" t="str">
        <f aca="false">SRC_Demand!$O54</f>
        <v>Active</v>
      </c>
      <c r="E720" s="92" t="n">
        <f aca="false">SRC_Demand!$K54</f>
        <v>1</v>
      </c>
      <c r="F720" s="92" t="str">
        <f aca="false">SRC_Demand!$S54</f>
        <v>—</v>
      </c>
    </row>
    <row r="721" customFormat="false" ht="15" hidden="false" customHeight="false" outlineLevel="0" collapsed="false">
      <c r="A721" s="92" t="str">
        <f aca="false">SRC_Demand!$A55&amp;""</f>
        <v>SRC_DEM_051</v>
      </c>
      <c r="B721" s="62" t="s">
        <v>3389</v>
      </c>
      <c r="C721" s="61" t="n">
        <v>55</v>
      </c>
      <c r="D721" s="92" t="str">
        <f aca="false">SRC_Demand!$O55</f>
        <v>Active</v>
      </c>
      <c r="E721" s="92" t="n">
        <f aca="false">SRC_Demand!$K55</f>
        <v>1</v>
      </c>
      <c r="F721" s="92" t="str">
        <f aca="false">SRC_Demand!$S55</f>
        <v>—</v>
      </c>
    </row>
    <row r="722" customFormat="false" ht="15" hidden="false" customHeight="false" outlineLevel="0" collapsed="false">
      <c r="A722" s="92" t="str">
        <f aca="false">SRC_Demand!$A56&amp;""</f>
        <v>SRC_DEM_052</v>
      </c>
      <c r="B722" s="62" t="s">
        <v>3389</v>
      </c>
      <c r="C722" s="61" t="n">
        <v>56</v>
      </c>
      <c r="D722" s="92" t="str">
        <f aca="false">SRC_Demand!$O56</f>
        <v>Active</v>
      </c>
      <c r="E722" s="92" t="n">
        <f aca="false">SRC_Demand!$K56</f>
        <v>1</v>
      </c>
      <c r="F722" s="92" t="str">
        <f aca="false">SRC_Demand!$S56</f>
        <v>—</v>
      </c>
    </row>
    <row r="723" customFormat="false" ht="15" hidden="false" customHeight="false" outlineLevel="0" collapsed="false">
      <c r="A723" s="92" t="str">
        <f aca="false">SRC_Demand!$A57&amp;""</f>
        <v>SRC_DEM_053</v>
      </c>
      <c r="B723" s="62" t="s">
        <v>3389</v>
      </c>
      <c r="C723" s="61" t="n">
        <v>57</v>
      </c>
      <c r="D723" s="92" t="str">
        <f aca="false">SRC_Demand!$O57</f>
        <v>Active</v>
      </c>
      <c r="E723" s="92" t="n">
        <f aca="false">SRC_Demand!$K57</f>
        <v>1</v>
      </c>
      <c r="F723" s="92" t="str">
        <f aca="false">SRC_Demand!$S57</f>
        <v>—</v>
      </c>
    </row>
    <row r="724" customFormat="false" ht="15" hidden="false" customHeight="false" outlineLevel="0" collapsed="false">
      <c r="A724" s="92" t="str">
        <f aca="false">SRC_Demand!$A58&amp;""</f>
        <v>SRC_DEM_054</v>
      </c>
      <c r="B724" s="62" t="s">
        <v>3389</v>
      </c>
      <c r="C724" s="61" t="n">
        <v>58</v>
      </c>
      <c r="D724" s="92" t="str">
        <f aca="false">SRC_Demand!$O58</f>
        <v>Active</v>
      </c>
      <c r="E724" s="92" t="n">
        <f aca="false">SRC_Demand!$K58</f>
        <v>2</v>
      </c>
      <c r="F724" s="92" t="str">
        <f aca="false">SRC_Demand!$S58</f>
        <v>—</v>
      </c>
    </row>
    <row r="725" customFormat="false" ht="15" hidden="false" customHeight="false" outlineLevel="0" collapsed="false">
      <c r="A725" s="92" t="str">
        <f aca="false">SRC_Demand!$A59&amp;""</f>
        <v>SRC_DEM_055</v>
      </c>
      <c r="B725" s="62" t="s">
        <v>3389</v>
      </c>
      <c r="C725" s="61" t="n">
        <v>59</v>
      </c>
      <c r="D725" s="92" t="str">
        <f aca="false">SRC_Demand!$O59</f>
        <v>Active</v>
      </c>
      <c r="E725" s="92" t="n">
        <f aca="false">SRC_Demand!$K59</f>
        <v>1</v>
      </c>
      <c r="F725" s="92" t="str">
        <f aca="false">SRC_Demand!$S59</f>
        <v>—</v>
      </c>
    </row>
    <row r="726" customFormat="false" ht="15" hidden="false" customHeight="false" outlineLevel="0" collapsed="false">
      <c r="A726" s="92" t="str">
        <f aca="false">SRC_Demand!$A60&amp;""</f>
        <v>SRC_DEM_056</v>
      </c>
      <c r="B726" s="62" t="s">
        <v>3389</v>
      </c>
      <c r="C726" s="61" t="n">
        <v>60</v>
      </c>
      <c r="D726" s="92" t="str">
        <f aca="false">SRC_Demand!$O60</f>
        <v>Active</v>
      </c>
      <c r="E726" s="92" t="n">
        <f aca="false">SRC_Demand!$K60</f>
        <v>2</v>
      </c>
      <c r="F726" s="92" t="str">
        <f aca="false">SRC_Demand!$S60</f>
        <v>—</v>
      </c>
    </row>
    <row r="727" customFormat="false" ht="15" hidden="false" customHeight="false" outlineLevel="0" collapsed="false">
      <c r="A727" s="92" t="str">
        <f aca="false">SRC_Demand!$A61&amp;""</f>
        <v>SRC_DEM_057</v>
      </c>
      <c r="B727" s="62" t="s">
        <v>3389</v>
      </c>
      <c r="C727" s="61" t="n">
        <v>61</v>
      </c>
      <c r="D727" s="92" t="str">
        <f aca="false">SRC_Demand!$O61</f>
        <v>Active</v>
      </c>
      <c r="E727" s="92" t="n">
        <f aca="false">SRC_Demand!$K61</f>
        <v>2</v>
      </c>
      <c r="F727" s="92" t="str">
        <f aca="false">SRC_Demand!$S61</f>
        <v>—</v>
      </c>
    </row>
    <row r="728" customFormat="false" ht="15" hidden="false" customHeight="false" outlineLevel="0" collapsed="false">
      <c r="A728" s="92" t="str">
        <f aca="false">SRC_Demand!$A62&amp;""</f>
        <v>SRC_DEM_058</v>
      </c>
      <c r="B728" s="62" t="s">
        <v>3389</v>
      </c>
      <c r="C728" s="61" t="n">
        <v>62</v>
      </c>
      <c r="D728" s="92" t="str">
        <f aca="false">SRC_Demand!$O62</f>
        <v>Active</v>
      </c>
      <c r="E728" s="92" t="n">
        <f aca="false">SRC_Demand!$K62</f>
        <v>2</v>
      </c>
      <c r="F728" s="92" t="str">
        <f aca="false">SRC_Demand!$S62</f>
        <v>—</v>
      </c>
    </row>
    <row r="729" customFormat="false" ht="15" hidden="false" customHeight="false" outlineLevel="0" collapsed="false">
      <c r="A729" s="92" t="str">
        <f aca="false">SRC_Demand!$A63&amp;""</f>
        <v>SRC_DEM_059</v>
      </c>
      <c r="B729" s="62" t="s">
        <v>3389</v>
      </c>
      <c r="C729" s="61" t="n">
        <v>63</v>
      </c>
      <c r="D729" s="92" t="str">
        <f aca="false">SRC_Demand!$O63</f>
        <v>Active</v>
      </c>
      <c r="E729" s="92" t="n">
        <f aca="false">SRC_Demand!$K63</f>
        <v>1</v>
      </c>
      <c r="F729" s="92" t="str">
        <f aca="false">SRC_Demand!$S63</f>
        <v>—</v>
      </c>
    </row>
    <row r="730" customFormat="false" ht="15" hidden="false" customHeight="false" outlineLevel="0" collapsed="false">
      <c r="A730" s="92" t="str">
        <f aca="false">SRC_Demand!$A64&amp;""</f>
        <v>SRC_DEM_060</v>
      </c>
      <c r="B730" s="62" t="s">
        <v>3389</v>
      </c>
      <c r="C730" s="61" t="n">
        <v>64</v>
      </c>
      <c r="D730" s="92" t="str">
        <f aca="false">SRC_Demand!$O64</f>
        <v>Active</v>
      </c>
      <c r="E730" s="92" t="n">
        <f aca="false">SRC_Demand!$K64</f>
        <v>2</v>
      </c>
      <c r="F730" s="92" t="str">
        <f aca="false">SRC_Demand!$S64</f>
        <v>—</v>
      </c>
    </row>
    <row r="731" customFormat="false" ht="15" hidden="false" customHeight="false" outlineLevel="0" collapsed="false">
      <c r="A731" s="92" t="str">
        <f aca="false">SRC_Demand!$A65&amp;""</f>
        <v>SRC_DEM_061</v>
      </c>
      <c r="B731" s="62" t="s">
        <v>3389</v>
      </c>
      <c r="C731" s="61" t="n">
        <v>65</v>
      </c>
      <c r="D731" s="92" t="str">
        <f aca="false">SRC_Demand!$O65</f>
        <v>Active</v>
      </c>
      <c r="E731" s="92" t="n">
        <f aca="false">SRC_Demand!$K65</f>
        <v>1</v>
      </c>
      <c r="F731" s="92" t="str">
        <f aca="false">SRC_Demand!$S65</f>
        <v>—</v>
      </c>
    </row>
    <row r="732" customFormat="false" ht="15" hidden="false" customHeight="false" outlineLevel="0" collapsed="false">
      <c r="A732" s="92" t="str">
        <f aca="false">SRC_Demand!$A66&amp;""</f>
        <v>SRC_DEM_062</v>
      </c>
      <c r="B732" s="62" t="s">
        <v>3389</v>
      </c>
      <c r="C732" s="61" t="n">
        <v>66</v>
      </c>
      <c r="D732" s="92" t="str">
        <f aca="false">SRC_Demand!$O66</f>
        <v>Active</v>
      </c>
      <c r="E732" s="92" t="n">
        <f aca="false">SRC_Demand!$K66</f>
        <v>2</v>
      </c>
      <c r="F732" s="92" t="str">
        <f aca="false">SRC_Demand!$S66</f>
        <v>—</v>
      </c>
    </row>
    <row r="733" customFormat="false" ht="15" hidden="false" customHeight="false" outlineLevel="0" collapsed="false">
      <c r="A733" s="92" t="str">
        <f aca="false">SRC_Demand!$A67&amp;""</f>
        <v>SRC_DEM_063</v>
      </c>
      <c r="B733" s="62" t="s">
        <v>3389</v>
      </c>
      <c r="C733" s="61" t="n">
        <v>67</v>
      </c>
      <c r="D733" s="92" t="str">
        <f aca="false">SRC_Demand!$O67</f>
        <v>Active</v>
      </c>
      <c r="E733" s="92" t="n">
        <f aca="false">SRC_Demand!$K67</f>
        <v>2</v>
      </c>
      <c r="F733" s="92" t="str">
        <f aca="false">SRC_Demand!$S67</f>
        <v>—</v>
      </c>
    </row>
    <row r="734" customFormat="false" ht="15" hidden="false" customHeight="false" outlineLevel="0" collapsed="false">
      <c r="A734" s="92" t="str">
        <f aca="false">SRC_Demand!$A68&amp;""</f>
        <v>SRC_DEM_064</v>
      </c>
      <c r="B734" s="62" t="s">
        <v>3389</v>
      </c>
      <c r="C734" s="61" t="n">
        <v>68</v>
      </c>
      <c r="D734" s="92" t="str">
        <f aca="false">SRC_Demand!$O68</f>
        <v>Active</v>
      </c>
      <c r="E734" s="92" t="n">
        <f aca="false">SRC_Demand!$K68</f>
        <v>2</v>
      </c>
      <c r="F734" s="92" t="str">
        <f aca="false">SRC_Demand!$S68</f>
        <v>—</v>
      </c>
    </row>
    <row r="735" customFormat="false" ht="15" hidden="false" customHeight="false" outlineLevel="0" collapsed="false">
      <c r="A735" s="92" t="str">
        <f aca="false">SRC_Demand!$A69&amp;""</f>
        <v>SRC_DEM_065</v>
      </c>
      <c r="B735" s="62" t="s">
        <v>3389</v>
      </c>
      <c r="C735" s="61" t="n">
        <v>69</v>
      </c>
      <c r="D735" s="92" t="str">
        <f aca="false">SRC_Demand!$O69</f>
        <v>Active</v>
      </c>
      <c r="E735" s="92" t="n">
        <f aca="false">SRC_Demand!$K69</f>
        <v>2</v>
      </c>
      <c r="F735" s="92" t="str">
        <f aca="false">SRC_Demand!$S69</f>
        <v>—</v>
      </c>
    </row>
    <row r="736" customFormat="false" ht="15" hidden="false" customHeight="false" outlineLevel="0" collapsed="false">
      <c r="A736" s="92" t="str">
        <f aca="false">SRC_Demand!$A70&amp;""</f>
        <v>SRC_DEM_066</v>
      </c>
      <c r="B736" s="62" t="s">
        <v>3389</v>
      </c>
      <c r="C736" s="61" t="n">
        <v>70</v>
      </c>
      <c r="D736" s="92" t="str">
        <f aca="false">SRC_Demand!$O70</f>
        <v>Active</v>
      </c>
      <c r="E736" s="92" t="n">
        <f aca="false">SRC_Demand!$K70</f>
        <v>1</v>
      </c>
      <c r="F736" s="92" t="str">
        <f aca="false">SRC_Demand!$S70</f>
        <v>—</v>
      </c>
    </row>
    <row r="737" customFormat="false" ht="15" hidden="false" customHeight="false" outlineLevel="0" collapsed="false">
      <c r="A737" s="92" t="str">
        <f aca="false">SRC_Demand!$A71&amp;""</f>
        <v>SRC_DEM_067</v>
      </c>
      <c r="B737" s="62" t="s">
        <v>3389</v>
      </c>
      <c r="C737" s="61" t="n">
        <v>71</v>
      </c>
      <c r="D737" s="92" t="str">
        <f aca="false">SRC_Demand!$O71</f>
        <v>Active</v>
      </c>
      <c r="E737" s="92" t="n">
        <f aca="false">SRC_Demand!$K71</f>
        <v>2</v>
      </c>
      <c r="F737" s="92" t="str">
        <f aca="false">SRC_Demand!$S71</f>
        <v>—</v>
      </c>
    </row>
    <row r="738" customFormat="false" ht="15" hidden="false" customHeight="false" outlineLevel="0" collapsed="false">
      <c r="A738" s="92" t="str">
        <f aca="false">SRC_Demand!$A72&amp;""</f>
        <v>SRC_DEM_068</v>
      </c>
      <c r="B738" s="62" t="s">
        <v>3389</v>
      </c>
      <c r="C738" s="61" t="n">
        <v>72</v>
      </c>
      <c r="D738" s="92" t="str">
        <f aca="false">SRC_Demand!$O72</f>
        <v>Active</v>
      </c>
      <c r="E738" s="92" t="n">
        <f aca="false">SRC_Demand!$K72</f>
        <v>1</v>
      </c>
      <c r="F738" s="92" t="str">
        <f aca="false">SRC_Demand!$S72</f>
        <v>—</v>
      </c>
    </row>
    <row r="739" customFormat="false" ht="15" hidden="false" customHeight="false" outlineLevel="0" collapsed="false">
      <c r="A739" s="92" t="str">
        <f aca="false">SRC_Demand!$A73&amp;""</f>
        <v>SRC_DEM_069</v>
      </c>
      <c r="B739" s="62" t="s">
        <v>3389</v>
      </c>
      <c r="C739" s="61" t="n">
        <v>73</v>
      </c>
      <c r="D739" s="92" t="str">
        <f aca="false">SRC_Demand!$O73</f>
        <v>Active</v>
      </c>
      <c r="E739" s="92" t="n">
        <f aca="false">SRC_Demand!$K73</f>
        <v>2</v>
      </c>
      <c r="F739" s="92" t="str">
        <f aca="false">SRC_Demand!$S73</f>
        <v>—</v>
      </c>
    </row>
    <row r="740" customFormat="false" ht="15" hidden="false" customHeight="false" outlineLevel="0" collapsed="false">
      <c r="A740" s="92" t="str">
        <f aca="false">SRC_Demand!$A74&amp;""</f>
        <v>SRC_DEM_070</v>
      </c>
      <c r="B740" s="62" t="s">
        <v>3389</v>
      </c>
      <c r="C740" s="61" t="n">
        <v>74</v>
      </c>
      <c r="D740" s="92" t="str">
        <f aca="false">SRC_Demand!$O74</f>
        <v>Alt</v>
      </c>
      <c r="E740" s="92" t="n">
        <f aca="false">SRC_Demand!$K74</f>
        <v>3</v>
      </c>
      <c r="F740" s="92" t="str">
        <f aca="false">SRC_Demand!$S74</f>
        <v>—</v>
      </c>
    </row>
    <row r="741" customFormat="false" ht="15" hidden="false" customHeight="false" outlineLevel="0" collapsed="false">
      <c r="A741" s="92" t="str">
        <f aca="false">SRC_Demand!$A75&amp;""</f>
        <v>SRC_DEM_071</v>
      </c>
      <c r="B741" s="62" t="s">
        <v>3389</v>
      </c>
      <c r="C741" s="61" t="n">
        <v>75</v>
      </c>
      <c r="D741" s="92" t="str">
        <f aca="false">SRC_Demand!$O75</f>
        <v>Active</v>
      </c>
      <c r="E741" s="92" t="n">
        <f aca="false">SRC_Demand!$K75</f>
        <v>3</v>
      </c>
      <c r="F741" s="92" t="str">
        <f aca="false">SRC_Demand!$S75</f>
        <v>—</v>
      </c>
    </row>
    <row r="742" customFormat="false" ht="15" hidden="false" customHeight="false" outlineLevel="0" collapsed="false">
      <c r="A742" s="92" t="str">
        <f aca="false">SRC_Demand!$A76&amp;""</f>
        <v>SRC_DEM_072</v>
      </c>
      <c r="B742" s="62" t="s">
        <v>3389</v>
      </c>
      <c r="C742" s="61" t="n">
        <v>76</v>
      </c>
      <c r="D742" s="92" t="str">
        <f aca="false">SRC_Demand!$O76</f>
        <v>Active</v>
      </c>
      <c r="E742" s="92" t="n">
        <f aca="false">SRC_Demand!$K76</f>
        <v>2</v>
      </c>
      <c r="F742" s="92" t="str">
        <f aca="false">SRC_Demand!$S76</f>
        <v>—</v>
      </c>
    </row>
    <row r="743" customFormat="false" ht="15" hidden="false" customHeight="false" outlineLevel="0" collapsed="false">
      <c r="A743" s="92" t="str">
        <f aca="false">SRC_Demand!$A77&amp;""</f>
        <v>SRC_DEM_073</v>
      </c>
      <c r="B743" s="62" t="s">
        <v>3389</v>
      </c>
      <c r="C743" s="61" t="n">
        <v>77</v>
      </c>
      <c r="D743" s="92" t="str">
        <f aca="false">SRC_Demand!$O77</f>
        <v>Active</v>
      </c>
      <c r="E743" s="92" t="n">
        <f aca="false">SRC_Demand!$K77</f>
        <v>2</v>
      </c>
      <c r="F743" s="92" t="str">
        <f aca="false">SRC_Demand!$S77</f>
        <v>—</v>
      </c>
    </row>
    <row r="744" customFormat="false" ht="15" hidden="false" customHeight="false" outlineLevel="0" collapsed="false">
      <c r="A744" s="92" t="str">
        <f aca="false">SRC_Demand!$A78&amp;""</f>
        <v/>
      </c>
      <c r="B744" s="62" t="s">
        <v>3389</v>
      </c>
      <c r="C744" s="61" t="n">
        <v>78</v>
      </c>
      <c r="D744" s="92" t="n">
        <f aca="false">SRC_Demand!$O78</f>
        <v>0</v>
      </c>
      <c r="E744" s="92" t="n">
        <f aca="false">SRC_Demand!$K78</f>
        <v>0</v>
      </c>
      <c r="F744" s="92" t="n">
        <f aca="false">SRC_Demand!$S78</f>
        <v>0</v>
      </c>
    </row>
    <row r="745" customFormat="false" ht="15" hidden="false" customHeight="false" outlineLevel="0" collapsed="false">
      <c r="A745" s="92" t="str">
        <f aca="false">SRC_Demand!$A79&amp;""</f>
        <v/>
      </c>
      <c r="B745" s="62" t="s">
        <v>3389</v>
      </c>
      <c r="C745" s="61" t="n">
        <v>79</v>
      </c>
      <c r="D745" s="92" t="n">
        <f aca="false">SRC_Demand!$O79</f>
        <v>0</v>
      </c>
      <c r="E745" s="92" t="n">
        <f aca="false">SRC_Demand!$K79</f>
        <v>0</v>
      </c>
      <c r="F745" s="92" t="n">
        <f aca="false">SRC_Demand!$S79</f>
        <v>0</v>
      </c>
    </row>
    <row r="746" customFormat="false" ht="15" hidden="false" customHeight="false" outlineLevel="0" collapsed="false">
      <c r="A746" s="92" t="str">
        <f aca="false">SRC_Demand!$A80&amp;""</f>
        <v/>
      </c>
      <c r="B746" s="62" t="s">
        <v>3389</v>
      </c>
      <c r="C746" s="61" t="n">
        <v>80</v>
      </c>
      <c r="D746" s="92" t="n">
        <f aca="false">SRC_Demand!$O80</f>
        <v>0</v>
      </c>
      <c r="E746" s="92" t="n">
        <f aca="false">SRC_Demand!$K80</f>
        <v>0</v>
      </c>
      <c r="F746" s="92" t="n">
        <f aca="false">SRC_Demand!$S80</f>
        <v>0</v>
      </c>
    </row>
    <row r="747" customFormat="false" ht="15" hidden="false" customHeight="false" outlineLevel="0" collapsed="false">
      <c r="A747" s="92" t="str">
        <f aca="false">SRC_Demand!$A81&amp;""</f>
        <v/>
      </c>
      <c r="B747" s="62" t="s">
        <v>3389</v>
      </c>
      <c r="C747" s="61" t="n">
        <v>81</v>
      </c>
      <c r="D747" s="92" t="n">
        <f aca="false">SRC_Demand!$O81</f>
        <v>0</v>
      </c>
      <c r="E747" s="92" t="n">
        <f aca="false">SRC_Demand!$K81</f>
        <v>0</v>
      </c>
      <c r="F747" s="92" t="n">
        <f aca="false">SRC_Demand!$S81</f>
        <v>0</v>
      </c>
    </row>
    <row r="748" customFormat="false" ht="15" hidden="false" customHeight="false" outlineLevel="0" collapsed="false">
      <c r="A748" s="92" t="str">
        <f aca="false">SRC_Demand!$A82&amp;""</f>
        <v/>
      </c>
      <c r="B748" s="62" t="s">
        <v>3389</v>
      </c>
      <c r="C748" s="61" t="n">
        <v>82</v>
      </c>
      <c r="D748" s="92" t="n">
        <f aca="false">SRC_Demand!$O82</f>
        <v>0</v>
      </c>
      <c r="E748" s="92" t="n">
        <f aca="false">SRC_Demand!$K82</f>
        <v>0</v>
      </c>
      <c r="F748" s="92" t="n">
        <f aca="false">SRC_Demand!$S82</f>
        <v>0</v>
      </c>
    </row>
    <row r="749" customFormat="false" ht="15" hidden="false" customHeight="false" outlineLevel="0" collapsed="false">
      <c r="A749" s="92" t="str">
        <f aca="false">SRC_Demand!$A83&amp;""</f>
        <v/>
      </c>
      <c r="B749" s="62" t="s">
        <v>3389</v>
      </c>
      <c r="C749" s="61" t="n">
        <v>83</v>
      </c>
      <c r="D749" s="92" t="n">
        <f aca="false">SRC_Demand!$O83</f>
        <v>0</v>
      </c>
      <c r="E749" s="92" t="n">
        <f aca="false">SRC_Demand!$K83</f>
        <v>0</v>
      </c>
      <c r="F749" s="92" t="n">
        <f aca="false">SRC_Demand!$S83</f>
        <v>0</v>
      </c>
    </row>
    <row r="750" customFormat="false" ht="15" hidden="false" customHeight="false" outlineLevel="0" collapsed="false">
      <c r="A750" s="92" t="str">
        <f aca="false">SRC_Demand!$A84&amp;""</f>
        <v/>
      </c>
      <c r="B750" s="62" t="s">
        <v>3389</v>
      </c>
      <c r="C750" s="61" t="n">
        <v>84</v>
      </c>
      <c r="D750" s="92" t="n">
        <f aca="false">SRC_Demand!$O84</f>
        <v>0</v>
      </c>
      <c r="E750" s="92" t="n">
        <f aca="false">SRC_Demand!$K84</f>
        <v>0</v>
      </c>
      <c r="F750" s="92" t="n">
        <f aca="false">SRC_Demand!$S84</f>
        <v>0</v>
      </c>
    </row>
    <row r="751" customFormat="false" ht="15" hidden="false" customHeight="false" outlineLevel="0" collapsed="false">
      <c r="A751" s="92" t="str">
        <f aca="false">SRC_Demand!$A85&amp;""</f>
        <v/>
      </c>
      <c r="B751" s="62" t="s">
        <v>3389</v>
      </c>
      <c r="C751" s="61" t="n">
        <v>85</v>
      </c>
      <c r="D751" s="92" t="n">
        <f aca="false">SRC_Demand!$O85</f>
        <v>0</v>
      </c>
      <c r="E751" s="92" t="n">
        <f aca="false">SRC_Demand!$K85</f>
        <v>0</v>
      </c>
      <c r="F751" s="92" t="n">
        <f aca="false">SRC_Demand!$S85</f>
        <v>0</v>
      </c>
    </row>
    <row r="752" customFormat="false" ht="15" hidden="false" customHeight="false" outlineLevel="0" collapsed="false">
      <c r="A752" s="92" t="str">
        <f aca="false">SRC_Demand!$A86&amp;""</f>
        <v/>
      </c>
      <c r="B752" s="62" t="s">
        <v>3389</v>
      </c>
      <c r="C752" s="61" t="n">
        <v>86</v>
      </c>
      <c r="D752" s="92" t="n">
        <f aca="false">SRC_Demand!$O86</f>
        <v>0</v>
      </c>
      <c r="E752" s="92" t="n">
        <f aca="false">SRC_Demand!$K86</f>
        <v>0</v>
      </c>
      <c r="F752" s="92" t="n">
        <f aca="false">SRC_Demand!$S86</f>
        <v>0</v>
      </c>
    </row>
    <row r="753" customFormat="false" ht="15" hidden="false" customHeight="false" outlineLevel="0" collapsed="false">
      <c r="A753" s="92" t="str">
        <f aca="false">SRC_Demand!$A87&amp;""</f>
        <v/>
      </c>
      <c r="B753" s="62" t="s">
        <v>3389</v>
      </c>
      <c r="C753" s="61" t="n">
        <v>87</v>
      </c>
      <c r="D753" s="92" t="n">
        <f aca="false">SRC_Demand!$O87</f>
        <v>0</v>
      </c>
      <c r="E753" s="92" t="n">
        <f aca="false">SRC_Demand!$K87</f>
        <v>0</v>
      </c>
      <c r="F753" s="92" t="n">
        <f aca="false">SRC_Demand!$S87</f>
        <v>0</v>
      </c>
    </row>
    <row r="754" customFormat="false" ht="15" hidden="false" customHeight="false" outlineLevel="0" collapsed="false">
      <c r="A754" s="92" t="str">
        <f aca="false">SRC_Demand!$A88&amp;""</f>
        <v/>
      </c>
      <c r="B754" s="62" t="s">
        <v>3389</v>
      </c>
      <c r="C754" s="61" t="n">
        <v>88</v>
      </c>
      <c r="D754" s="92" t="n">
        <f aca="false">SRC_Demand!$O88</f>
        <v>0</v>
      </c>
      <c r="E754" s="92" t="n">
        <f aca="false">SRC_Demand!$K88</f>
        <v>0</v>
      </c>
      <c r="F754" s="92" t="n">
        <f aca="false">SRC_Demand!$S88</f>
        <v>0</v>
      </c>
    </row>
    <row r="755" customFormat="false" ht="15" hidden="false" customHeight="false" outlineLevel="0" collapsed="false">
      <c r="A755" s="92" t="str">
        <f aca="false">SRC_Demand!$A89&amp;""</f>
        <v/>
      </c>
      <c r="B755" s="62" t="s">
        <v>3389</v>
      </c>
      <c r="C755" s="61" t="n">
        <v>89</v>
      </c>
      <c r="D755" s="92" t="n">
        <f aca="false">SRC_Demand!$O89</f>
        <v>0</v>
      </c>
      <c r="E755" s="92" t="n">
        <f aca="false">SRC_Demand!$K89</f>
        <v>0</v>
      </c>
      <c r="F755" s="92" t="n">
        <f aca="false">SRC_Demand!$S89</f>
        <v>0</v>
      </c>
    </row>
    <row r="756" customFormat="false" ht="15" hidden="false" customHeight="false" outlineLevel="0" collapsed="false">
      <c r="A756" s="92" t="str">
        <f aca="false">SRC_Demand!$A90&amp;""</f>
        <v/>
      </c>
      <c r="B756" s="62" t="s">
        <v>3389</v>
      </c>
      <c r="C756" s="61" t="n">
        <v>90</v>
      </c>
      <c r="D756" s="92" t="n">
        <f aca="false">SRC_Demand!$O90</f>
        <v>0</v>
      </c>
      <c r="E756" s="92" t="n">
        <f aca="false">SRC_Demand!$K90</f>
        <v>0</v>
      </c>
      <c r="F756" s="92" t="n">
        <f aca="false">SRC_Demand!$S90</f>
        <v>0</v>
      </c>
    </row>
    <row r="757" customFormat="false" ht="15" hidden="false" customHeight="false" outlineLevel="0" collapsed="false">
      <c r="A757" s="92" t="str">
        <f aca="false">SRC_Demand!$A91&amp;""</f>
        <v/>
      </c>
      <c r="B757" s="62" t="s">
        <v>3389</v>
      </c>
      <c r="C757" s="61" t="n">
        <v>91</v>
      </c>
      <c r="D757" s="92" t="n">
        <f aca="false">SRC_Demand!$O91</f>
        <v>0</v>
      </c>
      <c r="E757" s="92" t="n">
        <f aca="false">SRC_Demand!$K91</f>
        <v>0</v>
      </c>
      <c r="F757" s="92" t="n">
        <f aca="false">SRC_Demand!$S91</f>
        <v>0</v>
      </c>
    </row>
    <row r="758" customFormat="false" ht="15" hidden="false" customHeight="false" outlineLevel="0" collapsed="false">
      <c r="A758" s="92" t="str">
        <f aca="false">SRC_Demand!$A92&amp;""</f>
        <v/>
      </c>
      <c r="B758" s="62" t="s">
        <v>3389</v>
      </c>
      <c r="C758" s="61" t="n">
        <v>92</v>
      </c>
      <c r="D758" s="92" t="n">
        <f aca="false">SRC_Demand!$O92</f>
        <v>0</v>
      </c>
      <c r="E758" s="92" t="n">
        <f aca="false">SRC_Demand!$K92</f>
        <v>0</v>
      </c>
      <c r="F758" s="92" t="n">
        <f aca="false">SRC_Demand!$S92</f>
        <v>0</v>
      </c>
    </row>
    <row r="759" customFormat="false" ht="15" hidden="false" customHeight="false" outlineLevel="0" collapsed="false">
      <c r="A759" s="92" t="str">
        <f aca="false">SRC_Demand!$A93&amp;""</f>
        <v/>
      </c>
      <c r="B759" s="62" t="s">
        <v>3389</v>
      </c>
      <c r="C759" s="61" t="n">
        <v>93</v>
      </c>
      <c r="D759" s="92" t="n">
        <f aca="false">SRC_Demand!$O93</f>
        <v>0</v>
      </c>
      <c r="E759" s="92" t="n">
        <f aca="false">SRC_Demand!$K93</f>
        <v>0</v>
      </c>
      <c r="F759" s="92" t="n">
        <f aca="false">SRC_Demand!$S93</f>
        <v>0</v>
      </c>
    </row>
    <row r="760" customFormat="false" ht="15" hidden="false" customHeight="false" outlineLevel="0" collapsed="false">
      <c r="A760" s="92" t="str">
        <f aca="false">SRC_Demand!$A94&amp;""</f>
        <v/>
      </c>
      <c r="B760" s="62" t="s">
        <v>3389</v>
      </c>
      <c r="C760" s="61" t="n">
        <v>94</v>
      </c>
      <c r="D760" s="92" t="n">
        <f aca="false">SRC_Demand!$O94</f>
        <v>0</v>
      </c>
      <c r="E760" s="92" t="n">
        <f aca="false">SRC_Demand!$K94</f>
        <v>0</v>
      </c>
      <c r="F760" s="92" t="n">
        <f aca="false">SRC_Demand!$S94</f>
        <v>0</v>
      </c>
    </row>
    <row r="761" customFormat="false" ht="15" hidden="false" customHeight="false" outlineLevel="0" collapsed="false">
      <c r="A761" s="92" t="str">
        <f aca="false">SRC_Demand!$A95&amp;""</f>
        <v/>
      </c>
      <c r="B761" s="62" t="s">
        <v>3389</v>
      </c>
      <c r="C761" s="61" t="n">
        <v>95</v>
      </c>
      <c r="D761" s="92" t="n">
        <f aca="false">SRC_Demand!$O95</f>
        <v>0</v>
      </c>
      <c r="E761" s="92" t="n">
        <f aca="false">SRC_Demand!$K95</f>
        <v>0</v>
      </c>
      <c r="F761" s="92" t="n">
        <f aca="false">SRC_Demand!$S95</f>
        <v>0</v>
      </c>
    </row>
    <row r="762" customFormat="false" ht="15" hidden="false" customHeight="false" outlineLevel="0" collapsed="false">
      <c r="A762" s="92" t="str">
        <f aca="false">SRC_Demand!$A96&amp;""</f>
        <v/>
      </c>
      <c r="B762" s="62" t="s">
        <v>3389</v>
      </c>
      <c r="C762" s="61" t="n">
        <v>96</v>
      </c>
      <c r="D762" s="92" t="n">
        <f aca="false">SRC_Demand!$O96</f>
        <v>0</v>
      </c>
      <c r="E762" s="92" t="n">
        <f aca="false">SRC_Demand!$K96</f>
        <v>0</v>
      </c>
      <c r="F762" s="92" t="n">
        <f aca="false">SRC_Demand!$S96</f>
        <v>0</v>
      </c>
    </row>
    <row r="763" customFormat="false" ht="15" hidden="false" customHeight="false" outlineLevel="0" collapsed="false">
      <c r="A763" s="92" t="str">
        <f aca="false">SRC_Demand!$A97&amp;""</f>
        <v/>
      </c>
      <c r="B763" s="62" t="s">
        <v>3389</v>
      </c>
      <c r="C763" s="61" t="n">
        <v>97</v>
      </c>
      <c r="D763" s="92" t="n">
        <f aca="false">SRC_Demand!$O97</f>
        <v>0</v>
      </c>
      <c r="E763" s="92" t="n">
        <f aca="false">SRC_Demand!$K97</f>
        <v>0</v>
      </c>
      <c r="F763" s="92" t="n">
        <f aca="false">SRC_Demand!$S97</f>
        <v>0</v>
      </c>
    </row>
    <row r="764" customFormat="false" ht="15" hidden="false" customHeight="false" outlineLevel="0" collapsed="false">
      <c r="A764" s="92" t="str">
        <f aca="false">SRC_Demand!$A98&amp;""</f>
        <v/>
      </c>
      <c r="B764" s="62" t="s">
        <v>3389</v>
      </c>
      <c r="C764" s="61" t="n">
        <v>98</v>
      </c>
      <c r="D764" s="92" t="n">
        <f aca="false">SRC_Demand!$O98</f>
        <v>0</v>
      </c>
      <c r="E764" s="92" t="n">
        <f aca="false">SRC_Demand!$K98</f>
        <v>0</v>
      </c>
      <c r="F764" s="92" t="n">
        <f aca="false">SRC_Demand!$S98</f>
        <v>0</v>
      </c>
    </row>
    <row r="765" customFormat="false" ht="15" hidden="false" customHeight="false" outlineLevel="0" collapsed="false">
      <c r="A765" s="92" t="str">
        <f aca="false">SRC_Demand!$A99&amp;""</f>
        <v/>
      </c>
      <c r="B765" s="62" t="s">
        <v>3389</v>
      </c>
      <c r="C765" s="61" t="n">
        <v>99</v>
      </c>
      <c r="D765" s="92" t="n">
        <f aca="false">SRC_Demand!$O99</f>
        <v>0</v>
      </c>
      <c r="E765" s="92" t="n">
        <f aca="false">SRC_Demand!$K99</f>
        <v>0</v>
      </c>
      <c r="F765" s="92" t="n">
        <f aca="false">SRC_Demand!$S99</f>
        <v>0</v>
      </c>
    </row>
    <row r="766" customFormat="false" ht="15" hidden="false" customHeight="false" outlineLevel="0" collapsed="false">
      <c r="A766" s="92" t="str">
        <f aca="false">SRC_Demand!$A100&amp;""</f>
        <v/>
      </c>
      <c r="B766" s="62" t="s">
        <v>3389</v>
      </c>
      <c r="C766" s="61" t="n">
        <v>100</v>
      </c>
      <c r="D766" s="92" t="n">
        <f aca="false">SRC_Demand!$O100</f>
        <v>0</v>
      </c>
      <c r="E766" s="92" t="n">
        <f aca="false">SRC_Demand!$K100</f>
        <v>0</v>
      </c>
      <c r="F766" s="92" t="n">
        <f aca="false">SRC_Demand!$S100</f>
        <v>0</v>
      </c>
    </row>
    <row r="767" customFormat="false" ht="15" hidden="false" customHeight="false" outlineLevel="0" collapsed="false">
      <c r="A767" s="92" t="str">
        <f aca="false">SRC_Demand!$A101&amp;""</f>
        <v/>
      </c>
      <c r="B767" s="62" t="s">
        <v>3389</v>
      </c>
      <c r="C767" s="61" t="n">
        <v>101</v>
      </c>
      <c r="D767" s="92" t="n">
        <f aca="false">SRC_Demand!$O101</f>
        <v>0</v>
      </c>
      <c r="E767" s="92" t="n">
        <f aca="false">SRC_Demand!$K101</f>
        <v>0</v>
      </c>
      <c r="F767" s="92" t="n">
        <f aca="false">SRC_Demand!$S101</f>
        <v>0</v>
      </c>
    </row>
    <row r="768" customFormat="false" ht="15" hidden="false" customHeight="false" outlineLevel="0" collapsed="false">
      <c r="A768" s="92" t="str">
        <f aca="false">SRC_Demand!$A102&amp;""</f>
        <v/>
      </c>
      <c r="B768" s="62" t="s">
        <v>3389</v>
      </c>
      <c r="C768" s="61" t="n">
        <v>102</v>
      </c>
      <c r="D768" s="92" t="n">
        <f aca="false">SRC_Demand!$O102</f>
        <v>0</v>
      </c>
      <c r="E768" s="92" t="n">
        <f aca="false">SRC_Demand!$K102</f>
        <v>0</v>
      </c>
      <c r="F768" s="92" t="n">
        <f aca="false">SRC_Demand!$S102</f>
        <v>0</v>
      </c>
    </row>
    <row r="769" customFormat="false" ht="15" hidden="false" customHeight="false" outlineLevel="0" collapsed="false">
      <c r="A769" s="92" t="str">
        <f aca="false">SRC_Demand!$A103&amp;""</f>
        <v/>
      </c>
      <c r="B769" s="62" t="s">
        <v>3389</v>
      </c>
      <c r="C769" s="61" t="n">
        <v>103</v>
      </c>
      <c r="D769" s="92" t="n">
        <f aca="false">SRC_Demand!$O103</f>
        <v>0</v>
      </c>
      <c r="E769" s="92" t="n">
        <f aca="false">SRC_Demand!$K103</f>
        <v>0</v>
      </c>
      <c r="F769" s="92" t="n">
        <f aca="false">SRC_Demand!$S103</f>
        <v>0</v>
      </c>
    </row>
    <row r="770" customFormat="false" ht="15" hidden="false" customHeight="false" outlineLevel="0" collapsed="false">
      <c r="A770" s="92" t="str">
        <f aca="false">SRC_Demand!$A104&amp;""</f>
        <v/>
      </c>
      <c r="B770" s="62" t="s">
        <v>3389</v>
      </c>
      <c r="C770" s="61" t="n">
        <v>104</v>
      </c>
      <c r="D770" s="92" t="n">
        <f aca="false">SRC_Demand!$O104</f>
        <v>0</v>
      </c>
      <c r="E770" s="92" t="n">
        <f aca="false">SRC_Demand!$K104</f>
        <v>0</v>
      </c>
      <c r="F770" s="92" t="n">
        <f aca="false">SRC_Demand!$S104</f>
        <v>0</v>
      </c>
    </row>
    <row r="771" customFormat="false" ht="15" hidden="false" customHeight="false" outlineLevel="0" collapsed="false">
      <c r="A771" s="92" t="str">
        <f aca="false">SRC_Demand!$A105&amp;""</f>
        <v/>
      </c>
      <c r="B771" s="62" t="s">
        <v>3389</v>
      </c>
      <c r="C771" s="61" t="n">
        <v>105</v>
      </c>
      <c r="D771" s="92" t="n">
        <f aca="false">SRC_Demand!$O105</f>
        <v>0</v>
      </c>
      <c r="E771" s="92" t="n">
        <f aca="false">SRC_Demand!$K105</f>
        <v>0</v>
      </c>
      <c r="F771" s="92" t="n">
        <f aca="false">SRC_Demand!$S105</f>
        <v>0</v>
      </c>
    </row>
    <row r="772" customFormat="false" ht="15" hidden="false" customHeight="false" outlineLevel="0" collapsed="false">
      <c r="A772" s="92" t="str">
        <f aca="false">SRC_Demand!$A106&amp;""</f>
        <v/>
      </c>
      <c r="B772" s="62" t="s">
        <v>3389</v>
      </c>
      <c r="C772" s="61" t="n">
        <v>106</v>
      </c>
      <c r="D772" s="92" t="n">
        <f aca="false">SRC_Demand!$O106</f>
        <v>0</v>
      </c>
      <c r="E772" s="92" t="n">
        <f aca="false">SRC_Demand!$K106</f>
        <v>0</v>
      </c>
      <c r="F772" s="92" t="n">
        <f aca="false">SRC_Demand!$S106</f>
        <v>0</v>
      </c>
    </row>
    <row r="773" customFormat="false" ht="15" hidden="false" customHeight="false" outlineLevel="0" collapsed="false">
      <c r="A773" s="92" t="str">
        <f aca="false">SRC_Demand!$A107&amp;""</f>
        <v/>
      </c>
      <c r="B773" s="62" t="s">
        <v>3389</v>
      </c>
      <c r="C773" s="61" t="n">
        <v>107</v>
      </c>
      <c r="D773" s="92" t="n">
        <f aca="false">SRC_Demand!$O107</f>
        <v>0</v>
      </c>
      <c r="E773" s="92" t="n">
        <f aca="false">SRC_Demand!$K107</f>
        <v>0</v>
      </c>
      <c r="F773" s="92" t="n">
        <f aca="false">SRC_Demand!$S107</f>
        <v>0</v>
      </c>
    </row>
    <row r="774" customFormat="false" ht="15" hidden="false" customHeight="false" outlineLevel="0" collapsed="false">
      <c r="A774" s="92" t="str">
        <f aca="false">SRC_Demand!$A108&amp;""</f>
        <v/>
      </c>
      <c r="B774" s="62" t="s">
        <v>3389</v>
      </c>
      <c r="C774" s="61" t="n">
        <v>108</v>
      </c>
      <c r="D774" s="92" t="n">
        <f aca="false">SRC_Demand!$O108</f>
        <v>0</v>
      </c>
      <c r="E774" s="92" t="n">
        <f aca="false">SRC_Demand!$K108</f>
        <v>0</v>
      </c>
      <c r="F774" s="92" t="n">
        <f aca="false">SRC_Demand!$S108</f>
        <v>0</v>
      </c>
    </row>
    <row r="775" customFormat="false" ht="15" hidden="false" customHeight="false" outlineLevel="0" collapsed="false">
      <c r="A775" s="92" t="str">
        <f aca="false">SRC_Demand!$A109&amp;""</f>
        <v/>
      </c>
      <c r="B775" s="62" t="s">
        <v>3389</v>
      </c>
      <c r="C775" s="61" t="n">
        <v>109</v>
      </c>
      <c r="D775" s="92" t="n">
        <f aca="false">SRC_Demand!$O109</f>
        <v>0</v>
      </c>
      <c r="E775" s="92" t="n">
        <f aca="false">SRC_Demand!$K109</f>
        <v>0</v>
      </c>
      <c r="F775" s="92" t="n">
        <f aca="false">SRC_Demand!$S109</f>
        <v>0</v>
      </c>
    </row>
    <row r="776" customFormat="false" ht="15" hidden="false" customHeight="false" outlineLevel="0" collapsed="false">
      <c r="A776" s="92" t="str">
        <f aca="false">SRC_Demand!$A110&amp;""</f>
        <v/>
      </c>
      <c r="B776" s="62" t="s">
        <v>3389</v>
      </c>
      <c r="C776" s="61" t="n">
        <v>110</v>
      </c>
      <c r="D776" s="92" t="n">
        <f aca="false">SRC_Demand!$O110</f>
        <v>0</v>
      </c>
      <c r="E776" s="92" t="n">
        <f aca="false">SRC_Demand!$K110</f>
        <v>0</v>
      </c>
      <c r="F776" s="92" t="n">
        <f aca="false">SRC_Demand!$S110</f>
        <v>0</v>
      </c>
    </row>
    <row r="777" customFormat="false" ht="15" hidden="false" customHeight="false" outlineLevel="0" collapsed="false">
      <c r="A777" s="92" t="str">
        <f aca="false">SRC_Demand!$A111&amp;""</f>
        <v/>
      </c>
      <c r="B777" s="62" t="s">
        <v>3389</v>
      </c>
      <c r="C777" s="61" t="n">
        <v>111</v>
      </c>
      <c r="D777" s="92" t="n">
        <f aca="false">SRC_Demand!$O111</f>
        <v>0</v>
      </c>
      <c r="E777" s="92" t="n">
        <f aca="false">SRC_Demand!$K111</f>
        <v>0</v>
      </c>
      <c r="F777" s="92" t="n">
        <f aca="false">SRC_Demand!$S111</f>
        <v>0</v>
      </c>
    </row>
    <row r="778" customFormat="false" ht="15" hidden="false" customHeight="false" outlineLevel="0" collapsed="false">
      <c r="A778" s="92" t="str">
        <f aca="false">SRC_Demand!$A112&amp;""</f>
        <v/>
      </c>
      <c r="B778" s="62" t="s">
        <v>3389</v>
      </c>
      <c r="C778" s="61" t="n">
        <v>112</v>
      </c>
      <c r="D778" s="92" t="n">
        <f aca="false">SRC_Demand!$O112</f>
        <v>0</v>
      </c>
      <c r="E778" s="92" t="n">
        <f aca="false">SRC_Demand!$K112</f>
        <v>0</v>
      </c>
      <c r="F778" s="92" t="n">
        <f aca="false">SRC_Demand!$S112</f>
        <v>0</v>
      </c>
    </row>
    <row r="779" customFormat="false" ht="15" hidden="false" customHeight="false" outlineLevel="0" collapsed="false">
      <c r="A779" s="92" t="str">
        <f aca="false">SRC_Demand!$A113&amp;""</f>
        <v/>
      </c>
      <c r="B779" s="62" t="s">
        <v>3389</v>
      </c>
      <c r="C779" s="61" t="n">
        <v>113</v>
      </c>
      <c r="D779" s="92" t="n">
        <f aca="false">SRC_Demand!$O113</f>
        <v>0</v>
      </c>
      <c r="E779" s="92" t="n">
        <f aca="false">SRC_Demand!$K113</f>
        <v>0</v>
      </c>
      <c r="F779" s="92" t="n">
        <f aca="false">SRC_Demand!$S113</f>
        <v>0</v>
      </c>
    </row>
    <row r="780" customFormat="false" ht="15" hidden="false" customHeight="false" outlineLevel="0" collapsed="false">
      <c r="A780" s="92" t="str">
        <f aca="false">SRC_Demand!$A114&amp;""</f>
        <v/>
      </c>
      <c r="B780" s="62" t="s">
        <v>3389</v>
      </c>
      <c r="C780" s="61" t="n">
        <v>114</v>
      </c>
      <c r="D780" s="92" t="n">
        <f aca="false">SRC_Demand!$O114</f>
        <v>0</v>
      </c>
      <c r="E780" s="92" t="n">
        <f aca="false">SRC_Demand!$K114</f>
        <v>0</v>
      </c>
      <c r="F780" s="92" t="n">
        <f aca="false">SRC_Demand!$S114</f>
        <v>0</v>
      </c>
    </row>
    <row r="781" customFormat="false" ht="15" hidden="false" customHeight="false" outlineLevel="0" collapsed="false">
      <c r="A781" s="92" t="str">
        <f aca="false">SRC_Demand!$A115&amp;""</f>
        <v/>
      </c>
      <c r="B781" s="62" t="s">
        <v>3389</v>
      </c>
      <c r="C781" s="61" t="n">
        <v>115</v>
      </c>
      <c r="D781" s="92" t="n">
        <f aca="false">SRC_Demand!$O115</f>
        <v>0</v>
      </c>
      <c r="E781" s="92" t="n">
        <f aca="false">SRC_Demand!$K115</f>
        <v>0</v>
      </c>
      <c r="F781" s="92" t="n">
        <f aca="false">SRC_Demand!$S115</f>
        <v>0</v>
      </c>
    </row>
    <row r="782" customFormat="false" ht="15" hidden="false" customHeight="false" outlineLevel="0" collapsed="false">
      <c r="A782" s="92" t="str">
        <f aca="false">SRC_Demand!$A116&amp;""</f>
        <v/>
      </c>
      <c r="B782" s="62" t="s">
        <v>3389</v>
      </c>
      <c r="C782" s="61" t="n">
        <v>116</v>
      </c>
      <c r="D782" s="92" t="n">
        <f aca="false">SRC_Demand!$O116</f>
        <v>0</v>
      </c>
      <c r="E782" s="92" t="n">
        <f aca="false">SRC_Demand!$K116</f>
        <v>0</v>
      </c>
      <c r="F782" s="92" t="n">
        <f aca="false">SRC_Demand!$S116</f>
        <v>0</v>
      </c>
    </row>
    <row r="783" customFormat="false" ht="15" hidden="false" customHeight="false" outlineLevel="0" collapsed="false">
      <c r="A783" s="92" t="str">
        <f aca="false">SRC_Demand!$A117&amp;""</f>
        <v/>
      </c>
      <c r="B783" s="62" t="s">
        <v>3389</v>
      </c>
      <c r="C783" s="61" t="n">
        <v>117</v>
      </c>
      <c r="D783" s="92" t="n">
        <f aca="false">SRC_Demand!$O117</f>
        <v>0</v>
      </c>
      <c r="E783" s="92" t="n">
        <f aca="false">SRC_Demand!$K117</f>
        <v>0</v>
      </c>
      <c r="F783" s="92" t="n">
        <f aca="false">SRC_Demand!$S117</f>
        <v>0</v>
      </c>
    </row>
    <row r="784" customFormat="false" ht="15" hidden="false" customHeight="false" outlineLevel="0" collapsed="false">
      <c r="A784" s="92" t="str">
        <f aca="false">SRC_Demand!$A118&amp;""</f>
        <v/>
      </c>
      <c r="B784" s="62" t="s">
        <v>3389</v>
      </c>
      <c r="C784" s="61" t="n">
        <v>118</v>
      </c>
      <c r="D784" s="92" t="n">
        <f aca="false">SRC_Demand!$O118</f>
        <v>0</v>
      </c>
      <c r="E784" s="92" t="n">
        <f aca="false">SRC_Demand!$K118</f>
        <v>0</v>
      </c>
      <c r="F784" s="92" t="n">
        <f aca="false">SRC_Demand!$S118</f>
        <v>0</v>
      </c>
    </row>
    <row r="785" customFormat="false" ht="15" hidden="false" customHeight="false" outlineLevel="0" collapsed="false">
      <c r="A785" s="92" t="str">
        <f aca="false">SRC_Demand!$A119&amp;""</f>
        <v/>
      </c>
      <c r="B785" s="62" t="s">
        <v>3389</v>
      </c>
      <c r="C785" s="61" t="n">
        <v>119</v>
      </c>
      <c r="D785" s="92" t="n">
        <f aca="false">SRC_Demand!$O119</f>
        <v>0</v>
      </c>
      <c r="E785" s="92" t="n">
        <f aca="false">SRC_Demand!$K119</f>
        <v>0</v>
      </c>
      <c r="F785" s="92" t="n">
        <f aca="false">SRC_Demand!$S119</f>
        <v>0</v>
      </c>
    </row>
    <row r="786" customFormat="false" ht="15" hidden="false" customHeight="false" outlineLevel="0" collapsed="false">
      <c r="A786" s="92" t="str">
        <f aca="false">SRC_Demand!$A120&amp;""</f>
        <v/>
      </c>
      <c r="B786" s="62" t="s">
        <v>3389</v>
      </c>
      <c r="C786" s="61" t="n">
        <v>120</v>
      </c>
      <c r="D786" s="92" t="n">
        <f aca="false">SRC_Demand!$O120</f>
        <v>0</v>
      </c>
      <c r="E786" s="92" t="n">
        <f aca="false">SRC_Demand!$K120</f>
        <v>0</v>
      </c>
      <c r="F786" s="92" t="n">
        <f aca="false">SRC_Demand!$S120</f>
        <v>0</v>
      </c>
    </row>
    <row r="787" customFormat="false" ht="15" hidden="false" customHeight="false" outlineLevel="0" collapsed="false">
      <c r="A787" s="92" t="str">
        <f aca="false">SRC_Demand!$A121&amp;""</f>
        <v/>
      </c>
      <c r="B787" s="62" t="s">
        <v>3389</v>
      </c>
      <c r="C787" s="61" t="n">
        <v>121</v>
      </c>
      <c r="D787" s="92" t="n">
        <f aca="false">SRC_Demand!$O121</f>
        <v>0</v>
      </c>
      <c r="E787" s="92" t="n">
        <f aca="false">SRC_Demand!$K121</f>
        <v>0</v>
      </c>
      <c r="F787" s="92" t="n">
        <f aca="false">SRC_Demand!$S121</f>
        <v>0</v>
      </c>
    </row>
    <row r="788" customFormat="false" ht="15" hidden="false" customHeight="false" outlineLevel="0" collapsed="false">
      <c r="A788" s="92" t="str">
        <f aca="false">SRC_Demand!$A122&amp;""</f>
        <v/>
      </c>
      <c r="B788" s="62" t="s">
        <v>3389</v>
      </c>
      <c r="C788" s="61" t="n">
        <v>122</v>
      </c>
      <c r="D788" s="92" t="n">
        <f aca="false">SRC_Demand!$O122</f>
        <v>0</v>
      </c>
      <c r="E788" s="92" t="n">
        <f aca="false">SRC_Demand!$K122</f>
        <v>0</v>
      </c>
      <c r="F788" s="92" t="n">
        <f aca="false">SRC_Demand!$S122</f>
        <v>0</v>
      </c>
    </row>
    <row r="789" customFormat="false" ht="15" hidden="false" customHeight="false" outlineLevel="0" collapsed="false">
      <c r="A789" s="92" t="str">
        <f aca="false">SRC_Demand!$A123&amp;""</f>
        <v/>
      </c>
      <c r="B789" s="62" t="s">
        <v>3389</v>
      </c>
      <c r="C789" s="61" t="n">
        <v>123</v>
      </c>
      <c r="D789" s="92" t="n">
        <f aca="false">SRC_Demand!$O123</f>
        <v>0</v>
      </c>
      <c r="E789" s="92" t="n">
        <f aca="false">SRC_Demand!$K123</f>
        <v>0</v>
      </c>
      <c r="F789" s="92" t="n">
        <f aca="false">SRC_Demand!$S123</f>
        <v>0</v>
      </c>
    </row>
    <row r="790" customFormat="false" ht="15" hidden="false" customHeight="false" outlineLevel="0" collapsed="false">
      <c r="A790" s="92" t="str">
        <f aca="false">SRC_Demand!$A124&amp;""</f>
        <v/>
      </c>
      <c r="B790" s="62" t="s">
        <v>3389</v>
      </c>
      <c r="C790" s="61" t="n">
        <v>124</v>
      </c>
      <c r="D790" s="92" t="n">
        <f aca="false">SRC_Demand!$O124</f>
        <v>0</v>
      </c>
      <c r="E790" s="92" t="n">
        <f aca="false">SRC_Demand!$K124</f>
        <v>0</v>
      </c>
      <c r="F790" s="92" t="n">
        <f aca="false">SRC_Demand!$S124</f>
        <v>0</v>
      </c>
    </row>
    <row r="791" customFormat="false" ht="15" hidden="false" customHeight="false" outlineLevel="0" collapsed="false">
      <c r="A791" s="92" t="str">
        <f aca="false">SRC_Demand!$A125&amp;""</f>
        <v/>
      </c>
      <c r="B791" s="62" t="s">
        <v>3389</v>
      </c>
      <c r="C791" s="61" t="n">
        <v>125</v>
      </c>
      <c r="D791" s="92" t="n">
        <f aca="false">SRC_Demand!$O125</f>
        <v>0</v>
      </c>
      <c r="E791" s="92" t="n">
        <f aca="false">SRC_Demand!$K125</f>
        <v>0</v>
      </c>
      <c r="F791" s="92" t="n">
        <f aca="false">SRC_Demand!$S125</f>
        <v>0</v>
      </c>
    </row>
    <row r="792" customFormat="false" ht="15" hidden="false" customHeight="false" outlineLevel="0" collapsed="false">
      <c r="A792" s="92" t="str">
        <f aca="false">SRC_Demand!$A126&amp;""</f>
        <v/>
      </c>
      <c r="B792" s="62" t="s">
        <v>3389</v>
      </c>
      <c r="C792" s="61" t="n">
        <v>126</v>
      </c>
      <c r="D792" s="92" t="n">
        <f aca="false">SRC_Demand!$O126</f>
        <v>0</v>
      </c>
      <c r="E792" s="92" t="n">
        <f aca="false">SRC_Demand!$K126</f>
        <v>0</v>
      </c>
      <c r="F792" s="92" t="n">
        <f aca="false">SRC_Demand!$S126</f>
        <v>0</v>
      </c>
    </row>
    <row r="793" customFormat="false" ht="15" hidden="false" customHeight="false" outlineLevel="0" collapsed="false">
      <c r="A793" s="92" t="str">
        <f aca="false">SRC_Demand!$A127&amp;""</f>
        <v/>
      </c>
      <c r="B793" s="62" t="s">
        <v>3389</v>
      </c>
      <c r="C793" s="61" t="n">
        <v>127</v>
      </c>
      <c r="D793" s="92" t="n">
        <f aca="false">SRC_Demand!$O127</f>
        <v>0</v>
      </c>
      <c r="E793" s="92" t="n">
        <f aca="false">SRC_Demand!$K127</f>
        <v>0</v>
      </c>
      <c r="F793" s="92" t="n">
        <f aca="false">SRC_Demand!$S127</f>
        <v>0</v>
      </c>
    </row>
    <row r="794" customFormat="false" ht="15" hidden="false" customHeight="false" outlineLevel="0" collapsed="false">
      <c r="A794" s="92" t="str">
        <f aca="false">Gov_Map!$H5&amp;""</f>
        <v>—</v>
      </c>
      <c r="B794" s="65" t="s">
        <v>10484</v>
      </c>
      <c r="C794" s="61" t="n">
        <v>5</v>
      </c>
      <c r="D794" s="61" t="s">
        <v>10485</v>
      </c>
      <c r="E794" s="61" t="s">
        <v>10485</v>
      </c>
      <c r="F794" s="62" t="s">
        <v>809</v>
      </c>
    </row>
    <row r="795" customFormat="false" ht="15" hidden="false" customHeight="false" outlineLevel="0" collapsed="false">
      <c r="A795" s="92" t="str">
        <f aca="false">Gov_Map!$H6&amp;""</f>
        <v>—</v>
      </c>
      <c r="B795" s="65" t="s">
        <v>10484</v>
      </c>
      <c r="C795" s="61" t="n">
        <v>6</v>
      </c>
      <c r="D795" s="61" t="s">
        <v>10485</v>
      </c>
      <c r="E795" s="61" t="s">
        <v>10485</v>
      </c>
      <c r="F795" s="62" t="s">
        <v>809</v>
      </c>
    </row>
    <row r="796" customFormat="false" ht="15" hidden="false" customHeight="false" outlineLevel="0" collapsed="false">
      <c r="A796" s="92" t="str">
        <f aca="false">Gov_Map!$H7&amp;""</f>
        <v>—</v>
      </c>
      <c r="B796" s="65" t="s">
        <v>10484</v>
      </c>
      <c r="C796" s="61" t="n">
        <v>7</v>
      </c>
      <c r="D796" s="61" t="s">
        <v>10485</v>
      </c>
      <c r="E796" s="61" t="s">
        <v>10485</v>
      </c>
      <c r="F796" s="62" t="s">
        <v>809</v>
      </c>
    </row>
    <row r="797" customFormat="false" ht="15" hidden="false" customHeight="false" outlineLevel="0" collapsed="false">
      <c r="A797" s="92" t="str">
        <f aca="false">Gov_Map!$H8&amp;""</f>
        <v>SRC_DC_018</v>
      </c>
      <c r="B797" s="65" t="s">
        <v>10484</v>
      </c>
      <c r="C797" s="61" t="n">
        <v>8</v>
      </c>
      <c r="D797" s="61" t="s">
        <v>10485</v>
      </c>
      <c r="E797" s="61" t="s">
        <v>10485</v>
      </c>
      <c r="F797" s="62" t="s">
        <v>809</v>
      </c>
    </row>
    <row r="798" customFormat="false" ht="15" hidden="false" customHeight="false" outlineLevel="0" collapsed="false">
      <c r="A798" s="92" t="str">
        <f aca="false">Gov_Map!$H9&amp;""</f>
        <v>SRC_DC_018</v>
      </c>
      <c r="B798" s="65" t="s">
        <v>10484</v>
      </c>
      <c r="C798" s="61" t="n">
        <v>9</v>
      </c>
      <c r="D798" s="61" t="s">
        <v>10485</v>
      </c>
      <c r="E798" s="61" t="s">
        <v>10485</v>
      </c>
      <c r="F798" s="62" t="s">
        <v>809</v>
      </c>
    </row>
    <row r="799" customFormat="false" ht="15" hidden="false" customHeight="false" outlineLevel="0" collapsed="false">
      <c r="A799" s="92" t="str">
        <f aca="false">Gov_Map!$H10&amp;""</f>
        <v>SRC_DC_018</v>
      </c>
      <c r="B799" s="65" t="s">
        <v>10484</v>
      </c>
      <c r="C799" s="61" t="n">
        <v>10</v>
      </c>
      <c r="D799" s="61" t="s">
        <v>10485</v>
      </c>
      <c r="E799" s="61" t="s">
        <v>10485</v>
      </c>
      <c r="F799" s="62" t="s">
        <v>809</v>
      </c>
    </row>
    <row r="800" customFormat="false" ht="15" hidden="false" customHeight="false" outlineLevel="0" collapsed="false">
      <c r="A800" s="92" t="str">
        <f aca="false">Gov_Map!$H11&amp;""</f>
        <v>—</v>
      </c>
      <c r="B800" s="65" t="s">
        <v>10484</v>
      </c>
      <c r="C800" s="61" t="n">
        <v>11</v>
      </c>
      <c r="D800" s="61" t="s">
        <v>10485</v>
      </c>
      <c r="E800" s="61" t="s">
        <v>10485</v>
      </c>
      <c r="F800" s="62" t="s">
        <v>809</v>
      </c>
    </row>
    <row r="801" customFormat="false" ht="15" hidden="false" customHeight="false" outlineLevel="0" collapsed="false">
      <c r="A801" s="92" t="str">
        <f aca="false">Gov_Map!$H12&amp;""</f>
        <v>—</v>
      </c>
      <c r="B801" s="65" t="s">
        <v>10484</v>
      </c>
      <c r="C801" s="61" t="n">
        <v>12</v>
      </c>
      <c r="D801" s="61" t="s">
        <v>10485</v>
      </c>
      <c r="E801" s="61" t="s">
        <v>10485</v>
      </c>
      <c r="F801" s="62" t="s">
        <v>809</v>
      </c>
    </row>
    <row r="802" customFormat="false" ht="15" hidden="false" customHeight="false" outlineLevel="0" collapsed="false">
      <c r="A802" s="92" t="str">
        <f aca="false">Gov_Map!$H13&amp;""</f>
        <v>—</v>
      </c>
      <c r="B802" s="65" t="s">
        <v>10484</v>
      </c>
      <c r="C802" s="61" t="n">
        <v>13</v>
      </c>
      <c r="D802" s="61" t="s">
        <v>10485</v>
      </c>
      <c r="E802" s="61" t="s">
        <v>10485</v>
      </c>
      <c r="F802" s="62" t="s">
        <v>809</v>
      </c>
    </row>
    <row r="803" customFormat="false" ht="15" hidden="false" customHeight="false" outlineLevel="0" collapsed="false">
      <c r="A803" s="92" t="str">
        <f aca="false">Gov_Map!$H14&amp;""</f>
        <v>SRC_DC_006</v>
      </c>
      <c r="B803" s="65" t="s">
        <v>10484</v>
      </c>
      <c r="C803" s="61" t="n">
        <v>14</v>
      </c>
      <c r="D803" s="61" t="s">
        <v>10485</v>
      </c>
      <c r="E803" s="61" t="s">
        <v>10485</v>
      </c>
      <c r="F803" s="62" t="s">
        <v>809</v>
      </c>
    </row>
    <row r="804" customFormat="false" ht="15" hidden="false" customHeight="false" outlineLevel="0" collapsed="false">
      <c r="A804" s="92" t="str">
        <f aca="false">Gov_Map!$H15&amp;""</f>
        <v>SRC_DC_006</v>
      </c>
      <c r="B804" s="65" t="s">
        <v>10484</v>
      </c>
      <c r="C804" s="61" t="n">
        <v>15</v>
      </c>
      <c r="D804" s="61" t="s">
        <v>10485</v>
      </c>
      <c r="E804" s="61" t="s">
        <v>10485</v>
      </c>
      <c r="F804" s="62" t="s">
        <v>809</v>
      </c>
    </row>
    <row r="805" customFormat="false" ht="15" hidden="false" customHeight="false" outlineLevel="0" collapsed="false">
      <c r="A805" s="92" t="str">
        <f aca="false">Gov_Map!$H16&amp;""</f>
        <v>SRC_DC_006</v>
      </c>
      <c r="B805" s="65" t="s">
        <v>10484</v>
      </c>
      <c r="C805" s="61" t="n">
        <v>16</v>
      </c>
      <c r="D805" s="61" t="s">
        <v>10485</v>
      </c>
      <c r="E805" s="61" t="s">
        <v>10485</v>
      </c>
      <c r="F805" s="62" t="s">
        <v>809</v>
      </c>
    </row>
    <row r="806" customFormat="false" ht="15" hidden="false" customHeight="false" outlineLevel="0" collapsed="false">
      <c r="A806" s="92" t="str">
        <f aca="false">Gov_Map!$H17&amp;""</f>
        <v>SRC_DC_001</v>
      </c>
      <c r="B806" s="65" t="s">
        <v>10484</v>
      </c>
      <c r="C806" s="61" t="n">
        <v>17</v>
      </c>
      <c r="D806" s="61" t="s">
        <v>10485</v>
      </c>
      <c r="E806" s="61" t="s">
        <v>10485</v>
      </c>
      <c r="F806" s="62" t="s">
        <v>809</v>
      </c>
    </row>
    <row r="807" customFormat="false" ht="15" hidden="false" customHeight="false" outlineLevel="0" collapsed="false">
      <c r="A807" s="92" t="str">
        <f aca="false">Gov_Map!$H18&amp;""</f>
        <v>SRC_DC_001</v>
      </c>
      <c r="B807" s="65" t="s">
        <v>10484</v>
      </c>
      <c r="C807" s="61" t="n">
        <v>18</v>
      </c>
      <c r="D807" s="61" t="s">
        <v>10485</v>
      </c>
      <c r="E807" s="61" t="s">
        <v>10485</v>
      </c>
      <c r="F807" s="62" t="s">
        <v>809</v>
      </c>
    </row>
    <row r="808" customFormat="false" ht="15" hidden="false" customHeight="false" outlineLevel="0" collapsed="false">
      <c r="A808" s="92" t="str">
        <f aca="false">Gov_Map!$H19&amp;""</f>
        <v>SRC_DC_002</v>
      </c>
      <c r="B808" s="65" t="s">
        <v>10484</v>
      </c>
      <c r="C808" s="61" t="n">
        <v>19</v>
      </c>
      <c r="D808" s="61" t="s">
        <v>10485</v>
      </c>
      <c r="E808" s="61" t="s">
        <v>10485</v>
      </c>
      <c r="F808" s="62" t="s">
        <v>809</v>
      </c>
    </row>
    <row r="809" customFormat="false" ht="15" hidden="false" customHeight="false" outlineLevel="0" collapsed="false">
      <c r="A809" s="92" t="str">
        <f aca="false">Gov_Map!$H20&amp;""</f>
        <v>—</v>
      </c>
      <c r="B809" s="65" t="s">
        <v>10484</v>
      </c>
      <c r="C809" s="61" t="n">
        <v>20</v>
      </c>
      <c r="D809" s="61" t="s">
        <v>10485</v>
      </c>
      <c r="E809" s="61" t="s">
        <v>10485</v>
      </c>
      <c r="F809" s="62" t="s">
        <v>809</v>
      </c>
    </row>
    <row r="810" customFormat="false" ht="15" hidden="false" customHeight="false" outlineLevel="0" collapsed="false">
      <c r="A810" s="92" t="str">
        <f aca="false">Gov_Map!$H21&amp;""</f>
        <v>—</v>
      </c>
      <c r="B810" s="65" t="s">
        <v>10484</v>
      </c>
      <c r="C810" s="61" t="n">
        <v>21</v>
      </c>
      <c r="D810" s="61" t="s">
        <v>10485</v>
      </c>
      <c r="E810" s="61" t="s">
        <v>10485</v>
      </c>
      <c r="F810" s="62" t="s">
        <v>809</v>
      </c>
    </row>
    <row r="811" customFormat="false" ht="15" hidden="false" customHeight="false" outlineLevel="0" collapsed="false">
      <c r="A811" s="92" t="str">
        <f aca="false">Gov_Map!$H22&amp;""</f>
        <v>—</v>
      </c>
      <c r="B811" s="65" t="s">
        <v>10484</v>
      </c>
      <c r="C811" s="61" t="n">
        <v>22</v>
      </c>
      <c r="D811" s="61" t="s">
        <v>10485</v>
      </c>
      <c r="E811" s="61" t="s">
        <v>10485</v>
      </c>
      <c r="F811" s="62" t="s">
        <v>809</v>
      </c>
    </row>
    <row r="812" customFormat="false" ht="15" hidden="false" customHeight="false" outlineLevel="0" collapsed="false">
      <c r="A812" s="92" t="str">
        <f aca="false">Gov_Map!$H23&amp;""</f>
        <v>—</v>
      </c>
      <c r="B812" s="65" t="s">
        <v>10484</v>
      </c>
      <c r="C812" s="61" t="n">
        <v>23</v>
      </c>
      <c r="D812" s="61" t="s">
        <v>10485</v>
      </c>
      <c r="E812" s="61" t="s">
        <v>10485</v>
      </c>
      <c r="F812" s="62" t="s">
        <v>809</v>
      </c>
    </row>
    <row r="813" customFormat="false" ht="15" hidden="false" customHeight="false" outlineLevel="0" collapsed="false">
      <c r="A813" s="92" t="str">
        <f aca="false">Gov_Map!$H24&amp;""</f>
        <v>—</v>
      </c>
      <c r="B813" s="65" t="s">
        <v>10484</v>
      </c>
      <c r="C813" s="61" t="n">
        <v>24</v>
      </c>
      <c r="D813" s="61" t="s">
        <v>10485</v>
      </c>
      <c r="E813" s="61" t="s">
        <v>10485</v>
      </c>
      <c r="F813" s="62" t="s">
        <v>809</v>
      </c>
    </row>
    <row r="814" customFormat="false" ht="15" hidden="false" customHeight="false" outlineLevel="0" collapsed="false">
      <c r="A814" s="92" t="str">
        <f aca="false">Gov_Map!$H25&amp;""</f>
        <v>—</v>
      </c>
      <c r="B814" s="65" t="s">
        <v>10484</v>
      </c>
      <c r="C814" s="61" t="n">
        <v>25</v>
      </c>
      <c r="D814" s="61" t="s">
        <v>10485</v>
      </c>
      <c r="E814" s="61" t="s">
        <v>10485</v>
      </c>
      <c r="F814" s="62" t="s">
        <v>809</v>
      </c>
    </row>
    <row r="815" customFormat="false" ht="15" hidden="false" customHeight="false" outlineLevel="0" collapsed="false">
      <c r="A815" s="92" t="str">
        <f aca="false">Gov_Map!$H26&amp;""</f>
        <v>SRC_DC_003</v>
      </c>
      <c r="B815" s="65" t="s">
        <v>10484</v>
      </c>
      <c r="C815" s="61" t="n">
        <v>26</v>
      </c>
      <c r="D815" s="61" t="s">
        <v>10485</v>
      </c>
      <c r="E815" s="61" t="s">
        <v>10485</v>
      </c>
      <c r="F815" s="62" t="s">
        <v>809</v>
      </c>
    </row>
    <row r="816" customFormat="false" ht="15" hidden="false" customHeight="false" outlineLevel="0" collapsed="false">
      <c r="A816" s="92" t="str">
        <f aca="false">Gov_Map!$H27&amp;""</f>
        <v>SRC_DC_003</v>
      </c>
      <c r="B816" s="65" t="s">
        <v>10484</v>
      </c>
      <c r="C816" s="61" t="n">
        <v>27</v>
      </c>
      <c r="D816" s="61" t="s">
        <v>10485</v>
      </c>
      <c r="E816" s="61" t="s">
        <v>10485</v>
      </c>
      <c r="F816" s="62" t="s">
        <v>809</v>
      </c>
    </row>
    <row r="817" customFormat="false" ht="15" hidden="false" customHeight="false" outlineLevel="0" collapsed="false">
      <c r="A817" s="92" t="str">
        <f aca="false">Gov_Map!$H28&amp;""</f>
        <v>SRC_DC_003</v>
      </c>
      <c r="B817" s="65" t="s">
        <v>10484</v>
      </c>
      <c r="C817" s="61" t="n">
        <v>28</v>
      </c>
      <c r="D817" s="61" t="s">
        <v>10485</v>
      </c>
      <c r="E817" s="61" t="s">
        <v>10485</v>
      </c>
      <c r="F817" s="62" t="s">
        <v>809</v>
      </c>
    </row>
    <row r="818" customFormat="false" ht="15" hidden="false" customHeight="false" outlineLevel="0" collapsed="false">
      <c r="A818" s="92" t="str">
        <f aca="false">Gov_Map!$H29&amp;""</f>
        <v>SRC_DC_003</v>
      </c>
      <c r="B818" s="65" t="s">
        <v>10484</v>
      </c>
      <c r="C818" s="61" t="n">
        <v>29</v>
      </c>
      <c r="D818" s="61" t="s">
        <v>10485</v>
      </c>
      <c r="E818" s="61" t="s">
        <v>10485</v>
      </c>
      <c r="F818" s="62" t="s">
        <v>809</v>
      </c>
    </row>
    <row r="819" customFormat="false" ht="15" hidden="false" customHeight="false" outlineLevel="0" collapsed="false">
      <c r="A819" s="92" t="str">
        <f aca="false">Gov_Map!$H30&amp;""</f>
        <v>SRC_DC_003</v>
      </c>
      <c r="B819" s="65" t="s">
        <v>10484</v>
      </c>
      <c r="C819" s="61" t="n">
        <v>30</v>
      </c>
      <c r="D819" s="61" t="s">
        <v>10485</v>
      </c>
      <c r="E819" s="61" t="s">
        <v>10485</v>
      </c>
      <c r="F819" s="62" t="s">
        <v>809</v>
      </c>
    </row>
    <row r="820" customFormat="false" ht="15" hidden="false" customHeight="false" outlineLevel="0" collapsed="false">
      <c r="A820" s="92" t="str">
        <f aca="false">Gov_Map!$H31&amp;""</f>
        <v>SRC_DC_003</v>
      </c>
      <c r="B820" s="65" t="s">
        <v>10484</v>
      </c>
      <c r="C820" s="61" t="n">
        <v>31</v>
      </c>
      <c r="D820" s="61" t="s">
        <v>10485</v>
      </c>
      <c r="E820" s="61" t="s">
        <v>10485</v>
      </c>
      <c r="F820" s="62" t="s">
        <v>809</v>
      </c>
    </row>
    <row r="821" customFormat="false" ht="15" hidden="false" customHeight="false" outlineLevel="0" collapsed="false">
      <c r="A821" s="92" t="str">
        <f aca="false">Gov_Map!$H32&amp;""</f>
        <v>—</v>
      </c>
      <c r="B821" s="65" t="s">
        <v>10484</v>
      </c>
      <c r="C821" s="61" t="n">
        <v>32</v>
      </c>
      <c r="D821" s="61" t="s">
        <v>10485</v>
      </c>
      <c r="E821" s="61" t="s">
        <v>10485</v>
      </c>
      <c r="F821" s="62" t="s">
        <v>809</v>
      </c>
    </row>
    <row r="822" customFormat="false" ht="15" hidden="false" customHeight="false" outlineLevel="0" collapsed="false">
      <c r="A822" s="92" t="str">
        <f aca="false">Gov_Map!$H33&amp;""</f>
        <v>—</v>
      </c>
      <c r="B822" s="65" t="s">
        <v>10484</v>
      </c>
      <c r="C822" s="61" t="n">
        <v>33</v>
      </c>
      <c r="D822" s="61" t="s">
        <v>10485</v>
      </c>
      <c r="E822" s="61" t="s">
        <v>10485</v>
      </c>
      <c r="F822" s="62" t="s">
        <v>809</v>
      </c>
    </row>
    <row r="823" customFormat="false" ht="15" hidden="false" customHeight="false" outlineLevel="0" collapsed="false">
      <c r="A823" s="92" t="str">
        <f aca="false">Gov_Map!$H34&amp;""</f>
        <v>—</v>
      </c>
      <c r="B823" s="65" t="s">
        <v>10484</v>
      </c>
      <c r="C823" s="61" t="n">
        <v>34</v>
      </c>
      <c r="D823" s="61" t="s">
        <v>10485</v>
      </c>
      <c r="E823" s="61" t="s">
        <v>10485</v>
      </c>
      <c r="F823" s="62" t="s">
        <v>809</v>
      </c>
    </row>
    <row r="824" customFormat="false" ht="15" hidden="false" customHeight="false" outlineLevel="0" collapsed="false">
      <c r="A824" s="92" t="str">
        <f aca="false">Gov_Map!$H35&amp;""</f>
        <v>SRC_DC_003</v>
      </c>
      <c r="B824" s="65" t="s">
        <v>10484</v>
      </c>
      <c r="C824" s="61" t="n">
        <v>35</v>
      </c>
      <c r="D824" s="61" t="s">
        <v>10485</v>
      </c>
      <c r="E824" s="61" t="s">
        <v>10485</v>
      </c>
      <c r="F824" s="62" t="s">
        <v>809</v>
      </c>
    </row>
    <row r="825" customFormat="false" ht="15" hidden="false" customHeight="false" outlineLevel="0" collapsed="false">
      <c r="A825" s="92" t="str">
        <f aca="false">Gov_Map!$H36&amp;""</f>
        <v>SRC_DC_003</v>
      </c>
      <c r="B825" s="65" t="s">
        <v>10484</v>
      </c>
      <c r="C825" s="61" t="n">
        <v>36</v>
      </c>
      <c r="D825" s="61" t="s">
        <v>10485</v>
      </c>
      <c r="E825" s="61" t="s">
        <v>10485</v>
      </c>
      <c r="F825" s="62" t="s">
        <v>809</v>
      </c>
    </row>
    <row r="826" customFormat="false" ht="15" hidden="false" customHeight="false" outlineLevel="0" collapsed="false">
      <c r="A826" s="92" t="str">
        <f aca="false">Gov_Map!$H37&amp;""</f>
        <v>SRC_DC_003</v>
      </c>
      <c r="B826" s="65" t="s">
        <v>10484</v>
      </c>
      <c r="C826" s="61" t="n">
        <v>37</v>
      </c>
      <c r="D826" s="61" t="s">
        <v>10485</v>
      </c>
      <c r="E826" s="61" t="s">
        <v>10485</v>
      </c>
      <c r="F826" s="62" t="s">
        <v>809</v>
      </c>
    </row>
    <row r="827" customFormat="false" ht="15" hidden="false" customHeight="false" outlineLevel="0" collapsed="false">
      <c r="A827" s="92" t="str">
        <f aca="false">Gov_Map!$H38&amp;""</f>
        <v>SRC_DC_003</v>
      </c>
      <c r="B827" s="65" t="s">
        <v>10484</v>
      </c>
      <c r="C827" s="61" t="n">
        <v>38</v>
      </c>
      <c r="D827" s="61" t="s">
        <v>10485</v>
      </c>
      <c r="E827" s="61" t="s">
        <v>10485</v>
      </c>
      <c r="F827" s="62" t="s">
        <v>809</v>
      </c>
    </row>
    <row r="828" customFormat="false" ht="15" hidden="false" customHeight="false" outlineLevel="0" collapsed="false">
      <c r="A828" s="92" t="str">
        <f aca="false">Gov_Map!$H39&amp;""</f>
        <v>SRC_DC_003</v>
      </c>
      <c r="B828" s="65" t="s">
        <v>10484</v>
      </c>
      <c r="C828" s="61" t="n">
        <v>39</v>
      </c>
      <c r="D828" s="61" t="s">
        <v>10485</v>
      </c>
      <c r="E828" s="61" t="s">
        <v>10485</v>
      </c>
      <c r="F828" s="62" t="s">
        <v>809</v>
      </c>
    </row>
    <row r="829" customFormat="false" ht="15" hidden="false" customHeight="false" outlineLevel="0" collapsed="false">
      <c r="A829" s="92" t="str">
        <f aca="false">Gov_Map!$H40&amp;""</f>
        <v>SRC_DC_003</v>
      </c>
      <c r="B829" s="65" t="s">
        <v>10484</v>
      </c>
      <c r="C829" s="61" t="n">
        <v>40</v>
      </c>
      <c r="D829" s="61" t="s">
        <v>10485</v>
      </c>
      <c r="E829" s="61" t="s">
        <v>10485</v>
      </c>
      <c r="F829" s="62" t="s">
        <v>809</v>
      </c>
    </row>
    <row r="830" customFormat="false" ht="15" hidden="false" customHeight="false" outlineLevel="0" collapsed="false">
      <c r="A830" s="92" t="str">
        <f aca="false">Gov_Map!$H41&amp;""</f>
        <v>—</v>
      </c>
      <c r="B830" s="65" t="s">
        <v>10484</v>
      </c>
      <c r="C830" s="61" t="n">
        <v>41</v>
      </c>
      <c r="D830" s="61" t="s">
        <v>10485</v>
      </c>
      <c r="E830" s="61" t="s">
        <v>10485</v>
      </c>
      <c r="F830" s="62" t="s">
        <v>809</v>
      </c>
    </row>
    <row r="831" customFormat="false" ht="15" hidden="false" customHeight="false" outlineLevel="0" collapsed="false">
      <c r="A831" s="92" t="str">
        <f aca="false">Gov_Map!$H42&amp;""</f>
        <v>—</v>
      </c>
      <c r="B831" s="65" t="s">
        <v>10484</v>
      </c>
      <c r="C831" s="61" t="n">
        <v>42</v>
      </c>
      <c r="D831" s="61" t="s">
        <v>10485</v>
      </c>
      <c r="E831" s="61" t="s">
        <v>10485</v>
      </c>
      <c r="F831" s="62" t="s">
        <v>809</v>
      </c>
    </row>
    <row r="832" customFormat="false" ht="15" hidden="false" customHeight="false" outlineLevel="0" collapsed="false">
      <c r="A832" s="92" t="str">
        <f aca="false">Gov_Map!$H43&amp;""</f>
        <v>—</v>
      </c>
      <c r="B832" s="65" t="s">
        <v>10484</v>
      </c>
      <c r="C832" s="61" t="n">
        <v>43</v>
      </c>
      <c r="D832" s="61" t="s">
        <v>10485</v>
      </c>
      <c r="E832" s="61" t="s">
        <v>10485</v>
      </c>
      <c r="F832" s="62" t="s">
        <v>809</v>
      </c>
    </row>
    <row r="833" customFormat="false" ht="15" hidden="false" customHeight="false" outlineLevel="0" collapsed="false">
      <c r="A833" s="92" t="str">
        <f aca="false">Gov_Map!$H44&amp;""</f>
        <v>—</v>
      </c>
      <c r="B833" s="65" t="s">
        <v>10484</v>
      </c>
      <c r="C833" s="61" t="n">
        <v>44</v>
      </c>
      <c r="D833" s="61" t="s">
        <v>10485</v>
      </c>
      <c r="E833" s="61" t="s">
        <v>10485</v>
      </c>
      <c r="F833" s="62" t="s">
        <v>809</v>
      </c>
    </row>
    <row r="834" customFormat="false" ht="15" hidden="false" customHeight="false" outlineLevel="0" collapsed="false">
      <c r="A834" s="92" t="str">
        <f aca="false">Gov_Map!$H45&amp;""</f>
        <v>—</v>
      </c>
      <c r="B834" s="65" t="s">
        <v>10484</v>
      </c>
      <c r="C834" s="61" t="n">
        <v>45</v>
      </c>
      <c r="D834" s="61" t="s">
        <v>10485</v>
      </c>
      <c r="E834" s="61" t="s">
        <v>10485</v>
      </c>
      <c r="F834" s="62" t="s">
        <v>809</v>
      </c>
    </row>
    <row r="835" customFormat="false" ht="15" hidden="false" customHeight="false" outlineLevel="0" collapsed="false">
      <c r="A835" s="92" t="str">
        <f aca="false">Gov_Map!$H46&amp;""</f>
        <v>—</v>
      </c>
      <c r="B835" s="65" t="s">
        <v>10484</v>
      </c>
      <c r="C835" s="61" t="n">
        <v>46</v>
      </c>
      <c r="D835" s="61" t="s">
        <v>10485</v>
      </c>
      <c r="E835" s="61" t="s">
        <v>10485</v>
      </c>
      <c r="F835" s="62" t="s">
        <v>809</v>
      </c>
    </row>
    <row r="836" customFormat="false" ht="15" hidden="false" customHeight="false" outlineLevel="0" collapsed="false">
      <c r="A836" s="92" t="str">
        <f aca="false">Gov_Map!$H47&amp;""</f>
        <v>—</v>
      </c>
      <c r="B836" s="65" t="s">
        <v>10484</v>
      </c>
      <c r="C836" s="61" t="n">
        <v>47</v>
      </c>
      <c r="D836" s="61" t="s">
        <v>10485</v>
      </c>
      <c r="E836" s="61" t="s">
        <v>10485</v>
      </c>
      <c r="F836" s="62" t="s">
        <v>809</v>
      </c>
    </row>
    <row r="837" customFormat="false" ht="15" hidden="false" customHeight="false" outlineLevel="0" collapsed="false">
      <c r="A837" s="92" t="str">
        <f aca="false">Gov_Map!$H48&amp;""</f>
        <v>—</v>
      </c>
      <c r="B837" s="65" t="s">
        <v>10484</v>
      </c>
      <c r="C837" s="61" t="n">
        <v>48</v>
      </c>
      <c r="D837" s="61" t="s">
        <v>10485</v>
      </c>
      <c r="E837" s="61" t="s">
        <v>10485</v>
      </c>
      <c r="F837" s="62" t="s">
        <v>809</v>
      </c>
    </row>
    <row r="838" customFormat="false" ht="15" hidden="false" customHeight="false" outlineLevel="0" collapsed="false">
      <c r="A838" s="92" t="str">
        <f aca="false">Gov_Map!$H49&amp;""</f>
        <v>—</v>
      </c>
      <c r="B838" s="65" t="s">
        <v>10484</v>
      </c>
      <c r="C838" s="61" t="n">
        <v>49</v>
      </c>
      <c r="D838" s="61" t="s">
        <v>10485</v>
      </c>
      <c r="E838" s="61" t="s">
        <v>10485</v>
      </c>
      <c r="F838" s="62" t="s">
        <v>809</v>
      </c>
    </row>
    <row r="839" customFormat="false" ht="15" hidden="false" customHeight="false" outlineLevel="0" collapsed="false">
      <c r="A839" s="92" t="str">
        <f aca="false">Gov_Map!$H50&amp;""</f>
        <v>—</v>
      </c>
      <c r="B839" s="65" t="s">
        <v>10484</v>
      </c>
      <c r="C839" s="61" t="n">
        <v>50</v>
      </c>
      <c r="D839" s="61" t="s">
        <v>10485</v>
      </c>
      <c r="E839" s="61" t="s">
        <v>10485</v>
      </c>
      <c r="F839" s="62" t="s">
        <v>809</v>
      </c>
    </row>
    <row r="840" customFormat="false" ht="15" hidden="false" customHeight="false" outlineLevel="0" collapsed="false">
      <c r="A840" s="92" t="str">
        <f aca="false">Gov_Map!$H51&amp;""</f>
        <v>—</v>
      </c>
      <c r="B840" s="65" t="s">
        <v>10484</v>
      </c>
      <c r="C840" s="61" t="n">
        <v>51</v>
      </c>
      <c r="D840" s="61" t="s">
        <v>10485</v>
      </c>
      <c r="E840" s="61" t="s">
        <v>10485</v>
      </c>
      <c r="F840" s="62" t="s">
        <v>809</v>
      </c>
    </row>
    <row r="841" customFormat="false" ht="15" hidden="false" customHeight="false" outlineLevel="0" collapsed="false">
      <c r="A841" s="92" t="str">
        <f aca="false">Gov_Map!$H52&amp;""</f>
        <v>—</v>
      </c>
      <c r="B841" s="65" t="s">
        <v>10484</v>
      </c>
      <c r="C841" s="61" t="n">
        <v>52</v>
      </c>
      <c r="D841" s="61" t="s">
        <v>10485</v>
      </c>
      <c r="E841" s="61" t="s">
        <v>10485</v>
      </c>
      <c r="F841" s="62" t="s">
        <v>809</v>
      </c>
    </row>
    <row r="842" customFormat="false" ht="15" hidden="false" customHeight="false" outlineLevel="0" collapsed="false">
      <c r="A842" s="92" t="str">
        <f aca="false">Gov_Map!$H53&amp;""</f>
        <v>—</v>
      </c>
      <c r="B842" s="65" t="s">
        <v>10484</v>
      </c>
      <c r="C842" s="61" t="n">
        <v>53</v>
      </c>
      <c r="D842" s="61" t="s">
        <v>10485</v>
      </c>
      <c r="E842" s="61" t="s">
        <v>10485</v>
      </c>
      <c r="F842" s="62" t="s">
        <v>809</v>
      </c>
    </row>
    <row r="843" customFormat="false" ht="15" hidden="false" customHeight="false" outlineLevel="0" collapsed="false">
      <c r="A843" s="92" t="str">
        <f aca="false">Gov_Map!$H54&amp;""</f>
        <v>—</v>
      </c>
      <c r="B843" s="65" t="s">
        <v>10484</v>
      </c>
      <c r="C843" s="61" t="n">
        <v>54</v>
      </c>
      <c r="D843" s="61" t="s">
        <v>10485</v>
      </c>
      <c r="E843" s="61" t="s">
        <v>10485</v>
      </c>
      <c r="F843" s="62" t="s">
        <v>809</v>
      </c>
    </row>
    <row r="844" customFormat="false" ht="15" hidden="false" customHeight="false" outlineLevel="0" collapsed="false">
      <c r="A844" s="92" t="str">
        <f aca="false">Gov_Map!$H55&amp;""</f>
        <v>—</v>
      </c>
      <c r="B844" s="65" t="s">
        <v>10484</v>
      </c>
      <c r="C844" s="61" t="n">
        <v>55</v>
      </c>
      <c r="D844" s="61" t="s">
        <v>10485</v>
      </c>
      <c r="E844" s="61" t="s">
        <v>10485</v>
      </c>
      <c r="F844" s="62" t="s">
        <v>809</v>
      </c>
    </row>
    <row r="845" customFormat="false" ht="15" hidden="false" customHeight="false" outlineLevel="0" collapsed="false">
      <c r="A845" s="92" t="str">
        <f aca="false">Gov_Map!$H56&amp;""</f>
        <v>—</v>
      </c>
      <c r="B845" s="65" t="s">
        <v>10484</v>
      </c>
      <c r="C845" s="61" t="n">
        <v>56</v>
      </c>
      <c r="D845" s="61" t="s">
        <v>10485</v>
      </c>
      <c r="E845" s="61" t="s">
        <v>10485</v>
      </c>
      <c r="F845" s="62" t="s">
        <v>809</v>
      </c>
    </row>
    <row r="846" customFormat="false" ht="15" hidden="false" customHeight="false" outlineLevel="0" collapsed="false">
      <c r="A846" s="92" t="str">
        <f aca="false">Gov_Map!$H57&amp;""</f>
        <v>—</v>
      </c>
      <c r="B846" s="65" t="s">
        <v>10484</v>
      </c>
      <c r="C846" s="61" t="n">
        <v>57</v>
      </c>
      <c r="D846" s="61" t="s">
        <v>10485</v>
      </c>
      <c r="E846" s="61" t="s">
        <v>10485</v>
      </c>
      <c r="F846" s="62" t="s">
        <v>809</v>
      </c>
    </row>
    <row r="847" customFormat="false" ht="15" hidden="false" customHeight="false" outlineLevel="0" collapsed="false">
      <c r="A847" s="92" t="str">
        <f aca="false">Gov_Map!$H58&amp;""</f>
        <v>—</v>
      </c>
      <c r="B847" s="65" t="s">
        <v>10484</v>
      </c>
      <c r="C847" s="61" t="n">
        <v>58</v>
      </c>
      <c r="D847" s="61" t="s">
        <v>10485</v>
      </c>
      <c r="E847" s="61" t="s">
        <v>10485</v>
      </c>
      <c r="F847" s="62" t="s">
        <v>809</v>
      </c>
    </row>
    <row r="848" customFormat="false" ht="15" hidden="false" customHeight="false" outlineLevel="0" collapsed="false">
      <c r="A848" s="92" t="str">
        <f aca="false">Gov_Map!$H59&amp;""</f>
        <v>—</v>
      </c>
      <c r="B848" s="65" t="s">
        <v>10484</v>
      </c>
      <c r="C848" s="61" t="n">
        <v>59</v>
      </c>
      <c r="D848" s="61" t="s">
        <v>10485</v>
      </c>
      <c r="E848" s="61" t="s">
        <v>10485</v>
      </c>
      <c r="F848" s="62" t="s">
        <v>809</v>
      </c>
    </row>
    <row r="849" customFormat="false" ht="15" hidden="false" customHeight="false" outlineLevel="0" collapsed="false">
      <c r="A849" s="92" t="str">
        <f aca="false">Gov_Map!$H60&amp;""</f>
        <v>—</v>
      </c>
      <c r="B849" s="65" t="s">
        <v>10484</v>
      </c>
      <c r="C849" s="61" t="n">
        <v>60</v>
      </c>
      <c r="D849" s="61" t="s">
        <v>10485</v>
      </c>
      <c r="E849" s="61" t="s">
        <v>10485</v>
      </c>
      <c r="F849" s="62" t="s">
        <v>809</v>
      </c>
    </row>
    <row r="850" customFormat="false" ht="15" hidden="false" customHeight="false" outlineLevel="0" collapsed="false">
      <c r="A850" s="92" t="str">
        <f aca="false">Gov_Map!$H61&amp;""</f>
        <v>—</v>
      </c>
      <c r="B850" s="65" t="s">
        <v>10484</v>
      </c>
      <c r="C850" s="61" t="n">
        <v>61</v>
      </c>
      <c r="D850" s="61" t="s">
        <v>10485</v>
      </c>
      <c r="E850" s="61" t="s">
        <v>10485</v>
      </c>
      <c r="F850" s="62" t="s">
        <v>809</v>
      </c>
    </row>
    <row r="851" customFormat="false" ht="15" hidden="false" customHeight="false" outlineLevel="0" collapsed="false">
      <c r="A851" s="92" t="str">
        <f aca="false">Gov_Map!$H62&amp;""</f>
        <v>SRC_DC_007</v>
      </c>
      <c r="B851" s="65" t="s">
        <v>10484</v>
      </c>
      <c r="C851" s="61" t="n">
        <v>62</v>
      </c>
      <c r="D851" s="61" t="s">
        <v>10485</v>
      </c>
      <c r="E851" s="61" t="s">
        <v>10485</v>
      </c>
      <c r="F851" s="62" t="s">
        <v>809</v>
      </c>
    </row>
    <row r="852" customFormat="false" ht="15" hidden="false" customHeight="false" outlineLevel="0" collapsed="false">
      <c r="A852" s="92" t="str">
        <f aca="false">Gov_Map!$H63&amp;""</f>
        <v>SRC_DC_007</v>
      </c>
      <c r="B852" s="65" t="s">
        <v>10484</v>
      </c>
      <c r="C852" s="61" t="n">
        <v>63</v>
      </c>
      <c r="D852" s="61" t="s">
        <v>10485</v>
      </c>
      <c r="E852" s="61" t="s">
        <v>10485</v>
      </c>
      <c r="F852" s="62" t="s">
        <v>809</v>
      </c>
    </row>
    <row r="853" customFormat="false" ht="15" hidden="false" customHeight="false" outlineLevel="0" collapsed="false">
      <c r="A853" s="92" t="str">
        <f aca="false">Gov_Map!$H64&amp;""</f>
        <v>SRC_DC_008</v>
      </c>
      <c r="B853" s="65" t="s">
        <v>10484</v>
      </c>
      <c r="C853" s="61" t="n">
        <v>64</v>
      </c>
      <c r="D853" s="61" t="s">
        <v>10485</v>
      </c>
      <c r="E853" s="61" t="s">
        <v>10485</v>
      </c>
      <c r="F853" s="62" t="s">
        <v>809</v>
      </c>
    </row>
    <row r="854" customFormat="false" ht="15" hidden="false" customHeight="false" outlineLevel="0" collapsed="false">
      <c r="A854" s="92" t="str">
        <f aca="false">Gov_Map!$H65&amp;""</f>
        <v>—</v>
      </c>
      <c r="B854" s="65" t="s">
        <v>10484</v>
      </c>
      <c r="C854" s="61" t="n">
        <v>65</v>
      </c>
      <c r="D854" s="61" t="s">
        <v>10485</v>
      </c>
      <c r="E854" s="61" t="s">
        <v>10485</v>
      </c>
      <c r="F854" s="62" t="s">
        <v>809</v>
      </c>
    </row>
    <row r="855" customFormat="false" ht="15" hidden="false" customHeight="false" outlineLevel="0" collapsed="false">
      <c r="A855" s="92" t="str">
        <f aca="false">Gov_Map!$H66&amp;""</f>
        <v>—</v>
      </c>
      <c r="B855" s="65" t="s">
        <v>10484</v>
      </c>
      <c r="C855" s="61" t="n">
        <v>66</v>
      </c>
      <c r="D855" s="61" t="s">
        <v>10485</v>
      </c>
      <c r="E855" s="61" t="s">
        <v>10485</v>
      </c>
      <c r="F855" s="62" t="s">
        <v>809</v>
      </c>
    </row>
    <row r="856" customFormat="false" ht="15" hidden="false" customHeight="false" outlineLevel="0" collapsed="false">
      <c r="A856" s="92" t="str">
        <f aca="false">Gov_Map!$H67&amp;""</f>
        <v>—</v>
      </c>
      <c r="B856" s="65" t="s">
        <v>10484</v>
      </c>
      <c r="C856" s="61" t="n">
        <v>67</v>
      </c>
      <c r="D856" s="61" t="s">
        <v>10485</v>
      </c>
      <c r="E856" s="61" t="s">
        <v>10485</v>
      </c>
      <c r="F856" s="62" t="s">
        <v>809</v>
      </c>
    </row>
    <row r="857" customFormat="false" ht="15" hidden="false" customHeight="false" outlineLevel="0" collapsed="false">
      <c r="A857" s="92" t="str">
        <f aca="false">Gov_Map!$H68&amp;""</f>
        <v>—</v>
      </c>
      <c r="B857" s="65" t="s">
        <v>10484</v>
      </c>
      <c r="C857" s="61" t="n">
        <v>68</v>
      </c>
      <c r="D857" s="61" t="s">
        <v>10485</v>
      </c>
      <c r="E857" s="61" t="s">
        <v>10485</v>
      </c>
      <c r="F857" s="62" t="s">
        <v>809</v>
      </c>
    </row>
    <row r="858" customFormat="false" ht="15" hidden="false" customHeight="false" outlineLevel="0" collapsed="false">
      <c r="A858" s="92" t="str">
        <f aca="false">Gov_Map!$H69&amp;""</f>
        <v>—</v>
      </c>
      <c r="B858" s="65" t="s">
        <v>10484</v>
      </c>
      <c r="C858" s="61" t="n">
        <v>69</v>
      </c>
      <c r="D858" s="61" t="s">
        <v>10485</v>
      </c>
      <c r="E858" s="61" t="s">
        <v>10485</v>
      </c>
      <c r="F858" s="62" t="s">
        <v>809</v>
      </c>
    </row>
    <row r="859" customFormat="false" ht="15" hidden="false" customHeight="false" outlineLevel="0" collapsed="false">
      <c r="A859" s="92" t="str">
        <f aca="false">Gov_Map!$H70&amp;""</f>
        <v>SRC_HW_047</v>
      </c>
      <c r="B859" s="65" t="s">
        <v>10484</v>
      </c>
      <c r="C859" s="61" t="n">
        <v>70</v>
      </c>
      <c r="D859" s="61" t="s">
        <v>10485</v>
      </c>
      <c r="E859" s="61" t="s">
        <v>10485</v>
      </c>
      <c r="F859" s="62" t="s">
        <v>809</v>
      </c>
    </row>
    <row r="860" customFormat="false" ht="15" hidden="false" customHeight="false" outlineLevel="0" collapsed="false">
      <c r="A860" s="92" t="str">
        <f aca="false">Gov_Map!$H71&amp;""</f>
        <v>SRC_HW_047</v>
      </c>
      <c r="B860" s="65" t="s">
        <v>10484</v>
      </c>
      <c r="C860" s="61" t="n">
        <v>71</v>
      </c>
      <c r="D860" s="61" t="s">
        <v>10485</v>
      </c>
      <c r="E860" s="61" t="s">
        <v>10485</v>
      </c>
      <c r="F860" s="62" t="s">
        <v>809</v>
      </c>
    </row>
    <row r="861" customFormat="false" ht="15" hidden="false" customHeight="false" outlineLevel="0" collapsed="false">
      <c r="A861" s="92" t="str">
        <f aca="false">Gov_Map!$H72&amp;""</f>
        <v>SRC_HW_047</v>
      </c>
      <c r="B861" s="65" t="s">
        <v>10484</v>
      </c>
      <c r="C861" s="61" t="n">
        <v>72</v>
      </c>
      <c r="D861" s="61" t="s">
        <v>10485</v>
      </c>
      <c r="E861" s="61" t="s">
        <v>10485</v>
      </c>
      <c r="F861" s="62" t="s">
        <v>809</v>
      </c>
    </row>
    <row r="862" customFormat="false" ht="15" hidden="false" customHeight="false" outlineLevel="0" collapsed="false">
      <c r="A862" s="92" t="str">
        <f aca="false">Gov_Map!$H73&amp;""</f>
        <v>SRC_HW_061</v>
      </c>
      <c r="B862" s="65" t="s">
        <v>10484</v>
      </c>
      <c r="C862" s="61" t="n">
        <v>73</v>
      </c>
      <c r="D862" s="61" t="s">
        <v>10485</v>
      </c>
      <c r="E862" s="61" t="s">
        <v>10485</v>
      </c>
      <c r="F862" s="62" t="s">
        <v>809</v>
      </c>
    </row>
    <row r="863" customFormat="false" ht="15" hidden="false" customHeight="false" outlineLevel="0" collapsed="false">
      <c r="A863" s="92" t="str">
        <f aca="false">Gov_Map!$H74&amp;""</f>
        <v>—</v>
      </c>
      <c r="B863" s="65" t="s">
        <v>10484</v>
      </c>
      <c r="C863" s="61" t="n">
        <v>74</v>
      </c>
      <c r="D863" s="61" t="s">
        <v>10485</v>
      </c>
      <c r="E863" s="61" t="s">
        <v>10485</v>
      </c>
      <c r="F863" s="62" t="s">
        <v>809</v>
      </c>
    </row>
    <row r="864" customFormat="false" ht="15" hidden="false" customHeight="false" outlineLevel="0" collapsed="false">
      <c r="A864" s="92" t="str">
        <f aca="false">Gov_Map!$H75&amp;""</f>
        <v>SRC_HW_004</v>
      </c>
      <c r="B864" s="65" t="s">
        <v>10484</v>
      </c>
      <c r="C864" s="61" t="n">
        <v>75</v>
      </c>
      <c r="D864" s="61" t="s">
        <v>10485</v>
      </c>
      <c r="E864" s="61" t="s">
        <v>10485</v>
      </c>
      <c r="F864" s="62" t="s">
        <v>809</v>
      </c>
    </row>
    <row r="865" customFormat="false" ht="15" hidden="false" customHeight="false" outlineLevel="0" collapsed="false">
      <c r="A865" s="92" t="str">
        <f aca="false">Gov_Map!$H76&amp;""</f>
        <v>SRC_HW_005</v>
      </c>
      <c r="B865" s="65" t="s">
        <v>10484</v>
      </c>
      <c r="C865" s="61" t="n">
        <v>76</v>
      </c>
      <c r="D865" s="61" t="s">
        <v>10485</v>
      </c>
      <c r="E865" s="61" t="s">
        <v>10485</v>
      </c>
      <c r="F865" s="62" t="s">
        <v>809</v>
      </c>
    </row>
    <row r="866" customFormat="false" ht="15" hidden="false" customHeight="false" outlineLevel="0" collapsed="false">
      <c r="A866" s="92" t="str">
        <f aca="false">Gov_Map!$H77&amp;""</f>
        <v>SRC_HW_011</v>
      </c>
      <c r="B866" s="65" t="s">
        <v>10484</v>
      </c>
      <c r="C866" s="61" t="n">
        <v>77</v>
      </c>
      <c r="D866" s="61" t="s">
        <v>10485</v>
      </c>
      <c r="E866" s="61" t="s">
        <v>10485</v>
      </c>
      <c r="F866" s="62" t="s">
        <v>809</v>
      </c>
    </row>
    <row r="867" customFormat="false" ht="15" hidden="false" customHeight="false" outlineLevel="0" collapsed="false">
      <c r="A867" s="92" t="str">
        <f aca="false">Gov_Map!$H78&amp;""</f>
        <v>—</v>
      </c>
      <c r="B867" s="65" t="s">
        <v>10484</v>
      </c>
      <c r="C867" s="61" t="n">
        <v>78</v>
      </c>
      <c r="D867" s="61" t="s">
        <v>10485</v>
      </c>
      <c r="E867" s="61" t="s">
        <v>10485</v>
      </c>
      <c r="F867" s="62" t="s">
        <v>809</v>
      </c>
    </row>
    <row r="868" customFormat="false" ht="15" hidden="false" customHeight="false" outlineLevel="0" collapsed="false">
      <c r="A868" s="92" t="str">
        <f aca="false">Gov_Map!$H79&amp;""</f>
        <v>SRC_HW_001</v>
      </c>
      <c r="B868" s="65" t="s">
        <v>10484</v>
      </c>
      <c r="C868" s="61" t="n">
        <v>79</v>
      </c>
      <c r="D868" s="61" t="s">
        <v>10485</v>
      </c>
      <c r="E868" s="61" t="s">
        <v>10485</v>
      </c>
      <c r="F868" s="62" t="s">
        <v>809</v>
      </c>
    </row>
    <row r="869" customFormat="false" ht="15" hidden="false" customHeight="false" outlineLevel="0" collapsed="false">
      <c r="A869" s="92" t="str">
        <f aca="false">Gov_Map!$H80&amp;""</f>
        <v>SRC_HW_004</v>
      </c>
      <c r="B869" s="65" t="s">
        <v>10484</v>
      </c>
      <c r="C869" s="61" t="n">
        <v>80</v>
      </c>
      <c r="D869" s="61" t="s">
        <v>10485</v>
      </c>
      <c r="E869" s="61" t="s">
        <v>10485</v>
      </c>
      <c r="F869" s="62" t="s">
        <v>809</v>
      </c>
    </row>
    <row r="870" customFormat="false" ht="15" hidden="false" customHeight="false" outlineLevel="0" collapsed="false">
      <c r="A870" s="92" t="str">
        <f aca="false">Gov_Map!$H81&amp;""</f>
        <v>SRC_HW_005</v>
      </c>
      <c r="B870" s="65" t="s">
        <v>10484</v>
      </c>
      <c r="C870" s="61" t="n">
        <v>81</v>
      </c>
      <c r="D870" s="61" t="s">
        <v>10485</v>
      </c>
      <c r="E870" s="61" t="s">
        <v>10485</v>
      </c>
      <c r="F870" s="62" t="s">
        <v>809</v>
      </c>
    </row>
    <row r="871" customFormat="false" ht="15" hidden="false" customHeight="false" outlineLevel="0" collapsed="false">
      <c r="A871" s="92" t="str">
        <f aca="false">Gov_Map!$H82&amp;""</f>
        <v>SRC_HW_014</v>
      </c>
      <c r="B871" s="65" t="s">
        <v>10484</v>
      </c>
      <c r="C871" s="61" t="n">
        <v>82</v>
      </c>
      <c r="D871" s="61" t="s">
        <v>10485</v>
      </c>
      <c r="E871" s="61" t="s">
        <v>10485</v>
      </c>
      <c r="F871" s="62" t="s">
        <v>809</v>
      </c>
    </row>
    <row r="872" customFormat="false" ht="15" hidden="false" customHeight="false" outlineLevel="0" collapsed="false">
      <c r="A872" s="92" t="str">
        <f aca="false">Gov_Map!$H83&amp;""</f>
        <v>—</v>
      </c>
      <c r="B872" s="65" t="s">
        <v>10484</v>
      </c>
      <c r="C872" s="61" t="n">
        <v>83</v>
      </c>
      <c r="D872" s="61" t="s">
        <v>10485</v>
      </c>
      <c r="E872" s="61" t="s">
        <v>10485</v>
      </c>
      <c r="F872" s="62" t="s">
        <v>809</v>
      </c>
    </row>
    <row r="873" customFormat="false" ht="15" hidden="false" customHeight="false" outlineLevel="0" collapsed="false">
      <c r="A873" s="92" t="str">
        <f aca="false">Gov_Map!$H84&amp;""</f>
        <v>—</v>
      </c>
      <c r="B873" s="65" t="s">
        <v>10484</v>
      </c>
      <c r="C873" s="61" t="n">
        <v>84</v>
      </c>
      <c r="D873" s="61" t="s">
        <v>10485</v>
      </c>
      <c r="E873" s="61" t="s">
        <v>10485</v>
      </c>
      <c r="F873" s="62" t="s">
        <v>809</v>
      </c>
    </row>
    <row r="874" customFormat="false" ht="15" hidden="false" customHeight="false" outlineLevel="0" collapsed="false">
      <c r="A874" s="92" t="str">
        <f aca="false">Gov_Map!$H85&amp;""</f>
        <v>—</v>
      </c>
      <c r="B874" s="65" t="s">
        <v>10484</v>
      </c>
      <c r="C874" s="61" t="n">
        <v>85</v>
      </c>
      <c r="D874" s="61" t="s">
        <v>10485</v>
      </c>
      <c r="E874" s="61" t="s">
        <v>10485</v>
      </c>
      <c r="F874" s="62" t="s">
        <v>809</v>
      </c>
    </row>
    <row r="875" customFormat="false" ht="15" hidden="false" customHeight="false" outlineLevel="0" collapsed="false">
      <c r="A875" s="92" t="str">
        <f aca="false">Gov_Map!$H86&amp;""</f>
        <v>SRC_HW_005</v>
      </c>
      <c r="B875" s="65" t="s">
        <v>10484</v>
      </c>
      <c r="C875" s="61" t="n">
        <v>86</v>
      </c>
      <c r="D875" s="61" t="s">
        <v>10485</v>
      </c>
      <c r="E875" s="61" t="s">
        <v>10485</v>
      </c>
      <c r="F875" s="62" t="s">
        <v>809</v>
      </c>
    </row>
    <row r="876" customFormat="false" ht="15" hidden="false" customHeight="false" outlineLevel="0" collapsed="false">
      <c r="A876" s="92" t="str">
        <f aca="false">Gov_Map!$H87&amp;""</f>
        <v>SRC_HW_012</v>
      </c>
      <c r="B876" s="65" t="s">
        <v>10484</v>
      </c>
      <c r="C876" s="61" t="n">
        <v>87</v>
      </c>
      <c r="D876" s="61" t="s">
        <v>10485</v>
      </c>
      <c r="E876" s="61" t="s">
        <v>10485</v>
      </c>
      <c r="F876" s="62" t="s">
        <v>809</v>
      </c>
    </row>
    <row r="877" customFormat="false" ht="15" hidden="false" customHeight="false" outlineLevel="0" collapsed="false">
      <c r="A877" s="92" t="str">
        <f aca="false">Gov_Map!$H88&amp;""</f>
        <v>—</v>
      </c>
      <c r="B877" s="65" t="s">
        <v>10484</v>
      </c>
      <c r="C877" s="61" t="n">
        <v>88</v>
      </c>
      <c r="D877" s="61" t="s">
        <v>10485</v>
      </c>
      <c r="E877" s="61" t="s">
        <v>10485</v>
      </c>
      <c r="F877" s="62" t="s">
        <v>809</v>
      </c>
    </row>
    <row r="878" customFormat="false" ht="15" hidden="false" customHeight="false" outlineLevel="0" collapsed="false">
      <c r="A878" s="92" t="str">
        <f aca="false">Gov_Map!$H89&amp;""</f>
        <v>SRC_HW_003</v>
      </c>
      <c r="B878" s="65" t="s">
        <v>10484</v>
      </c>
      <c r="C878" s="61" t="n">
        <v>89</v>
      </c>
      <c r="D878" s="61" t="s">
        <v>10485</v>
      </c>
      <c r="E878" s="61" t="s">
        <v>10485</v>
      </c>
      <c r="F878" s="62" t="s">
        <v>809</v>
      </c>
    </row>
    <row r="879" customFormat="false" ht="15" hidden="false" customHeight="false" outlineLevel="0" collapsed="false">
      <c r="A879" s="92" t="str">
        <f aca="false">Gov_Map!$H90&amp;""</f>
        <v>SRC_HW_006</v>
      </c>
      <c r="B879" s="65" t="s">
        <v>10484</v>
      </c>
      <c r="C879" s="61" t="n">
        <v>90</v>
      </c>
      <c r="D879" s="61" t="s">
        <v>10485</v>
      </c>
      <c r="E879" s="61" t="s">
        <v>10485</v>
      </c>
      <c r="F879" s="62" t="s">
        <v>809</v>
      </c>
    </row>
    <row r="880" customFormat="false" ht="15" hidden="false" customHeight="false" outlineLevel="0" collapsed="false">
      <c r="A880" s="92" t="str">
        <f aca="false">Gov_Map!$H91&amp;""</f>
        <v>SRC_HW_052</v>
      </c>
      <c r="B880" s="65" t="s">
        <v>10484</v>
      </c>
      <c r="C880" s="61" t="n">
        <v>91</v>
      </c>
      <c r="D880" s="61" t="s">
        <v>10485</v>
      </c>
      <c r="E880" s="61" t="s">
        <v>10485</v>
      </c>
      <c r="F880" s="62" t="s">
        <v>809</v>
      </c>
    </row>
    <row r="881" customFormat="false" ht="15" hidden="false" customHeight="false" outlineLevel="0" collapsed="false">
      <c r="A881" s="92" t="str">
        <f aca="false">Gov_Map!$H92&amp;""</f>
        <v>SRC_HW_015</v>
      </c>
      <c r="B881" s="65" t="s">
        <v>10484</v>
      </c>
      <c r="C881" s="61" t="n">
        <v>92</v>
      </c>
      <c r="D881" s="61" t="s">
        <v>10485</v>
      </c>
      <c r="E881" s="61" t="s">
        <v>10485</v>
      </c>
      <c r="F881" s="62" t="s">
        <v>809</v>
      </c>
    </row>
    <row r="882" customFormat="false" ht="15" hidden="false" customHeight="false" outlineLevel="0" collapsed="false">
      <c r="A882" s="92" t="str">
        <f aca="false">Gov_Map!$H93&amp;""</f>
        <v>—</v>
      </c>
      <c r="B882" s="65" t="s">
        <v>10484</v>
      </c>
      <c r="C882" s="61" t="n">
        <v>93</v>
      </c>
      <c r="D882" s="61" t="s">
        <v>10485</v>
      </c>
      <c r="E882" s="61" t="s">
        <v>10485</v>
      </c>
      <c r="F882" s="62" t="s">
        <v>809</v>
      </c>
    </row>
    <row r="883" customFormat="false" ht="15" hidden="false" customHeight="false" outlineLevel="0" collapsed="false">
      <c r="A883" s="92" t="str">
        <f aca="false">Gov_Map!$H94&amp;""</f>
        <v>SRC_HW_003</v>
      </c>
      <c r="B883" s="65" t="s">
        <v>10484</v>
      </c>
      <c r="C883" s="61" t="n">
        <v>94</v>
      </c>
      <c r="D883" s="61" t="s">
        <v>10485</v>
      </c>
      <c r="E883" s="61" t="s">
        <v>10485</v>
      </c>
      <c r="F883" s="62" t="s">
        <v>809</v>
      </c>
    </row>
    <row r="884" customFormat="false" ht="15" hidden="false" customHeight="false" outlineLevel="0" collapsed="false">
      <c r="A884" s="92" t="str">
        <f aca="false">Gov_Map!$H95&amp;""</f>
        <v>SRC_HW_006</v>
      </c>
      <c r="B884" s="65" t="s">
        <v>10484</v>
      </c>
      <c r="C884" s="61" t="n">
        <v>95</v>
      </c>
      <c r="D884" s="61" t="s">
        <v>10485</v>
      </c>
      <c r="E884" s="61" t="s">
        <v>10485</v>
      </c>
      <c r="F884" s="62" t="s">
        <v>809</v>
      </c>
    </row>
    <row r="885" customFormat="false" ht="15" hidden="false" customHeight="false" outlineLevel="0" collapsed="false">
      <c r="A885" s="92" t="str">
        <f aca="false">Gov_Map!$H96&amp;""</f>
        <v>SRC_HW_052</v>
      </c>
      <c r="B885" s="65" t="s">
        <v>10484</v>
      </c>
      <c r="C885" s="61" t="n">
        <v>96</v>
      </c>
      <c r="D885" s="61" t="s">
        <v>10485</v>
      </c>
      <c r="E885" s="61" t="s">
        <v>10485</v>
      </c>
      <c r="F885" s="62" t="s">
        <v>809</v>
      </c>
    </row>
    <row r="886" customFormat="false" ht="15" hidden="false" customHeight="false" outlineLevel="0" collapsed="false">
      <c r="A886" s="92" t="str">
        <f aca="false">Gov_Map!$H97&amp;""</f>
        <v>SRC_HW_015</v>
      </c>
      <c r="B886" s="65" t="s">
        <v>10484</v>
      </c>
      <c r="C886" s="61" t="n">
        <v>97</v>
      </c>
      <c r="D886" s="61" t="s">
        <v>10485</v>
      </c>
      <c r="E886" s="61" t="s">
        <v>10485</v>
      </c>
      <c r="F886" s="62" t="s">
        <v>809</v>
      </c>
    </row>
    <row r="887" customFormat="false" ht="15" hidden="false" customHeight="false" outlineLevel="0" collapsed="false">
      <c r="A887" s="92" t="str">
        <f aca="false">Gov_Map!$H98&amp;""</f>
        <v>—</v>
      </c>
      <c r="B887" s="65" t="s">
        <v>10484</v>
      </c>
      <c r="C887" s="61" t="n">
        <v>98</v>
      </c>
      <c r="D887" s="61" t="s">
        <v>10485</v>
      </c>
      <c r="E887" s="61" t="s">
        <v>10485</v>
      </c>
      <c r="F887" s="62" t="s">
        <v>809</v>
      </c>
    </row>
    <row r="888" customFormat="false" ht="15" hidden="false" customHeight="false" outlineLevel="0" collapsed="false">
      <c r="A888" s="92" t="str">
        <f aca="false">Gov_Map!$H99&amp;""</f>
        <v>SRC_HW_003</v>
      </c>
      <c r="B888" s="65" t="s">
        <v>10484</v>
      </c>
      <c r="C888" s="61" t="n">
        <v>99</v>
      </c>
      <c r="D888" s="61" t="s">
        <v>10485</v>
      </c>
      <c r="E888" s="61" t="s">
        <v>10485</v>
      </c>
      <c r="F888" s="62" t="s">
        <v>809</v>
      </c>
    </row>
    <row r="889" customFormat="false" ht="15" hidden="false" customHeight="false" outlineLevel="0" collapsed="false">
      <c r="A889" s="92" t="str">
        <f aca="false">Gov_Map!$H100&amp;""</f>
        <v>SRC_HW_006</v>
      </c>
      <c r="B889" s="65" t="s">
        <v>10484</v>
      </c>
      <c r="C889" s="61" t="n">
        <v>100</v>
      </c>
      <c r="D889" s="61" t="s">
        <v>10485</v>
      </c>
      <c r="E889" s="61" t="s">
        <v>10485</v>
      </c>
      <c r="F889" s="62" t="s">
        <v>809</v>
      </c>
    </row>
    <row r="890" customFormat="false" ht="15" hidden="false" customHeight="false" outlineLevel="0" collapsed="false">
      <c r="A890" s="92" t="str">
        <f aca="false">Gov_Map!$H101&amp;""</f>
        <v>SRC_HW_010</v>
      </c>
      <c r="B890" s="65" t="s">
        <v>10484</v>
      </c>
      <c r="C890" s="61" t="n">
        <v>101</v>
      </c>
      <c r="D890" s="61" t="s">
        <v>10485</v>
      </c>
      <c r="E890" s="61" t="s">
        <v>10485</v>
      </c>
      <c r="F890" s="62" t="s">
        <v>809</v>
      </c>
    </row>
    <row r="891" customFormat="false" ht="15" hidden="false" customHeight="false" outlineLevel="0" collapsed="false">
      <c r="A891" s="92" t="str">
        <f aca="false">Gov_Map!$H102&amp;""</f>
        <v>SRC_HW_017</v>
      </c>
      <c r="B891" s="65" t="s">
        <v>10484</v>
      </c>
      <c r="C891" s="61" t="n">
        <v>102</v>
      </c>
      <c r="D891" s="61" t="s">
        <v>10485</v>
      </c>
      <c r="E891" s="61" t="s">
        <v>10485</v>
      </c>
      <c r="F891" s="62" t="s">
        <v>809</v>
      </c>
    </row>
    <row r="892" customFormat="false" ht="15" hidden="false" customHeight="false" outlineLevel="0" collapsed="false">
      <c r="A892" s="92" t="str">
        <f aca="false">Gov_Map!$H103&amp;""</f>
        <v>—</v>
      </c>
      <c r="B892" s="65" t="s">
        <v>10484</v>
      </c>
      <c r="C892" s="61" t="n">
        <v>103</v>
      </c>
      <c r="D892" s="61" t="s">
        <v>10485</v>
      </c>
      <c r="E892" s="61" t="s">
        <v>10485</v>
      </c>
      <c r="F892" s="62" t="s">
        <v>809</v>
      </c>
    </row>
    <row r="893" customFormat="false" ht="15" hidden="false" customHeight="false" outlineLevel="0" collapsed="false">
      <c r="A893" s="92" t="str">
        <f aca="false">Gov_Map!$H104&amp;""</f>
        <v>SRC_HW_040</v>
      </c>
      <c r="B893" s="65" t="s">
        <v>10484</v>
      </c>
      <c r="C893" s="61" t="n">
        <v>104</v>
      </c>
      <c r="D893" s="61" t="s">
        <v>10485</v>
      </c>
      <c r="E893" s="61" t="s">
        <v>10485</v>
      </c>
      <c r="F893" s="62" t="s">
        <v>809</v>
      </c>
    </row>
    <row r="894" customFormat="false" ht="15" hidden="false" customHeight="false" outlineLevel="0" collapsed="false">
      <c r="A894" s="92" t="str">
        <f aca="false">Gov_Map!$H105&amp;""</f>
        <v>SRC_HW_022</v>
      </c>
      <c r="B894" s="65" t="s">
        <v>10484</v>
      </c>
      <c r="C894" s="61" t="n">
        <v>105</v>
      </c>
      <c r="D894" s="61" t="s">
        <v>10485</v>
      </c>
      <c r="E894" s="61" t="s">
        <v>10485</v>
      </c>
      <c r="F894" s="62" t="s">
        <v>809</v>
      </c>
    </row>
    <row r="895" customFormat="false" ht="15" hidden="false" customHeight="false" outlineLevel="0" collapsed="false">
      <c r="A895" s="92" t="str">
        <f aca="false">Gov_Map!$H106&amp;""</f>
        <v>SRC_HW_025</v>
      </c>
      <c r="B895" s="65" t="s">
        <v>10484</v>
      </c>
      <c r="C895" s="61" t="n">
        <v>106</v>
      </c>
      <c r="D895" s="61" t="s">
        <v>10485</v>
      </c>
      <c r="E895" s="61" t="s">
        <v>10485</v>
      </c>
      <c r="F895" s="62" t="s">
        <v>809</v>
      </c>
    </row>
    <row r="896" customFormat="false" ht="15" hidden="false" customHeight="false" outlineLevel="0" collapsed="false">
      <c r="A896" s="92" t="str">
        <f aca="false">Gov_Map!$H107&amp;""</f>
        <v>SRC_HW_028</v>
      </c>
      <c r="B896" s="65" t="s">
        <v>10484</v>
      </c>
      <c r="C896" s="61" t="n">
        <v>107</v>
      </c>
      <c r="D896" s="61" t="s">
        <v>10485</v>
      </c>
      <c r="E896" s="61" t="s">
        <v>10485</v>
      </c>
      <c r="F896" s="62" t="s">
        <v>809</v>
      </c>
    </row>
    <row r="897" customFormat="false" ht="15" hidden="false" customHeight="false" outlineLevel="0" collapsed="false">
      <c r="A897" s="92" t="str">
        <f aca="false">Gov_Map!$H108&amp;""</f>
        <v>SRC_HW_063</v>
      </c>
      <c r="B897" s="65" t="s">
        <v>10484</v>
      </c>
      <c r="C897" s="61" t="n">
        <v>108</v>
      </c>
      <c r="D897" s="61" t="s">
        <v>10485</v>
      </c>
      <c r="E897" s="61" t="s">
        <v>10485</v>
      </c>
      <c r="F897" s="62" t="s">
        <v>809</v>
      </c>
    </row>
    <row r="898" customFormat="false" ht="15" hidden="false" customHeight="false" outlineLevel="0" collapsed="false">
      <c r="A898" s="92" t="str">
        <f aca="false">Gov_Map!$H109&amp;""</f>
        <v>—</v>
      </c>
      <c r="B898" s="65" t="s">
        <v>10484</v>
      </c>
      <c r="C898" s="61" t="n">
        <v>109</v>
      </c>
      <c r="D898" s="61" t="s">
        <v>10485</v>
      </c>
      <c r="E898" s="61" t="s">
        <v>10485</v>
      </c>
      <c r="F898" s="62" t="s">
        <v>809</v>
      </c>
    </row>
    <row r="899" customFormat="false" ht="15" hidden="false" customHeight="false" outlineLevel="0" collapsed="false">
      <c r="A899" s="92" t="str">
        <f aca="false">Gov_Map!$H110&amp;""</f>
        <v>SRC_HW_022</v>
      </c>
      <c r="B899" s="65" t="s">
        <v>10484</v>
      </c>
      <c r="C899" s="61" t="n">
        <v>110</v>
      </c>
      <c r="D899" s="61" t="s">
        <v>10485</v>
      </c>
      <c r="E899" s="61" t="s">
        <v>10485</v>
      </c>
      <c r="F899" s="62" t="s">
        <v>809</v>
      </c>
    </row>
    <row r="900" customFormat="false" ht="15" hidden="false" customHeight="false" outlineLevel="0" collapsed="false">
      <c r="A900" s="92" t="str">
        <f aca="false">Gov_Map!$H111&amp;""</f>
        <v>SRC_HW_025</v>
      </c>
      <c r="B900" s="65" t="s">
        <v>10484</v>
      </c>
      <c r="C900" s="61" t="n">
        <v>111</v>
      </c>
      <c r="D900" s="61" t="s">
        <v>10485</v>
      </c>
      <c r="E900" s="61" t="s">
        <v>10485</v>
      </c>
      <c r="F900" s="62" t="s">
        <v>809</v>
      </c>
    </row>
    <row r="901" customFormat="false" ht="15" hidden="false" customHeight="false" outlineLevel="0" collapsed="false">
      <c r="A901" s="92" t="str">
        <f aca="false">Gov_Map!$H112&amp;""</f>
        <v>SRC_HW_027</v>
      </c>
      <c r="B901" s="65" t="s">
        <v>10484</v>
      </c>
      <c r="C901" s="61" t="n">
        <v>112</v>
      </c>
      <c r="D901" s="61" t="s">
        <v>10485</v>
      </c>
      <c r="E901" s="61" t="s">
        <v>10485</v>
      </c>
      <c r="F901" s="62" t="s">
        <v>809</v>
      </c>
    </row>
    <row r="902" customFormat="false" ht="15" hidden="false" customHeight="false" outlineLevel="0" collapsed="false">
      <c r="A902" s="92" t="str">
        <f aca="false">Gov_Map!$H113&amp;""</f>
        <v>SRC_HW_063</v>
      </c>
      <c r="B902" s="65" t="s">
        <v>10484</v>
      </c>
      <c r="C902" s="61" t="n">
        <v>113</v>
      </c>
      <c r="D902" s="61" t="s">
        <v>10485</v>
      </c>
      <c r="E902" s="61" t="s">
        <v>10485</v>
      </c>
      <c r="F902" s="62" t="s">
        <v>809</v>
      </c>
    </row>
    <row r="903" customFormat="false" ht="15" hidden="false" customHeight="false" outlineLevel="0" collapsed="false">
      <c r="A903" s="92" t="str">
        <f aca="false">Gov_Map!$H114&amp;""</f>
        <v>SRC_HW_020</v>
      </c>
      <c r="B903" s="65" t="s">
        <v>10484</v>
      </c>
      <c r="C903" s="61" t="n">
        <v>114</v>
      </c>
      <c r="D903" s="61" t="s">
        <v>10485</v>
      </c>
      <c r="E903" s="61" t="s">
        <v>10485</v>
      </c>
      <c r="F903" s="62" t="s">
        <v>809</v>
      </c>
    </row>
    <row r="904" customFormat="false" ht="15" hidden="false" customHeight="false" outlineLevel="0" collapsed="false">
      <c r="A904" s="92" t="str">
        <f aca="false">Gov_Map!$H115&amp;""</f>
        <v>SRC_HW_041</v>
      </c>
      <c r="B904" s="65" t="s">
        <v>10484</v>
      </c>
      <c r="C904" s="61" t="n">
        <v>115</v>
      </c>
      <c r="D904" s="61" t="s">
        <v>10485</v>
      </c>
      <c r="E904" s="61" t="s">
        <v>10485</v>
      </c>
      <c r="F904" s="62" t="s">
        <v>809</v>
      </c>
    </row>
    <row r="905" customFormat="false" ht="15" hidden="false" customHeight="false" outlineLevel="0" collapsed="false">
      <c r="A905" s="92" t="str">
        <f aca="false">Gov_Map!$H116&amp;""</f>
        <v>SRC_HW_026</v>
      </c>
      <c r="B905" s="65" t="s">
        <v>10484</v>
      </c>
      <c r="C905" s="61" t="n">
        <v>116</v>
      </c>
      <c r="D905" s="61" t="s">
        <v>10485</v>
      </c>
      <c r="E905" s="61" t="s">
        <v>10485</v>
      </c>
      <c r="F905" s="62" t="s">
        <v>809</v>
      </c>
    </row>
    <row r="906" customFormat="false" ht="15" hidden="false" customHeight="false" outlineLevel="0" collapsed="false">
      <c r="A906" s="92" t="str">
        <f aca="false">Gov_Map!$H117&amp;""</f>
        <v>SRC_HW_029</v>
      </c>
      <c r="B906" s="65" t="s">
        <v>10484</v>
      </c>
      <c r="C906" s="61" t="n">
        <v>117</v>
      </c>
      <c r="D906" s="61" t="s">
        <v>10485</v>
      </c>
      <c r="E906" s="61" t="s">
        <v>10485</v>
      </c>
      <c r="F906" s="62" t="s">
        <v>809</v>
      </c>
    </row>
    <row r="907" customFormat="false" ht="15" hidden="false" customHeight="false" outlineLevel="0" collapsed="false">
      <c r="A907" s="92" t="str">
        <f aca="false">Gov_Map!$H118&amp;""</f>
        <v>—</v>
      </c>
      <c r="B907" s="65" t="s">
        <v>10484</v>
      </c>
      <c r="C907" s="61" t="n">
        <v>118</v>
      </c>
      <c r="D907" s="61" t="s">
        <v>10485</v>
      </c>
      <c r="E907" s="61" t="s">
        <v>10485</v>
      </c>
      <c r="F907" s="62" t="s">
        <v>809</v>
      </c>
    </row>
    <row r="908" customFormat="false" ht="15" hidden="false" customHeight="false" outlineLevel="0" collapsed="false">
      <c r="A908" s="92" t="str">
        <f aca="false">Gov_Map!$H119&amp;""</f>
        <v>SRC_HW_021</v>
      </c>
      <c r="B908" s="65" t="s">
        <v>10484</v>
      </c>
      <c r="C908" s="61" t="n">
        <v>119</v>
      </c>
      <c r="D908" s="61" t="s">
        <v>10485</v>
      </c>
      <c r="E908" s="61" t="s">
        <v>10485</v>
      </c>
      <c r="F908" s="62" t="s">
        <v>809</v>
      </c>
    </row>
    <row r="909" customFormat="false" ht="15" hidden="false" customHeight="false" outlineLevel="0" collapsed="false">
      <c r="A909" s="92" t="str">
        <f aca="false">Gov_Map!$H120&amp;""</f>
        <v>SRC_HW_023</v>
      </c>
      <c r="B909" s="65" t="s">
        <v>10484</v>
      </c>
      <c r="C909" s="61" t="n">
        <v>120</v>
      </c>
      <c r="D909" s="61" t="s">
        <v>10485</v>
      </c>
      <c r="E909" s="61" t="s">
        <v>10485</v>
      </c>
      <c r="F909" s="62" t="s">
        <v>809</v>
      </c>
    </row>
    <row r="910" customFormat="false" ht="15" hidden="false" customHeight="false" outlineLevel="0" collapsed="false">
      <c r="A910" s="92" t="str">
        <f aca="false">Gov_Map!$H121&amp;""</f>
        <v>SRC_HW_059</v>
      </c>
      <c r="B910" s="65" t="s">
        <v>10484</v>
      </c>
      <c r="C910" s="61" t="n">
        <v>121</v>
      </c>
      <c r="D910" s="61" t="s">
        <v>10485</v>
      </c>
      <c r="E910" s="61" t="s">
        <v>10485</v>
      </c>
      <c r="F910" s="62" t="s">
        <v>809</v>
      </c>
    </row>
    <row r="911" customFormat="false" ht="15" hidden="false" customHeight="false" outlineLevel="0" collapsed="false">
      <c r="A911" s="92" t="str">
        <f aca="false">Gov_Map!$H122&amp;""</f>
        <v>SRC_HW_030</v>
      </c>
      <c r="B911" s="65" t="s">
        <v>10484</v>
      </c>
      <c r="C911" s="61" t="n">
        <v>122</v>
      </c>
      <c r="D911" s="61" t="s">
        <v>10485</v>
      </c>
      <c r="E911" s="61" t="s">
        <v>10485</v>
      </c>
      <c r="F911" s="62" t="s">
        <v>809</v>
      </c>
    </row>
    <row r="912" customFormat="false" ht="15" hidden="false" customHeight="false" outlineLevel="0" collapsed="false">
      <c r="A912" s="92" t="str">
        <f aca="false">Gov_Map!$H123&amp;""</f>
        <v>SRC_HW_044</v>
      </c>
      <c r="B912" s="65" t="s">
        <v>10484</v>
      </c>
      <c r="C912" s="61" t="n">
        <v>123</v>
      </c>
      <c r="D912" s="61" t="s">
        <v>10485</v>
      </c>
      <c r="E912" s="61" t="s">
        <v>10485</v>
      </c>
      <c r="F912" s="62" t="s">
        <v>809</v>
      </c>
    </row>
    <row r="913" customFormat="false" ht="15" hidden="false" customHeight="false" outlineLevel="0" collapsed="false">
      <c r="A913" s="92" t="str">
        <f aca="false">Gov_Map!$H124&amp;""</f>
        <v>SRC_HW_060</v>
      </c>
      <c r="B913" s="65" t="s">
        <v>10484</v>
      </c>
      <c r="C913" s="61" t="n">
        <v>124</v>
      </c>
      <c r="D913" s="61" t="s">
        <v>10485</v>
      </c>
      <c r="E913" s="61" t="s">
        <v>10485</v>
      </c>
      <c r="F913" s="62" t="s">
        <v>809</v>
      </c>
    </row>
    <row r="914" customFormat="false" ht="15" hidden="false" customHeight="false" outlineLevel="0" collapsed="false">
      <c r="A914" s="92" t="str">
        <f aca="false">Gov_Map!$H125&amp;""</f>
        <v>SRC_HW_048</v>
      </c>
      <c r="B914" s="65" t="s">
        <v>10484</v>
      </c>
      <c r="C914" s="61" t="n">
        <v>125</v>
      </c>
      <c r="D914" s="61" t="s">
        <v>10485</v>
      </c>
      <c r="E914" s="61" t="s">
        <v>10485</v>
      </c>
      <c r="F914" s="62" t="s">
        <v>809</v>
      </c>
    </row>
    <row r="915" customFormat="false" ht="15" hidden="false" customHeight="false" outlineLevel="0" collapsed="false">
      <c r="A915" s="92" t="str">
        <f aca="false">Gov_Map!$H126&amp;""</f>
        <v>SRC_HW_048</v>
      </c>
      <c r="B915" s="65" t="s">
        <v>10484</v>
      </c>
      <c r="C915" s="61" t="n">
        <v>126</v>
      </c>
      <c r="D915" s="61" t="s">
        <v>10485</v>
      </c>
      <c r="E915" s="61" t="s">
        <v>10485</v>
      </c>
      <c r="F915" s="62" t="s">
        <v>809</v>
      </c>
    </row>
    <row r="916" customFormat="false" ht="15" hidden="false" customHeight="false" outlineLevel="0" collapsed="false">
      <c r="A916" s="92" t="str">
        <f aca="false">Gov_Map!$H127&amp;""</f>
        <v>SRC_HW_049</v>
      </c>
      <c r="B916" s="65" t="s">
        <v>10484</v>
      </c>
      <c r="C916" s="61" t="n">
        <v>127</v>
      </c>
      <c r="D916" s="61" t="s">
        <v>10485</v>
      </c>
      <c r="E916" s="61" t="s">
        <v>10485</v>
      </c>
      <c r="F916" s="62" t="s">
        <v>809</v>
      </c>
    </row>
    <row r="917" customFormat="false" ht="15" hidden="false" customHeight="false" outlineLevel="0" collapsed="false">
      <c r="A917" s="92" t="str">
        <f aca="false">Gov_Map!$H128&amp;""</f>
        <v>—</v>
      </c>
      <c r="B917" s="65" t="s">
        <v>10484</v>
      </c>
      <c r="C917" s="61" t="n">
        <v>128</v>
      </c>
      <c r="D917" s="61" t="s">
        <v>10485</v>
      </c>
      <c r="E917" s="61" t="s">
        <v>10485</v>
      </c>
      <c r="F917" s="62" t="s">
        <v>809</v>
      </c>
    </row>
    <row r="918" customFormat="false" ht="15" hidden="false" customHeight="false" outlineLevel="0" collapsed="false">
      <c r="A918" s="92" t="str">
        <f aca="false">Gov_Map!$H129&amp;""</f>
        <v>SRC_HW_053</v>
      </c>
      <c r="B918" s="65" t="s">
        <v>10484</v>
      </c>
      <c r="C918" s="61" t="n">
        <v>129</v>
      </c>
      <c r="D918" s="61" t="s">
        <v>10485</v>
      </c>
      <c r="E918" s="61" t="s">
        <v>10485</v>
      </c>
      <c r="F918" s="62" t="s">
        <v>809</v>
      </c>
    </row>
    <row r="919" customFormat="false" ht="15" hidden="false" customHeight="false" outlineLevel="0" collapsed="false">
      <c r="A919" s="92" t="str">
        <f aca="false">Gov_Map!$H130&amp;""</f>
        <v>SRC_HW_047</v>
      </c>
      <c r="B919" s="65" t="s">
        <v>10484</v>
      </c>
      <c r="C919" s="61" t="n">
        <v>130</v>
      </c>
      <c r="D919" s="61" t="s">
        <v>10485</v>
      </c>
      <c r="E919" s="61" t="s">
        <v>10485</v>
      </c>
      <c r="F919" s="62" t="s">
        <v>809</v>
      </c>
    </row>
    <row r="920" customFormat="false" ht="15" hidden="false" customHeight="false" outlineLevel="0" collapsed="false">
      <c r="A920" s="92" t="str">
        <f aca="false">Gov_Map!$H131&amp;""</f>
        <v>SRC_HW_047</v>
      </c>
      <c r="B920" s="65" t="s">
        <v>10484</v>
      </c>
      <c r="C920" s="61" t="n">
        <v>131</v>
      </c>
      <c r="D920" s="61" t="s">
        <v>10485</v>
      </c>
      <c r="E920" s="61" t="s">
        <v>10485</v>
      </c>
      <c r="F920" s="62" t="s">
        <v>809</v>
      </c>
    </row>
    <row r="921" customFormat="false" ht="15" hidden="false" customHeight="false" outlineLevel="0" collapsed="false">
      <c r="A921" s="92" t="str">
        <f aca="false">Gov_Map!$H132&amp;""</f>
        <v>SRC_HW_047</v>
      </c>
      <c r="B921" s="65" t="s">
        <v>10484</v>
      </c>
      <c r="C921" s="61" t="n">
        <v>132</v>
      </c>
      <c r="D921" s="61" t="s">
        <v>10485</v>
      </c>
      <c r="E921" s="61" t="s">
        <v>10485</v>
      </c>
      <c r="F921" s="62" t="s">
        <v>809</v>
      </c>
    </row>
    <row r="922" customFormat="false" ht="15" hidden="false" customHeight="false" outlineLevel="0" collapsed="false">
      <c r="A922" s="92" t="str">
        <f aca="false">Gov_Map!$H133&amp;""</f>
        <v>SRC_HW_062</v>
      </c>
      <c r="B922" s="65" t="s">
        <v>10484</v>
      </c>
      <c r="C922" s="61" t="n">
        <v>133</v>
      </c>
      <c r="D922" s="61" t="s">
        <v>10485</v>
      </c>
      <c r="E922" s="61" t="s">
        <v>10485</v>
      </c>
      <c r="F922" s="62" t="s">
        <v>809</v>
      </c>
    </row>
    <row r="923" customFormat="false" ht="15" hidden="false" customHeight="false" outlineLevel="0" collapsed="false">
      <c r="A923" s="92" t="str">
        <f aca="false">Gov_Map!$H134&amp;""</f>
        <v>SRC_PERF_051</v>
      </c>
      <c r="B923" s="65" t="s">
        <v>10484</v>
      </c>
      <c r="C923" s="61" t="n">
        <v>134</v>
      </c>
      <c r="D923" s="61" t="s">
        <v>10485</v>
      </c>
      <c r="E923" s="61" t="s">
        <v>10485</v>
      </c>
      <c r="F923" s="62" t="s">
        <v>809</v>
      </c>
    </row>
    <row r="924" customFormat="false" ht="15" hidden="false" customHeight="false" outlineLevel="0" collapsed="false">
      <c r="A924" s="92" t="str">
        <f aca="false">Gov_Map!$H135&amp;""</f>
        <v>SRC_PERF_008</v>
      </c>
      <c r="B924" s="65" t="s">
        <v>10484</v>
      </c>
      <c r="C924" s="61" t="n">
        <v>135</v>
      </c>
      <c r="D924" s="61" t="s">
        <v>10485</v>
      </c>
      <c r="E924" s="61" t="s">
        <v>10485</v>
      </c>
      <c r="F924" s="62" t="s">
        <v>809</v>
      </c>
    </row>
    <row r="925" customFormat="false" ht="15" hidden="false" customHeight="false" outlineLevel="0" collapsed="false">
      <c r="A925" s="92" t="str">
        <f aca="false">Gov_Map!$H136&amp;""</f>
        <v>SRC_PERF_008</v>
      </c>
      <c r="B925" s="65" t="s">
        <v>10484</v>
      </c>
      <c r="C925" s="61" t="n">
        <v>136</v>
      </c>
      <c r="D925" s="61" t="s">
        <v>10485</v>
      </c>
      <c r="E925" s="61" t="s">
        <v>10485</v>
      </c>
      <c r="F925" s="62" t="s">
        <v>809</v>
      </c>
    </row>
    <row r="926" customFormat="false" ht="15" hidden="false" customHeight="false" outlineLevel="0" collapsed="false">
      <c r="A926" s="92" t="str">
        <f aca="false">Gov_Map!$H137&amp;""</f>
        <v>SRC_PERF_008</v>
      </c>
      <c r="B926" s="65" t="s">
        <v>10484</v>
      </c>
      <c r="C926" s="61" t="n">
        <v>137</v>
      </c>
      <c r="D926" s="61" t="s">
        <v>10485</v>
      </c>
      <c r="E926" s="61" t="s">
        <v>10485</v>
      </c>
      <c r="F926" s="62" t="s">
        <v>809</v>
      </c>
    </row>
    <row r="927" customFormat="false" ht="15" hidden="false" customHeight="false" outlineLevel="0" collapsed="false">
      <c r="A927" s="92" t="str">
        <f aca="false">Gov_Map!$H138&amp;""</f>
        <v>—</v>
      </c>
      <c r="B927" s="65" t="s">
        <v>10484</v>
      </c>
      <c r="C927" s="61" t="n">
        <v>138</v>
      </c>
      <c r="D927" s="61" t="s">
        <v>10485</v>
      </c>
      <c r="E927" s="61" t="s">
        <v>10485</v>
      </c>
      <c r="F927" s="62" t="s">
        <v>809</v>
      </c>
    </row>
    <row r="928" customFormat="false" ht="15" hidden="false" customHeight="false" outlineLevel="0" collapsed="false">
      <c r="A928" s="92" t="str">
        <f aca="false">Gov_Map!$H139&amp;""</f>
        <v>SRC_HW_055</v>
      </c>
      <c r="B928" s="65" t="s">
        <v>10484</v>
      </c>
      <c r="C928" s="61" t="n">
        <v>139</v>
      </c>
      <c r="D928" s="61" t="s">
        <v>10485</v>
      </c>
      <c r="E928" s="61" t="s">
        <v>10485</v>
      </c>
      <c r="F928" s="62" t="s">
        <v>809</v>
      </c>
    </row>
    <row r="929" customFormat="false" ht="15" hidden="false" customHeight="false" outlineLevel="0" collapsed="false">
      <c r="A929" s="92" t="str">
        <f aca="false">Gov_Map!$H140&amp;""</f>
        <v>SRC_HW_050</v>
      </c>
      <c r="B929" s="65" t="s">
        <v>10484</v>
      </c>
      <c r="C929" s="61" t="n">
        <v>140</v>
      </c>
      <c r="D929" s="61" t="s">
        <v>10485</v>
      </c>
      <c r="E929" s="61" t="s">
        <v>10485</v>
      </c>
      <c r="F929" s="62" t="s">
        <v>809</v>
      </c>
    </row>
    <row r="930" customFormat="false" ht="15" hidden="false" customHeight="false" outlineLevel="0" collapsed="false">
      <c r="A930" s="92" t="str">
        <f aca="false">Gov_Map!$H141&amp;""</f>
        <v>SRC_HW_050</v>
      </c>
      <c r="B930" s="65" t="s">
        <v>10484</v>
      </c>
      <c r="C930" s="61" t="n">
        <v>141</v>
      </c>
      <c r="D930" s="61" t="s">
        <v>10485</v>
      </c>
      <c r="E930" s="61" t="s">
        <v>10485</v>
      </c>
      <c r="F930" s="62" t="s">
        <v>809</v>
      </c>
    </row>
    <row r="931" customFormat="false" ht="15" hidden="false" customHeight="false" outlineLevel="0" collapsed="false">
      <c r="A931" s="92" t="str">
        <f aca="false">Gov_Map!$H142&amp;""</f>
        <v>SRC_HW_050</v>
      </c>
      <c r="B931" s="65" t="s">
        <v>10484</v>
      </c>
      <c r="C931" s="61" t="n">
        <v>142</v>
      </c>
      <c r="D931" s="61" t="s">
        <v>10485</v>
      </c>
      <c r="E931" s="61" t="s">
        <v>10485</v>
      </c>
      <c r="F931" s="62" t="s">
        <v>809</v>
      </c>
    </row>
    <row r="932" customFormat="false" ht="15" hidden="false" customHeight="false" outlineLevel="0" collapsed="false">
      <c r="A932" s="92" t="str">
        <f aca="false">Gov_Map!$H143&amp;""</f>
        <v>SRC_HW_050</v>
      </c>
      <c r="B932" s="65" t="s">
        <v>10484</v>
      </c>
      <c r="C932" s="61" t="n">
        <v>143</v>
      </c>
      <c r="D932" s="61" t="s">
        <v>10485</v>
      </c>
      <c r="E932" s="61" t="s">
        <v>10485</v>
      </c>
      <c r="F932" s="62" t="s">
        <v>809</v>
      </c>
    </row>
    <row r="933" customFormat="false" ht="15" hidden="false" customHeight="false" outlineLevel="0" collapsed="false">
      <c r="A933" s="92" t="str">
        <f aca="false">Gov_Map!$H144&amp;""</f>
        <v>—</v>
      </c>
      <c r="B933" s="65" t="s">
        <v>10484</v>
      </c>
      <c r="C933" s="61" t="n">
        <v>144</v>
      </c>
      <c r="D933" s="61" t="s">
        <v>10485</v>
      </c>
      <c r="E933" s="61" t="s">
        <v>10485</v>
      </c>
      <c r="F933" s="62" t="s">
        <v>809</v>
      </c>
    </row>
    <row r="934" customFormat="false" ht="15" hidden="false" customHeight="false" outlineLevel="0" collapsed="false">
      <c r="A934" s="92" t="str">
        <f aca="false">Gov_Map!$H145&amp;""</f>
        <v>—</v>
      </c>
      <c r="B934" s="65" t="s">
        <v>10484</v>
      </c>
      <c r="C934" s="61" t="n">
        <v>145</v>
      </c>
      <c r="D934" s="61" t="s">
        <v>10485</v>
      </c>
      <c r="E934" s="61" t="s">
        <v>10485</v>
      </c>
      <c r="F934" s="62" t="s">
        <v>809</v>
      </c>
    </row>
    <row r="935" customFormat="false" ht="15" hidden="false" customHeight="false" outlineLevel="0" collapsed="false">
      <c r="A935" s="92" t="str">
        <f aca="false">Gov_Map!$H146&amp;""</f>
        <v>—</v>
      </c>
      <c r="B935" s="65" t="s">
        <v>10484</v>
      </c>
      <c r="C935" s="61" t="n">
        <v>146</v>
      </c>
      <c r="D935" s="61" t="s">
        <v>10485</v>
      </c>
      <c r="E935" s="61" t="s">
        <v>10485</v>
      </c>
      <c r="F935" s="62" t="s">
        <v>809</v>
      </c>
    </row>
    <row r="936" customFormat="false" ht="15" hidden="false" customHeight="false" outlineLevel="0" collapsed="false">
      <c r="A936" s="92" t="str">
        <f aca="false">Gov_Map!$H147&amp;""</f>
        <v>—</v>
      </c>
      <c r="B936" s="65" t="s">
        <v>10484</v>
      </c>
      <c r="C936" s="61" t="n">
        <v>147</v>
      </c>
      <c r="D936" s="61" t="s">
        <v>10485</v>
      </c>
      <c r="E936" s="61" t="s">
        <v>10485</v>
      </c>
      <c r="F936" s="62" t="s">
        <v>809</v>
      </c>
    </row>
    <row r="937" customFormat="false" ht="15" hidden="false" customHeight="false" outlineLevel="0" collapsed="false">
      <c r="A937" s="92" t="str">
        <f aca="false">Gov_Map!$H148&amp;""</f>
        <v>—</v>
      </c>
      <c r="B937" s="65" t="s">
        <v>10484</v>
      </c>
      <c r="C937" s="61" t="n">
        <v>148</v>
      </c>
      <c r="D937" s="61" t="s">
        <v>10485</v>
      </c>
      <c r="E937" s="61" t="s">
        <v>10485</v>
      </c>
      <c r="F937" s="62" t="s">
        <v>809</v>
      </c>
    </row>
    <row r="938" customFormat="false" ht="15" hidden="false" customHeight="false" outlineLevel="0" collapsed="false">
      <c r="A938" s="92" t="str">
        <f aca="false">Gov_Map!$H149&amp;""</f>
        <v>—</v>
      </c>
      <c r="B938" s="65" t="s">
        <v>10484</v>
      </c>
      <c r="C938" s="61" t="n">
        <v>149</v>
      </c>
      <c r="D938" s="61" t="s">
        <v>10485</v>
      </c>
      <c r="E938" s="61" t="s">
        <v>10485</v>
      </c>
      <c r="F938" s="62" t="s">
        <v>809</v>
      </c>
    </row>
    <row r="939" customFormat="false" ht="15" hidden="false" customHeight="false" outlineLevel="0" collapsed="false">
      <c r="A939" s="92" t="str">
        <f aca="false">Gov_Map!$H150&amp;""</f>
        <v>SRC_PERF_007</v>
      </c>
      <c r="B939" s="65" t="s">
        <v>10484</v>
      </c>
      <c r="C939" s="61" t="n">
        <v>150</v>
      </c>
      <c r="D939" s="61" t="s">
        <v>10485</v>
      </c>
      <c r="E939" s="61" t="s">
        <v>10485</v>
      </c>
      <c r="F939" s="62" t="s">
        <v>809</v>
      </c>
    </row>
    <row r="940" customFormat="false" ht="15" hidden="false" customHeight="false" outlineLevel="0" collapsed="false">
      <c r="A940" s="92" t="str">
        <f aca="false">Gov_Map!$H151&amp;""</f>
        <v>SRC_PERF_007</v>
      </c>
      <c r="B940" s="65" t="s">
        <v>10484</v>
      </c>
      <c r="C940" s="61" t="n">
        <v>151</v>
      </c>
      <c r="D940" s="61" t="s">
        <v>10485</v>
      </c>
      <c r="E940" s="61" t="s">
        <v>10485</v>
      </c>
      <c r="F940" s="62" t="s">
        <v>809</v>
      </c>
    </row>
    <row r="941" customFormat="false" ht="15" hidden="false" customHeight="false" outlineLevel="0" collapsed="false">
      <c r="A941" s="92" t="str">
        <f aca="false">Gov_Map!$H152&amp;""</f>
        <v>SRC_PERF_007</v>
      </c>
      <c r="B941" s="65" t="s">
        <v>10484</v>
      </c>
      <c r="C941" s="61" t="n">
        <v>152</v>
      </c>
      <c r="D941" s="61" t="s">
        <v>10485</v>
      </c>
      <c r="E941" s="61" t="s">
        <v>10485</v>
      </c>
      <c r="F941" s="62" t="s">
        <v>809</v>
      </c>
    </row>
    <row r="942" customFormat="false" ht="15" hidden="false" customHeight="false" outlineLevel="0" collapsed="false">
      <c r="A942" s="92" t="str">
        <f aca="false">Gov_Map!$H153&amp;""</f>
        <v>—</v>
      </c>
      <c r="B942" s="65" t="s">
        <v>10484</v>
      </c>
      <c r="C942" s="61" t="n">
        <v>153</v>
      </c>
      <c r="D942" s="61" t="s">
        <v>10485</v>
      </c>
      <c r="E942" s="61" t="s">
        <v>10485</v>
      </c>
      <c r="F942" s="62" t="s">
        <v>809</v>
      </c>
    </row>
    <row r="943" customFormat="false" ht="15" hidden="false" customHeight="false" outlineLevel="0" collapsed="false">
      <c r="A943" s="92" t="str">
        <f aca="false">Gov_Map!$H154&amp;""</f>
        <v>SRC_HW_056</v>
      </c>
      <c r="B943" s="65" t="s">
        <v>10484</v>
      </c>
      <c r="C943" s="61" t="n">
        <v>154</v>
      </c>
      <c r="D943" s="61" t="s">
        <v>10485</v>
      </c>
      <c r="E943" s="61" t="s">
        <v>10485</v>
      </c>
      <c r="F943" s="62" t="s">
        <v>809</v>
      </c>
    </row>
    <row r="944" customFormat="false" ht="15" hidden="false" customHeight="false" outlineLevel="0" collapsed="false">
      <c r="A944" s="92" t="str">
        <f aca="false">Gov_Map!$H155&amp;""</f>
        <v>SRC_HW_057</v>
      </c>
      <c r="B944" s="65" t="s">
        <v>10484</v>
      </c>
      <c r="C944" s="61" t="n">
        <v>155</v>
      </c>
      <c r="D944" s="61" t="s">
        <v>10485</v>
      </c>
      <c r="E944" s="61" t="s">
        <v>10485</v>
      </c>
      <c r="F944" s="62" t="s">
        <v>809</v>
      </c>
    </row>
    <row r="945" customFormat="false" ht="15" hidden="false" customHeight="false" outlineLevel="0" collapsed="false">
      <c r="A945" s="92" t="str">
        <f aca="false">Gov_Map!$H156&amp;""</f>
        <v>SRC_HW_058</v>
      </c>
      <c r="B945" s="65" t="s">
        <v>10484</v>
      </c>
      <c r="C945" s="61" t="n">
        <v>156</v>
      </c>
      <c r="D945" s="61" t="s">
        <v>10485</v>
      </c>
      <c r="E945" s="61" t="s">
        <v>10485</v>
      </c>
      <c r="F945" s="62" t="s">
        <v>809</v>
      </c>
    </row>
    <row r="946" customFormat="false" ht="15" hidden="false" customHeight="false" outlineLevel="0" collapsed="false">
      <c r="A946" s="92" t="str">
        <f aca="false">Gov_Map!$H157&amp;""</f>
        <v>SRC_HW_046</v>
      </c>
      <c r="B946" s="65" t="s">
        <v>10484</v>
      </c>
      <c r="C946" s="61" t="n">
        <v>157</v>
      </c>
      <c r="D946" s="61" t="s">
        <v>10485</v>
      </c>
      <c r="E946" s="61" t="s">
        <v>10485</v>
      </c>
      <c r="F946" s="62" t="s">
        <v>809</v>
      </c>
    </row>
    <row r="947" customFormat="false" ht="15" hidden="false" customHeight="false" outlineLevel="0" collapsed="false">
      <c r="A947" s="92" t="str">
        <f aca="false">Gov_Map!$H158&amp;""</f>
        <v>—</v>
      </c>
      <c r="B947" s="65" t="s">
        <v>10484</v>
      </c>
      <c r="C947" s="61" t="n">
        <v>158</v>
      </c>
      <c r="D947" s="61" t="s">
        <v>10485</v>
      </c>
      <c r="E947" s="61" t="s">
        <v>10485</v>
      </c>
      <c r="F947" s="62" t="s">
        <v>809</v>
      </c>
    </row>
    <row r="948" customFormat="false" ht="15" hidden="false" customHeight="false" outlineLevel="0" collapsed="false">
      <c r="A948" s="92" t="str">
        <f aca="false">Gov_Map!$H159&amp;""</f>
        <v>SRC_HW_032</v>
      </c>
      <c r="B948" s="65" t="s">
        <v>10484</v>
      </c>
      <c r="C948" s="61" t="n">
        <v>159</v>
      </c>
      <c r="D948" s="61" t="s">
        <v>10485</v>
      </c>
      <c r="E948" s="61" t="s">
        <v>10485</v>
      </c>
      <c r="F948" s="62" t="s">
        <v>809</v>
      </c>
    </row>
    <row r="949" customFormat="false" ht="15" hidden="false" customHeight="false" outlineLevel="0" collapsed="false">
      <c r="A949" s="92" t="str">
        <f aca="false">Gov_Map!$H160&amp;""</f>
        <v>SRC_HW_033</v>
      </c>
      <c r="B949" s="65" t="s">
        <v>10484</v>
      </c>
      <c r="C949" s="61" t="n">
        <v>160</v>
      </c>
      <c r="D949" s="61" t="s">
        <v>10485</v>
      </c>
      <c r="E949" s="61" t="s">
        <v>10485</v>
      </c>
      <c r="F949" s="62" t="s">
        <v>809</v>
      </c>
    </row>
    <row r="950" customFormat="false" ht="15" hidden="false" customHeight="false" outlineLevel="0" collapsed="false">
      <c r="A950" s="92" t="str">
        <f aca="false">Gov_Map!$H161&amp;""</f>
        <v>SRC_HW_033</v>
      </c>
      <c r="B950" s="65" t="s">
        <v>10484</v>
      </c>
      <c r="C950" s="61" t="n">
        <v>161</v>
      </c>
      <c r="D950" s="61" t="s">
        <v>10485</v>
      </c>
      <c r="E950" s="61" t="s">
        <v>10485</v>
      </c>
      <c r="F950" s="62" t="s">
        <v>809</v>
      </c>
    </row>
    <row r="951" customFormat="false" ht="15" hidden="false" customHeight="false" outlineLevel="0" collapsed="false">
      <c r="A951" s="92" t="str">
        <f aca="false">Gov_Map!$H162&amp;""</f>
        <v>SRC_HW_034</v>
      </c>
      <c r="B951" s="65" t="s">
        <v>10484</v>
      </c>
      <c r="C951" s="61" t="n">
        <v>162</v>
      </c>
      <c r="D951" s="61" t="s">
        <v>10485</v>
      </c>
      <c r="E951" s="61" t="s">
        <v>10485</v>
      </c>
      <c r="F951" s="62" t="s">
        <v>809</v>
      </c>
    </row>
    <row r="952" customFormat="false" ht="15" hidden="false" customHeight="false" outlineLevel="0" collapsed="false">
      <c r="A952" s="92" t="str">
        <f aca="false">Gov_Map!$H163&amp;""</f>
        <v>—</v>
      </c>
      <c r="B952" s="65" t="s">
        <v>10484</v>
      </c>
      <c r="C952" s="61" t="n">
        <v>163</v>
      </c>
      <c r="D952" s="61" t="s">
        <v>10485</v>
      </c>
      <c r="E952" s="61" t="s">
        <v>10485</v>
      </c>
      <c r="F952" s="62" t="s">
        <v>809</v>
      </c>
    </row>
    <row r="953" customFormat="false" ht="15" hidden="false" customHeight="false" outlineLevel="0" collapsed="false">
      <c r="A953" s="92" t="str">
        <f aca="false">Gov_Map!$H164&amp;""</f>
        <v>SRC_HW_019</v>
      </c>
      <c r="B953" s="65" t="s">
        <v>10484</v>
      </c>
      <c r="C953" s="61" t="n">
        <v>164</v>
      </c>
      <c r="D953" s="61" t="s">
        <v>10485</v>
      </c>
      <c r="E953" s="61" t="s">
        <v>10485</v>
      </c>
      <c r="F953" s="62" t="s">
        <v>809</v>
      </c>
    </row>
    <row r="954" customFormat="false" ht="15" hidden="false" customHeight="false" outlineLevel="0" collapsed="false">
      <c r="A954" s="92" t="str">
        <f aca="false">Gov_Map!$H165&amp;""</f>
        <v>SRC_HW_042</v>
      </c>
      <c r="B954" s="65" t="s">
        <v>10484</v>
      </c>
      <c r="C954" s="61" t="n">
        <v>165</v>
      </c>
      <c r="D954" s="61" t="s">
        <v>10485</v>
      </c>
      <c r="E954" s="61" t="s">
        <v>10485</v>
      </c>
      <c r="F954" s="62" t="s">
        <v>809</v>
      </c>
    </row>
    <row r="955" customFormat="false" ht="15" hidden="false" customHeight="false" outlineLevel="0" collapsed="false">
      <c r="A955" s="92" t="str">
        <f aca="false">Gov_Map!$H166&amp;""</f>
        <v>SRC_HW_042</v>
      </c>
      <c r="B955" s="65" t="s">
        <v>10484</v>
      </c>
      <c r="C955" s="61" t="n">
        <v>166</v>
      </c>
      <c r="D955" s="61" t="s">
        <v>10485</v>
      </c>
      <c r="E955" s="61" t="s">
        <v>10485</v>
      </c>
      <c r="F955" s="62" t="s">
        <v>809</v>
      </c>
    </row>
    <row r="956" customFormat="false" ht="15" hidden="false" customHeight="false" outlineLevel="0" collapsed="false">
      <c r="A956" s="92" t="str">
        <f aca="false">Gov_Map!$H167&amp;""</f>
        <v>SRC_HW_039</v>
      </c>
      <c r="B956" s="65" t="s">
        <v>10484</v>
      </c>
      <c r="C956" s="61" t="n">
        <v>167</v>
      </c>
      <c r="D956" s="61" t="s">
        <v>10485</v>
      </c>
      <c r="E956" s="61" t="s">
        <v>10485</v>
      </c>
      <c r="F956" s="62" t="s">
        <v>809</v>
      </c>
    </row>
    <row r="957" customFormat="false" ht="15" hidden="false" customHeight="false" outlineLevel="0" collapsed="false">
      <c r="A957" s="92" t="str">
        <f aca="false">Gov_Map!$H168&amp;""</f>
        <v>—</v>
      </c>
      <c r="B957" s="65" t="s">
        <v>10484</v>
      </c>
      <c r="C957" s="61" t="n">
        <v>168</v>
      </c>
      <c r="D957" s="61" t="s">
        <v>10485</v>
      </c>
      <c r="E957" s="61" t="s">
        <v>10485</v>
      </c>
      <c r="F957" s="62" t="s">
        <v>809</v>
      </c>
    </row>
    <row r="958" customFormat="false" ht="15" hidden="false" customHeight="false" outlineLevel="0" collapsed="false">
      <c r="A958" s="92" t="str">
        <f aca="false">Gov_Map!$H169&amp;""</f>
        <v>SRC_HW_040</v>
      </c>
      <c r="B958" s="65" t="s">
        <v>10484</v>
      </c>
      <c r="C958" s="61" t="n">
        <v>169</v>
      </c>
      <c r="D958" s="61" t="s">
        <v>10485</v>
      </c>
      <c r="E958" s="61" t="s">
        <v>10485</v>
      </c>
      <c r="F958" s="62" t="s">
        <v>809</v>
      </c>
    </row>
    <row r="959" customFormat="false" ht="15" hidden="false" customHeight="false" outlineLevel="0" collapsed="false">
      <c r="A959" s="92" t="str">
        <f aca="false">Gov_Map!$H170&amp;""</f>
        <v>SRC_HW_043</v>
      </c>
      <c r="B959" s="65" t="s">
        <v>10484</v>
      </c>
      <c r="C959" s="61" t="n">
        <v>170</v>
      </c>
      <c r="D959" s="61" t="s">
        <v>10485</v>
      </c>
      <c r="E959" s="61" t="s">
        <v>10485</v>
      </c>
      <c r="F959" s="62" t="s">
        <v>809</v>
      </c>
    </row>
    <row r="960" customFormat="false" ht="15" hidden="false" customHeight="false" outlineLevel="0" collapsed="false">
      <c r="A960" s="92" t="str">
        <f aca="false">Gov_Map!$H171&amp;""</f>
        <v>SRC_HW_043</v>
      </c>
      <c r="B960" s="65" t="s">
        <v>10484</v>
      </c>
      <c r="C960" s="61" t="n">
        <v>171</v>
      </c>
      <c r="D960" s="61" t="s">
        <v>10485</v>
      </c>
      <c r="E960" s="61" t="s">
        <v>10485</v>
      </c>
      <c r="F960" s="62" t="s">
        <v>809</v>
      </c>
    </row>
    <row r="961" customFormat="false" ht="15" hidden="false" customHeight="false" outlineLevel="0" collapsed="false">
      <c r="A961" s="92" t="str">
        <f aca="false">Gov_Map!$H172&amp;""</f>
        <v>SRC_HW_038</v>
      </c>
      <c r="B961" s="65" t="s">
        <v>10484</v>
      </c>
      <c r="C961" s="61" t="n">
        <v>172</v>
      </c>
      <c r="D961" s="61" t="s">
        <v>10485</v>
      </c>
      <c r="E961" s="61" t="s">
        <v>10485</v>
      </c>
      <c r="F961" s="62" t="s">
        <v>809</v>
      </c>
    </row>
    <row r="962" customFormat="false" ht="15" hidden="false" customHeight="false" outlineLevel="0" collapsed="false">
      <c r="A962" s="92" t="str">
        <f aca="false">Gov_Map!$H173&amp;""</f>
        <v>SRC_HW_063</v>
      </c>
      <c r="B962" s="65" t="s">
        <v>10484</v>
      </c>
      <c r="C962" s="61" t="n">
        <v>173</v>
      </c>
      <c r="D962" s="61" t="s">
        <v>10485</v>
      </c>
      <c r="E962" s="61" t="s">
        <v>10485</v>
      </c>
      <c r="F962" s="62" t="s">
        <v>809</v>
      </c>
    </row>
    <row r="963" customFormat="false" ht="15" hidden="false" customHeight="false" outlineLevel="0" collapsed="false">
      <c r="A963" s="92" t="str">
        <f aca="false">Gov_Map!$H174&amp;""</f>
        <v>—</v>
      </c>
      <c r="B963" s="65" t="s">
        <v>10484</v>
      </c>
      <c r="C963" s="61" t="n">
        <v>174</v>
      </c>
      <c r="D963" s="61" t="s">
        <v>10485</v>
      </c>
      <c r="E963" s="61" t="s">
        <v>10485</v>
      </c>
      <c r="F963" s="62" t="s">
        <v>809</v>
      </c>
    </row>
    <row r="964" customFormat="false" ht="15" hidden="false" customHeight="false" outlineLevel="0" collapsed="false">
      <c r="A964" s="92" t="str">
        <f aca="false">Gov_Map!$H175&amp;""</f>
        <v>SRC_HW_037</v>
      </c>
      <c r="B964" s="65" t="s">
        <v>10484</v>
      </c>
      <c r="C964" s="61" t="n">
        <v>175</v>
      </c>
      <c r="D964" s="61" t="s">
        <v>10485</v>
      </c>
      <c r="E964" s="61" t="s">
        <v>10485</v>
      </c>
      <c r="F964" s="62" t="s">
        <v>809</v>
      </c>
    </row>
    <row r="965" customFormat="false" ht="15" hidden="false" customHeight="false" outlineLevel="0" collapsed="false">
      <c r="A965" s="92" t="str">
        <f aca="false">Gov_Map!$H176&amp;""</f>
        <v>—</v>
      </c>
      <c r="B965" s="65" t="s">
        <v>10484</v>
      </c>
      <c r="C965" s="61" t="n">
        <v>176</v>
      </c>
      <c r="D965" s="61" t="s">
        <v>10485</v>
      </c>
      <c r="E965" s="61" t="s">
        <v>10485</v>
      </c>
      <c r="F965" s="62" t="s">
        <v>809</v>
      </c>
    </row>
    <row r="966" customFormat="false" ht="15" hidden="false" customHeight="false" outlineLevel="0" collapsed="false">
      <c r="A966" s="92" t="str">
        <f aca="false">Gov_Map!$H177&amp;""</f>
        <v>SRC_HW_037</v>
      </c>
      <c r="B966" s="65" t="s">
        <v>10484</v>
      </c>
      <c r="C966" s="61" t="n">
        <v>177</v>
      </c>
      <c r="D966" s="61" t="s">
        <v>10485</v>
      </c>
      <c r="E966" s="61" t="s">
        <v>10485</v>
      </c>
      <c r="F966" s="62" t="s">
        <v>809</v>
      </c>
    </row>
    <row r="967" customFormat="false" ht="15" hidden="false" customHeight="false" outlineLevel="0" collapsed="false">
      <c r="A967" s="92" t="str">
        <f aca="false">Gov_Map!$H178&amp;""</f>
        <v>—</v>
      </c>
      <c r="B967" s="65" t="s">
        <v>10484</v>
      </c>
      <c r="C967" s="61" t="n">
        <v>178</v>
      </c>
      <c r="D967" s="61" t="s">
        <v>10485</v>
      </c>
      <c r="E967" s="61" t="s">
        <v>10485</v>
      </c>
      <c r="F967" s="62" t="s">
        <v>809</v>
      </c>
    </row>
    <row r="968" customFormat="false" ht="15" hidden="false" customHeight="false" outlineLevel="0" collapsed="false">
      <c r="A968" s="92" t="str">
        <f aca="false">Gov_Map!$H179&amp;""</f>
        <v>SRC_MOD_005</v>
      </c>
      <c r="B968" s="65" t="s">
        <v>10484</v>
      </c>
      <c r="C968" s="61" t="n">
        <v>179</v>
      </c>
      <c r="D968" s="61" t="s">
        <v>10485</v>
      </c>
      <c r="E968" s="61" t="s">
        <v>10485</v>
      </c>
      <c r="F968" s="62" t="s">
        <v>809</v>
      </c>
    </row>
    <row r="969" customFormat="false" ht="15" hidden="false" customHeight="false" outlineLevel="0" collapsed="false">
      <c r="A969" s="92" t="str">
        <f aca="false">Gov_Map!$H180&amp;""</f>
        <v>SRC_MOD_001</v>
      </c>
      <c r="B969" s="65" t="s">
        <v>10484</v>
      </c>
      <c r="C969" s="61" t="n">
        <v>180</v>
      </c>
      <c r="D969" s="61" t="s">
        <v>10485</v>
      </c>
      <c r="E969" s="61" t="s">
        <v>10485</v>
      </c>
      <c r="F969" s="62" t="s">
        <v>809</v>
      </c>
    </row>
    <row r="970" customFormat="false" ht="15" hidden="false" customHeight="false" outlineLevel="0" collapsed="false">
      <c r="A970" s="92" t="str">
        <f aca="false">Gov_Map!$H181&amp;""</f>
        <v>SRC_MOD_006</v>
      </c>
      <c r="B970" s="65" t="s">
        <v>10484</v>
      </c>
      <c r="C970" s="61" t="n">
        <v>181</v>
      </c>
      <c r="D970" s="61" t="s">
        <v>10485</v>
      </c>
      <c r="E970" s="61" t="s">
        <v>10485</v>
      </c>
      <c r="F970" s="62" t="s">
        <v>809</v>
      </c>
    </row>
    <row r="971" customFormat="false" ht="15" hidden="false" customHeight="false" outlineLevel="0" collapsed="false">
      <c r="A971" s="92" t="str">
        <f aca="false">Gov_Map!$H182&amp;""</f>
        <v>SRC_MOD_002</v>
      </c>
      <c r="B971" s="65" t="s">
        <v>10484</v>
      </c>
      <c r="C971" s="61" t="n">
        <v>182</v>
      </c>
      <c r="D971" s="61" t="s">
        <v>10485</v>
      </c>
      <c r="E971" s="61" t="s">
        <v>10485</v>
      </c>
      <c r="F971" s="62" t="s">
        <v>809</v>
      </c>
    </row>
    <row r="972" customFormat="false" ht="15" hidden="false" customHeight="false" outlineLevel="0" collapsed="false">
      <c r="A972" s="92" t="str">
        <f aca="false">Gov_Map!$H183&amp;""</f>
        <v>SRC_MOD_007</v>
      </c>
      <c r="B972" s="65" t="s">
        <v>10484</v>
      </c>
      <c r="C972" s="61" t="n">
        <v>183</v>
      </c>
      <c r="D972" s="61" t="s">
        <v>10485</v>
      </c>
      <c r="E972" s="61" t="s">
        <v>10485</v>
      </c>
      <c r="F972" s="62" t="s">
        <v>809</v>
      </c>
    </row>
    <row r="973" customFormat="false" ht="15" hidden="false" customHeight="false" outlineLevel="0" collapsed="false">
      <c r="A973" s="92" t="str">
        <f aca="false">Gov_Map!$H184&amp;""</f>
        <v>SRC_MOD_003</v>
      </c>
      <c r="B973" s="65" t="s">
        <v>10484</v>
      </c>
      <c r="C973" s="61" t="n">
        <v>184</v>
      </c>
      <c r="D973" s="61" t="s">
        <v>10485</v>
      </c>
      <c r="E973" s="61" t="s">
        <v>10485</v>
      </c>
      <c r="F973" s="62" t="s">
        <v>809</v>
      </c>
    </row>
    <row r="974" customFormat="false" ht="15" hidden="false" customHeight="false" outlineLevel="0" collapsed="false">
      <c r="A974" s="92" t="str">
        <f aca="false">Gov_Map!$H185&amp;""</f>
        <v>SRC_MOD_009</v>
      </c>
      <c r="B974" s="65" t="s">
        <v>10484</v>
      </c>
      <c r="C974" s="61" t="n">
        <v>185</v>
      </c>
      <c r="D974" s="61" t="s">
        <v>10485</v>
      </c>
      <c r="E974" s="61" t="s">
        <v>10485</v>
      </c>
      <c r="F974" s="62" t="s">
        <v>809</v>
      </c>
    </row>
    <row r="975" customFormat="false" ht="15" hidden="false" customHeight="false" outlineLevel="0" collapsed="false">
      <c r="A975" s="92" t="str">
        <f aca="false">Gov_Map!$H186&amp;""</f>
        <v>SRC_MOD_009</v>
      </c>
      <c r="B975" s="65" t="s">
        <v>10484</v>
      </c>
      <c r="C975" s="61" t="n">
        <v>186</v>
      </c>
      <c r="D975" s="61" t="s">
        <v>10485</v>
      </c>
      <c r="E975" s="61" t="s">
        <v>10485</v>
      </c>
      <c r="F975" s="62" t="s">
        <v>809</v>
      </c>
    </row>
    <row r="976" customFormat="false" ht="15" hidden="false" customHeight="false" outlineLevel="0" collapsed="false">
      <c r="A976" s="92" t="str">
        <f aca="false">Gov_Map!$H187&amp;""</f>
        <v>SRC_MOD_010</v>
      </c>
      <c r="B976" s="65" t="s">
        <v>10484</v>
      </c>
      <c r="C976" s="61" t="n">
        <v>187</v>
      </c>
      <c r="D976" s="61" t="s">
        <v>10485</v>
      </c>
      <c r="E976" s="61" t="s">
        <v>10485</v>
      </c>
      <c r="F976" s="62" t="s">
        <v>809</v>
      </c>
    </row>
    <row r="977" customFormat="false" ht="15" hidden="false" customHeight="false" outlineLevel="0" collapsed="false">
      <c r="A977" s="92" t="str">
        <f aca="false">Gov_Map!$H188&amp;""</f>
        <v>SRC_MOD_011</v>
      </c>
      <c r="B977" s="65" t="s">
        <v>10484</v>
      </c>
      <c r="C977" s="61" t="n">
        <v>188</v>
      </c>
      <c r="D977" s="61" t="s">
        <v>10485</v>
      </c>
      <c r="E977" s="61" t="s">
        <v>10485</v>
      </c>
      <c r="F977" s="62" t="s">
        <v>809</v>
      </c>
    </row>
    <row r="978" customFormat="false" ht="15" hidden="false" customHeight="false" outlineLevel="0" collapsed="false">
      <c r="A978" s="92" t="str">
        <f aca="false">Gov_Map!$H189&amp;""</f>
        <v>SRC_MOD_012</v>
      </c>
      <c r="B978" s="65" t="s">
        <v>10484</v>
      </c>
      <c r="C978" s="61" t="n">
        <v>189</v>
      </c>
      <c r="D978" s="61" t="s">
        <v>10485</v>
      </c>
      <c r="E978" s="61" t="s">
        <v>10485</v>
      </c>
      <c r="F978" s="62" t="s">
        <v>809</v>
      </c>
    </row>
    <row r="979" customFormat="false" ht="15" hidden="false" customHeight="false" outlineLevel="0" collapsed="false">
      <c r="A979" s="92" t="str">
        <f aca="false">Gov_Map!$H190&amp;""</f>
        <v>SRC_MOD_012</v>
      </c>
      <c r="B979" s="65" t="s">
        <v>10484</v>
      </c>
      <c r="C979" s="61" t="n">
        <v>190</v>
      </c>
      <c r="D979" s="61" t="s">
        <v>10485</v>
      </c>
      <c r="E979" s="61" t="s">
        <v>10485</v>
      </c>
      <c r="F979" s="62" t="s">
        <v>809</v>
      </c>
    </row>
    <row r="980" customFormat="false" ht="15" hidden="false" customHeight="false" outlineLevel="0" collapsed="false">
      <c r="A980" s="92" t="str">
        <f aca="false">Gov_Map!$H191&amp;""</f>
        <v>SRC_MOD_013</v>
      </c>
      <c r="B980" s="65" t="s">
        <v>10484</v>
      </c>
      <c r="C980" s="61" t="n">
        <v>191</v>
      </c>
      <c r="D980" s="61" t="s">
        <v>10485</v>
      </c>
      <c r="E980" s="61" t="s">
        <v>10485</v>
      </c>
      <c r="F980" s="62" t="s">
        <v>809</v>
      </c>
    </row>
    <row r="981" customFormat="false" ht="15" hidden="false" customHeight="false" outlineLevel="0" collapsed="false">
      <c r="A981" s="92" t="str">
        <f aca="false">Gov_Map!$H192&amp;""</f>
        <v>SRC_MOD_013</v>
      </c>
      <c r="B981" s="65" t="s">
        <v>10484</v>
      </c>
      <c r="C981" s="61" t="n">
        <v>192</v>
      </c>
      <c r="D981" s="61" t="s">
        <v>10485</v>
      </c>
      <c r="E981" s="61" t="s">
        <v>10485</v>
      </c>
      <c r="F981" s="62" t="s">
        <v>809</v>
      </c>
    </row>
    <row r="982" customFormat="false" ht="15" hidden="false" customHeight="false" outlineLevel="0" collapsed="false">
      <c r="A982" s="92" t="str">
        <f aca="false">Gov_Map!$H193&amp;""</f>
        <v>SRC_MOD_014</v>
      </c>
      <c r="B982" s="65" t="s">
        <v>10484</v>
      </c>
      <c r="C982" s="61" t="n">
        <v>193</v>
      </c>
      <c r="D982" s="61" t="s">
        <v>10485</v>
      </c>
      <c r="E982" s="61" t="s">
        <v>10485</v>
      </c>
      <c r="F982" s="62" t="s">
        <v>809</v>
      </c>
    </row>
    <row r="983" customFormat="false" ht="15" hidden="false" customHeight="false" outlineLevel="0" collapsed="false">
      <c r="A983" s="92" t="str">
        <f aca="false">Gov_Map!$H194&amp;""</f>
        <v>SRC_MOD_014</v>
      </c>
      <c r="B983" s="65" t="s">
        <v>10484</v>
      </c>
      <c r="C983" s="61" t="n">
        <v>194</v>
      </c>
      <c r="D983" s="61" t="s">
        <v>10485</v>
      </c>
      <c r="E983" s="61" t="s">
        <v>10485</v>
      </c>
      <c r="F983" s="62" t="s">
        <v>809</v>
      </c>
    </row>
    <row r="984" customFormat="false" ht="15" hidden="false" customHeight="false" outlineLevel="0" collapsed="false">
      <c r="A984" s="92" t="str">
        <f aca="false">Gov_Map!$H195&amp;""</f>
        <v>SRC_MOD_015</v>
      </c>
      <c r="B984" s="65" t="s">
        <v>10484</v>
      </c>
      <c r="C984" s="61" t="n">
        <v>195</v>
      </c>
      <c r="D984" s="61" t="s">
        <v>10485</v>
      </c>
      <c r="E984" s="61" t="s">
        <v>10485</v>
      </c>
      <c r="F984" s="62" t="s">
        <v>809</v>
      </c>
    </row>
    <row r="985" customFormat="false" ht="15" hidden="false" customHeight="false" outlineLevel="0" collapsed="false">
      <c r="A985" s="92" t="str">
        <f aca="false">Gov_Map!$H196&amp;""</f>
        <v>SRC_MOD_015</v>
      </c>
      <c r="B985" s="65" t="s">
        <v>10484</v>
      </c>
      <c r="C985" s="61" t="n">
        <v>196</v>
      </c>
      <c r="D985" s="61" t="s">
        <v>10485</v>
      </c>
      <c r="E985" s="61" t="s">
        <v>10485</v>
      </c>
      <c r="F985" s="62" t="s">
        <v>809</v>
      </c>
    </row>
    <row r="986" customFormat="false" ht="15" hidden="false" customHeight="false" outlineLevel="0" collapsed="false">
      <c r="A986" s="92" t="str">
        <f aca="false">Gov_Map!$H197&amp;""</f>
        <v>SRC_MOD_016</v>
      </c>
      <c r="B986" s="65" t="s">
        <v>10484</v>
      </c>
      <c r="C986" s="61" t="n">
        <v>197</v>
      </c>
      <c r="D986" s="61" t="s">
        <v>10485</v>
      </c>
      <c r="E986" s="61" t="s">
        <v>10485</v>
      </c>
      <c r="F986" s="62" t="s">
        <v>809</v>
      </c>
    </row>
    <row r="987" customFormat="false" ht="15" hidden="false" customHeight="false" outlineLevel="0" collapsed="false">
      <c r="A987" s="92" t="str">
        <f aca="false">Gov_Map!$H198&amp;""</f>
        <v>SRC_MOD_016</v>
      </c>
      <c r="B987" s="65" t="s">
        <v>10484</v>
      </c>
      <c r="C987" s="61" t="n">
        <v>198</v>
      </c>
      <c r="D987" s="61" t="s">
        <v>10485</v>
      </c>
      <c r="E987" s="61" t="s">
        <v>10485</v>
      </c>
      <c r="F987" s="62" t="s">
        <v>809</v>
      </c>
    </row>
    <row r="988" customFormat="false" ht="15" hidden="false" customHeight="false" outlineLevel="0" collapsed="false">
      <c r="A988" s="92" t="str">
        <f aca="false">Gov_Map!$H199&amp;""</f>
        <v>SRC_MOD_017</v>
      </c>
      <c r="B988" s="65" t="s">
        <v>10484</v>
      </c>
      <c r="C988" s="61" t="n">
        <v>199</v>
      </c>
      <c r="D988" s="61" t="s">
        <v>10485</v>
      </c>
      <c r="E988" s="61" t="s">
        <v>10485</v>
      </c>
      <c r="F988" s="62" t="s">
        <v>809</v>
      </c>
    </row>
    <row r="989" customFormat="false" ht="15" hidden="false" customHeight="false" outlineLevel="0" collapsed="false">
      <c r="A989" s="92" t="str">
        <f aca="false">Gov_Map!$H200&amp;""</f>
        <v>SRC_MOD_017</v>
      </c>
      <c r="B989" s="65" t="s">
        <v>10484</v>
      </c>
      <c r="C989" s="61" t="n">
        <v>200</v>
      </c>
      <c r="D989" s="61" t="s">
        <v>10485</v>
      </c>
      <c r="E989" s="61" t="s">
        <v>10485</v>
      </c>
      <c r="F989" s="62" t="s">
        <v>809</v>
      </c>
    </row>
    <row r="990" customFormat="false" ht="15" hidden="false" customHeight="false" outlineLevel="0" collapsed="false">
      <c r="A990" s="92" t="str">
        <f aca="false">Gov_Map!$H201&amp;""</f>
        <v>SRC_MOD_004</v>
      </c>
      <c r="B990" s="65" t="s">
        <v>10484</v>
      </c>
      <c r="C990" s="61" t="n">
        <v>201</v>
      </c>
      <c r="D990" s="61" t="s">
        <v>10485</v>
      </c>
      <c r="E990" s="61" t="s">
        <v>10485</v>
      </c>
      <c r="F990" s="62" t="s">
        <v>809</v>
      </c>
    </row>
    <row r="991" customFormat="false" ht="15" hidden="false" customHeight="false" outlineLevel="0" collapsed="false">
      <c r="A991" s="92" t="str">
        <f aca="false">Gov_Map!$H202&amp;""</f>
        <v>SRC_MOD_008</v>
      </c>
      <c r="B991" s="65" t="s">
        <v>10484</v>
      </c>
      <c r="C991" s="61" t="n">
        <v>202</v>
      </c>
      <c r="D991" s="61" t="s">
        <v>10485</v>
      </c>
      <c r="E991" s="61" t="s">
        <v>10485</v>
      </c>
      <c r="F991" s="62" t="s">
        <v>809</v>
      </c>
    </row>
    <row r="992" customFormat="false" ht="15" hidden="false" customHeight="false" outlineLevel="0" collapsed="false">
      <c r="A992" s="92" t="str">
        <f aca="false">Gov_Map!$H203&amp;""</f>
        <v>SRC_MOD_052</v>
      </c>
      <c r="B992" s="65" t="s">
        <v>10484</v>
      </c>
      <c r="C992" s="61" t="n">
        <v>203</v>
      </c>
      <c r="D992" s="61" t="s">
        <v>10485</v>
      </c>
      <c r="E992" s="61" t="s">
        <v>10485</v>
      </c>
      <c r="F992" s="62" t="s">
        <v>809</v>
      </c>
    </row>
    <row r="993" customFormat="false" ht="15" hidden="false" customHeight="false" outlineLevel="0" collapsed="false">
      <c r="A993" s="92" t="str">
        <f aca="false">Gov_Map!$H204&amp;""</f>
        <v>SRC_MOD_053</v>
      </c>
      <c r="B993" s="65" t="s">
        <v>10484</v>
      </c>
      <c r="C993" s="61" t="n">
        <v>204</v>
      </c>
      <c r="D993" s="61" t="s">
        <v>10485</v>
      </c>
      <c r="E993" s="61" t="s">
        <v>10485</v>
      </c>
      <c r="F993" s="62" t="s">
        <v>809</v>
      </c>
    </row>
    <row r="994" customFormat="false" ht="15" hidden="false" customHeight="false" outlineLevel="0" collapsed="false">
      <c r="A994" s="92" t="str">
        <f aca="false">Gov_Map!$H205&amp;""</f>
        <v>SRC_MOD_018</v>
      </c>
      <c r="B994" s="65" t="s">
        <v>10484</v>
      </c>
      <c r="C994" s="61" t="n">
        <v>205</v>
      </c>
      <c r="D994" s="61" t="s">
        <v>10485</v>
      </c>
      <c r="E994" s="61" t="s">
        <v>10485</v>
      </c>
      <c r="F994" s="62" t="s">
        <v>809</v>
      </c>
    </row>
    <row r="995" customFormat="false" ht="15" hidden="false" customHeight="false" outlineLevel="0" collapsed="false">
      <c r="A995" s="92" t="str">
        <f aca="false">Gov_Map!$H206&amp;""</f>
        <v>SRC_MOD_018</v>
      </c>
      <c r="B995" s="65" t="s">
        <v>10484</v>
      </c>
      <c r="C995" s="61" t="n">
        <v>206</v>
      </c>
      <c r="D995" s="61" t="s">
        <v>10485</v>
      </c>
      <c r="E995" s="61" t="s">
        <v>10485</v>
      </c>
      <c r="F995" s="62" t="s">
        <v>809</v>
      </c>
    </row>
    <row r="996" customFormat="false" ht="15" hidden="false" customHeight="false" outlineLevel="0" collapsed="false">
      <c r="A996" s="92" t="str">
        <f aca="false">Gov_Map!$H207&amp;""</f>
        <v>—</v>
      </c>
      <c r="B996" s="65" t="s">
        <v>10484</v>
      </c>
      <c r="C996" s="61" t="n">
        <v>207</v>
      </c>
      <c r="D996" s="61" t="s">
        <v>10485</v>
      </c>
      <c r="E996" s="61" t="s">
        <v>10485</v>
      </c>
      <c r="F996" s="62" t="s">
        <v>809</v>
      </c>
    </row>
    <row r="997" customFormat="false" ht="15" hidden="false" customHeight="false" outlineLevel="0" collapsed="false">
      <c r="A997" s="92" t="str">
        <f aca="false">Gov_Map!$H208&amp;""</f>
        <v>—</v>
      </c>
      <c r="B997" s="65" t="s">
        <v>10484</v>
      </c>
      <c r="C997" s="61" t="n">
        <v>208</v>
      </c>
      <c r="D997" s="61" t="s">
        <v>10485</v>
      </c>
      <c r="E997" s="61" t="s">
        <v>10485</v>
      </c>
      <c r="F997" s="62" t="s">
        <v>809</v>
      </c>
    </row>
    <row r="998" customFormat="false" ht="15" hidden="false" customHeight="false" outlineLevel="0" collapsed="false">
      <c r="A998" s="92" t="str">
        <f aca="false">Gov_Map!$H209&amp;""</f>
        <v>—</v>
      </c>
      <c r="B998" s="65" t="s">
        <v>10484</v>
      </c>
      <c r="C998" s="61" t="n">
        <v>209</v>
      </c>
      <c r="D998" s="61" t="s">
        <v>10485</v>
      </c>
      <c r="E998" s="61" t="s">
        <v>10485</v>
      </c>
      <c r="F998" s="62" t="s">
        <v>809</v>
      </c>
    </row>
    <row r="999" customFormat="false" ht="15" hidden="false" customHeight="false" outlineLevel="0" collapsed="false">
      <c r="A999" s="92" t="str">
        <f aca="false">Gov_Map!$H210&amp;""</f>
        <v>—</v>
      </c>
      <c r="B999" s="65" t="s">
        <v>10484</v>
      </c>
      <c r="C999" s="61" t="n">
        <v>210</v>
      </c>
      <c r="D999" s="61" t="s">
        <v>10485</v>
      </c>
      <c r="E999" s="61" t="s">
        <v>10485</v>
      </c>
      <c r="F999" s="62" t="s">
        <v>809</v>
      </c>
    </row>
    <row r="1000" customFormat="false" ht="15" hidden="false" customHeight="false" outlineLevel="0" collapsed="false">
      <c r="A1000" s="92" t="str">
        <f aca="false">Gov_Map!$H211&amp;""</f>
        <v>—</v>
      </c>
      <c r="B1000" s="65" t="s">
        <v>10484</v>
      </c>
      <c r="C1000" s="61" t="n">
        <v>211</v>
      </c>
      <c r="D1000" s="61" t="s">
        <v>10485</v>
      </c>
      <c r="E1000" s="61" t="s">
        <v>10485</v>
      </c>
      <c r="F1000" s="62" t="s">
        <v>809</v>
      </c>
    </row>
    <row r="1001" customFormat="false" ht="15" hidden="false" customHeight="false" outlineLevel="0" collapsed="false">
      <c r="A1001" s="92" t="str">
        <f aca="false">Gov_Map!$H212&amp;""</f>
        <v>—</v>
      </c>
      <c r="B1001" s="65" t="s">
        <v>10484</v>
      </c>
      <c r="C1001" s="61" t="n">
        <v>212</v>
      </c>
      <c r="D1001" s="61" t="s">
        <v>10485</v>
      </c>
      <c r="E1001" s="61" t="s">
        <v>10485</v>
      </c>
      <c r="F1001" s="62" t="s">
        <v>809</v>
      </c>
    </row>
    <row r="1002" customFormat="false" ht="15" hidden="false" customHeight="false" outlineLevel="0" collapsed="false">
      <c r="A1002" s="92" t="str">
        <f aca="false">Gov_Map!$H213&amp;""</f>
        <v>—</v>
      </c>
      <c r="B1002" s="65" t="s">
        <v>10484</v>
      </c>
      <c r="C1002" s="61" t="n">
        <v>213</v>
      </c>
      <c r="D1002" s="61" t="s">
        <v>10485</v>
      </c>
      <c r="E1002" s="61" t="s">
        <v>10485</v>
      </c>
      <c r="F1002" s="62" t="s">
        <v>809</v>
      </c>
    </row>
    <row r="1003" customFormat="false" ht="15" hidden="false" customHeight="false" outlineLevel="0" collapsed="false">
      <c r="A1003" s="92" t="str">
        <f aca="false">Gov_Map!$H214&amp;""</f>
        <v>—</v>
      </c>
      <c r="B1003" s="65" t="s">
        <v>10484</v>
      </c>
      <c r="C1003" s="61" t="n">
        <v>214</v>
      </c>
      <c r="D1003" s="61" t="s">
        <v>10485</v>
      </c>
      <c r="E1003" s="61" t="s">
        <v>10485</v>
      </c>
      <c r="F1003" s="62" t="s">
        <v>809</v>
      </c>
    </row>
    <row r="1004" customFormat="false" ht="15" hidden="false" customHeight="false" outlineLevel="0" collapsed="false">
      <c r="A1004" s="92" t="str">
        <f aca="false">Gov_Map!$H215&amp;""</f>
        <v>—</v>
      </c>
      <c r="B1004" s="65" t="s">
        <v>10484</v>
      </c>
      <c r="C1004" s="61" t="n">
        <v>215</v>
      </c>
      <c r="D1004" s="61" t="s">
        <v>10485</v>
      </c>
      <c r="E1004" s="61" t="s">
        <v>10485</v>
      </c>
      <c r="F1004" s="62" t="s">
        <v>809</v>
      </c>
    </row>
    <row r="1005" customFormat="false" ht="15" hidden="false" customHeight="false" outlineLevel="0" collapsed="false">
      <c r="A1005" s="92" t="str">
        <f aca="false">Gov_Map!$H216&amp;""</f>
        <v>—</v>
      </c>
      <c r="B1005" s="65" t="s">
        <v>10484</v>
      </c>
      <c r="C1005" s="61" t="n">
        <v>216</v>
      </c>
      <c r="D1005" s="61" t="s">
        <v>10485</v>
      </c>
      <c r="E1005" s="61" t="s">
        <v>10485</v>
      </c>
      <c r="F1005" s="62" t="s">
        <v>809</v>
      </c>
    </row>
    <row r="1006" customFormat="false" ht="15" hidden="false" customHeight="false" outlineLevel="0" collapsed="false">
      <c r="A1006" s="92" t="str">
        <f aca="false">Gov_Map!$H217&amp;""</f>
        <v>—</v>
      </c>
      <c r="B1006" s="65" t="s">
        <v>10484</v>
      </c>
      <c r="C1006" s="61" t="n">
        <v>217</v>
      </c>
      <c r="D1006" s="61" t="s">
        <v>10485</v>
      </c>
      <c r="E1006" s="61" t="s">
        <v>10485</v>
      </c>
      <c r="F1006" s="62" t="s">
        <v>809</v>
      </c>
    </row>
    <row r="1007" customFormat="false" ht="15" hidden="false" customHeight="false" outlineLevel="0" collapsed="false">
      <c r="A1007" s="92" t="str">
        <f aca="false">Gov_Map!$H218&amp;""</f>
        <v>—</v>
      </c>
      <c r="B1007" s="65" t="s">
        <v>10484</v>
      </c>
      <c r="C1007" s="61" t="n">
        <v>218</v>
      </c>
      <c r="D1007" s="61" t="s">
        <v>10485</v>
      </c>
      <c r="E1007" s="61" t="s">
        <v>10485</v>
      </c>
      <c r="F1007" s="62" t="s">
        <v>809</v>
      </c>
    </row>
    <row r="1008" customFormat="false" ht="15" hidden="false" customHeight="false" outlineLevel="0" collapsed="false">
      <c r="A1008" s="92" t="str">
        <f aca="false">Gov_Map!$H219&amp;""</f>
        <v>—</v>
      </c>
      <c r="B1008" s="65" t="s">
        <v>10484</v>
      </c>
      <c r="C1008" s="61" t="n">
        <v>219</v>
      </c>
      <c r="D1008" s="61" t="s">
        <v>10485</v>
      </c>
      <c r="E1008" s="61" t="s">
        <v>10485</v>
      </c>
      <c r="F1008" s="62" t="s">
        <v>809</v>
      </c>
    </row>
    <row r="1009" customFormat="false" ht="15" hidden="false" customHeight="false" outlineLevel="0" collapsed="false">
      <c r="A1009" s="92" t="str">
        <f aca="false">Gov_Map!$H220&amp;""</f>
        <v>—</v>
      </c>
      <c r="B1009" s="65" t="s">
        <v>10484</v>
      </c>
      <c r="C1009" s="61" t="n">
        <v>220</v>
      </c>
      <c r="D1009" s="61" t="s">
        <v>10485</v>
      </c>
      <c r="E1009" s="61" t="s">
        <v>10485</v>
      </c>
      <c r="F1009" s="62" t="s">
        <v>809</v>
      </c>
    </row>
    <row r="1010" customFormat="false" ht="15" hidden="false" customHeight="false" outlineLevel="0" collapsed="false">
      <c r="A1010" s="92" t="str">
        <f aca="false">Gov_Map!$H221&amp;""</f>
        <v>—</v>
      </c>
      <c r="B1010" s="65" t="s">
        <v>10484</v>
      </c>
      <c r="C1010" s="61" t="n">
        <v>221</v>
      </c>
      <c r="D1010" s="61" t="s">
        <v>10485</v>
      </c>
      <c r="E1010" s="61" t="s">
        <v>10485</v>
      </c>
      <c r="F1010" s="62" t="s">
        <v>809</v>
      </c>
    </row>
    <row r="1011" customFormat="false" ht="15" hidden="false" customHeight="false" outlineLevel="0" collapsed="false">
      <c r="A1011" s="92" t="str">
        <f aca="false">Gov_Map!$H222&amp;""</f>
        <v>—</v>
      </c>
      <c r="B1011" s="65" t="s">
        <v>10484</v>
      </c>
      <c r="C1011" s="61" t="n">
        <v>222</v>
      </c>
      <c r="D1011" s="61" t="s">
        <v>10485</v>
      </c>
      <c r="E1011" s="61" t="s">
        <v>10485</v>
      </c>
      <c r="F1011" s="62" t="s">
        <v>809</v>
      </c>
    </row>
    <row r="1012" customFormat="false" ht="15" hidden="false" customHeight="false" outlineLevel="0" collapsed="false">
      <c r="A1012" s="92" t="str">
        <f aca="false">Gov_Map!$H223&amp;""</f>
        <v>—</v>
      </c>
      <c r="B1012" s="65" t="s">
        <v>10484</v>
      </c>
      <c r="C1012" s="61" t="n">
        <v>223</v>
      </c>
      <c r="D1012" s="61" t="s">
        <v>10485</v>
      </c>
      <c r="E1012" s="61" t="s">
        <v>10485</v>
      </c>
      <c r="F1012" s="62" t="s">
        <v>809</v>
      </c>
    </row>
    <row r="1013" customFormat="false" ht="15" hidden="false" customHeight="false" outlineLevel="0" collapsed="false">
      <c r="A1013" s="92" t="str">
        <f aca="false">Gov_Map!$H224&amp;""</f>
        <v>—</v>
      </c>
      <c r="B1013" s="65" t="s">
        <v>10484</v>
      </c>
      <c r="C1013" s="61" t="n">
        <v>224</v>
      </c>
      <c r="D1013" s="61" t="s">
        <v>10485</v>
      </c>
      <c r="E1013" s="61" t="s">
        <v>10485</v>
      </c>
      <c r="F1013" s="62" t="s">
        <v>809</v>
      </c>
    </row>
    <row r="1014" customFormat="false" ht="15" hidden="false" customHeight="false" outlineLevel="0" collapsed="false">
      <c r="A1014" s="92" t="str">
        <f aca="false">Gov_Map!$H225&amp;""</f>
        <v>—</v>
      </c>
      <c r="B1014" s="65" t="s">
        <v>10484</v>
      </c>
      <c r="C1014" s="61" t="n">
        <v>225</v>
      </c>
      <c r="D1014" s="61" t="s">
        <v>10485</v>
      </c>
      <c r="E1014" s="61" t="s">
        <v>10485</v>
      </c>
      <c r="F1014" s="62" t="s">
        <v>809</v>
      </c>
    </row>
    <row r="1015" customFormat="false" ht="15" hidden="false" customHeight="false" outlineLevel="0" collapsed="false">
      <c r="A1015" s="92" t="str">
        <f aca="false">Gov_Map!$H226&amp;""</f>
        <v>—</v>
      </c>
      <c r="B1015" s="65" t="s">
        <v>10484</v>
      </c>
      <c r="C1015" s="61" t="n">
        <v>226</v>
      </c>
      <c r="D1015" s="61" t="s">
        <v>10485</v>
      </c>
      <c r="E1015" s="61" t="s">
        <v>10485</v>
      </c>
      <c r="F1015" s="62" t="s">
        <v>809</v>
      </c>
    </row>
    <row r="1016" customFormat="false" ht="15" hidden="false" customHeight="false" outlineLevel="0" collapsed="false">
      <c r="A1016" s="92" t="str">
        <f aca="false">Gov_Map!$H227&amp;""</f>
        <v>—</v>
      </c>
      <c r="B1016" s="65" t="s">
        <v>10484</v>
      </c>
      <c r="C1016" s="61" t="n">
        <v>227</v>
      </c>
      <c r="D1016" s="61" t="s">
        <v>10485</v>
      </c>
      <c r="E1016" s="61" t="s">
        <v>10485</v>
      </c>
      <c r="F1016" s="62" t="s">
        <v>809</v>
      </c>
    </row>
    <row r="1017" customFormat="false" ht="15" hidden="false" customHeight="false" outlineLevel="0" collapsed="false">
      <c r="A1017" s="92" t="str">
        <f aca="false">Gov_Map!$H228&amp;""</f>
        <v>—</v>
      </c>
      <c r="B1017" s="65" t="s">
        <v>10484</v>
      </c>
      <c r="C1017" s="61" t="n">
        <v>228</v>
      </c>
      <c r="D1017" s="61" t="s">
        <v>10485</v>
      </c>
      <c r="E1017" s="61" t="s">
        <v>10485</v>
      </c>
      <c r="F1017" s="62" t="s">
        <v>809</v>
      </c>
    </row>
    <row r="1018" customFormat="false" ht="15" hidden="false" customHeight="false" outlineLevel="0" collapsed="false">
      <c r="A1018" s="92" t="str">
        <f aca="false">Gov_Map!$H229&amp;""</f>
        <v>—</v>
      </c>
      <c r="B1018" s="65" t="s">
        <v>10484</v>
      </c>
      <c r="C1018" s="61" t="n">
        <v>229</v>
      </c>
      <c r="D1018" s="61" t="s">
        <v>10485</v>
      </c>
      <c r="E1018" s="61" t="s">
        <v>10485</v>
      </c>
      <c r="F1018" s="62" t="s">
        <v>809</v>
      </c>
    </row>
    <row r="1019" customFormat="false" ht="15" hidden="false" customHeight="false" outlineLevel="0" collapsed="false">
      <c r="A1019" s="92" t="str">
        <f aca="false">Gov_Map!$H230&amp;""</f>
        <v>—</v>
      </c>
      <c r="B1019" s="65" t="s">
        <v>10484</v>
      </c>
      <c r="C1019" s="61" t="n">
        <v>230</v>
      </c>
      <c r="D1019" s="61" t="s">
        <v>10485</v>
      </c>
      <c r="E1019" s="61" t="s">
        <v>10485</v>
      </c>
      <c r="F1019" s="62" t="s">
        <v>809</v>
      </c>
    </row>
    <row r="1020" customFormat="false" ht="15" hidden="false" customHeight="false" outlineLevel="0" collapsed="false">
      <c r="A1020" s="92" t="str">
        <f aca="false">Gov_Map!$H231&amp;""</f>
        <v>SRC_PERF_035</v>
      </c>
      <c r="B1020" s="65" t="s">
        <v>10484</v>
      </c>
      <c r="C1020" s="61" t="n">
        <v>231</v>
      </c>
      <c r="D1020" s="61" t="s">
        <v>10485</v>
      </c>
      <c r="E1020" s="61" t="s">
        <v>10485</v>
      </c>
      <c r="F1020" s="62" t="s">
        <v>809</v>
      </c>
    </row>
    <row r="1021" customFormat="false" ht="15" hidden="false" customHeight="false" outlineLevel="0" collapsed="false">
      <c r="A1021" s="92" t="str">
        <f aca="false">Gov_Map!$H232&amp;""</f>
        <v>SRC_PERF_005</v>
      </c>
      <c r="B1021" s="65" t="s">
        <v>10484</v>
      </c>
      <c r="C1021" s="61" t="n">
        <v>232</v>
      </c>
      <c r="D1021" s="61" t="s">
        <v>10485</v>
      </c>
      <c r="E1021" s="61" t="s">
        <v>10485</v>
      </c>
      <c r="F1021" s="62" t="s">
        <v>809</v>
      </c>
    </row>
    <row r="1022" customFormat="false" ht="15" hidden="false" customHeight="false" outlineLevel="0" collapsed="false">
      <c r="A1022" s="92" t="str">
        <f aca="false">Gov_Map!$H233&amp;""</f>
        <v>—</v>
      </c>
      <c r="B1022" s="65" t="s">
        <v>10484</v>
      </c>
      <c r="C1022" s="61" t="n">
        <v>233</v>
      </c>
      <c r="D1022" s="61" t="s">
        <v>10485</v>
      </c>
      <c r="E1022" s="61" t="s">
        <v>10485</v>
      </c>
      <c r="F1022" s="62" t="s">
        <v>809</v>
      </c>
    </row>
    <row r="1023" customFormat="false" ht="15" hidden="false" customHeight="false" outlineLevel="0" collapsed="false">
      <c r="A1023" s="92" t="str">
        <f aca="false">Gov_Map!$H234&amp;""</f>
        <v>—</v>
      </c>
      <c r="B1023" s="65" t="s">
        <v>10484</v>
      </c>
      <c r="C1023" s="61" t="n">
        <v>234</v>
      </c>
      <c r="D1023" s="61" t="s">
        <v>10485</v>
      </c>
      <c r="E1023" s="61" t="s">
        <v>10485</v>
      </c>
      <c r="F1023" s="62" t="s">
        <v>809</v>
      </c>
    </row>
    <row r="1024" customFormat="false" ht="15" hidden="false" customHeight="false" outlineLevel="0" collapsed="false">
      <c r="A1024" s="92" t="str">
        <f aca="false">Gov_Map!$H235&amp;""</f>
        <v>—</v>
      </c>
      <c r="B1024" s="65" t="s">
        <v>10484</v>
      </c>
      <c r="C1024" s="61" t="n">
        <v>235</v>
      </c>
      <c r="D1024" s="61" t="s">
        <v>10485</v>
      </c>
      <c r="E1024" s="61" t="s">
        <v>10485</v>
      </c>
      <c r="F1024" s="62" t="s">
        <v>809</v>
      </c>
    </row>
    <row r="1025" customFormat="false" ht="15" hidden="false" customHeight="false" outlineLevel="0" collapsed="false">
      <c r="A1025" s="92" t="str">
        <f aca="false">Gov_Map!$H236&amp;""</f>
        <v>—</v>
      </c>
      <c r="B1025" s="65" t="s">
        <v>10484</v>
      </c>
      <c r="C1025" s="61" t="n">
        <v>236</v>
      </c>
      <c r="D1025" s="61" t="s">
        <v>10485</v>
      </c>
      <c r="E1025" s="61" t="s">
        <v>10485</v>
      </c>
      <c r="F1025" s="62" t="s">
        <v>809</v>
      </c>
    </row>
    <row r="1026" customFormat="false" ht="15" hidden="false" customHeight="false" outlineLevel="0" collapsed="false">
      <c r="A1026" s="92" t="str">
        <f aca="false">Gov_Map!$H237&amp;""</f>
        <v>—</v>
      </c>
      <c r="B1026" s="65" t="s">
        <v>10484</v>
      </c>
      <c r="C1026" s="61" t="n">
        <v>237</v>
      </c>
      <c r="D1026" s="61" t="s">
        <v>10485</v>
      </c>
      <c r="E1026" s="61" t="s">
        <v>10485</v>
      </c>
      <c r="F1026" s="62" t="s">
        <v>809</v>
      </c>
    </row>
    <row r="1027" customFormat="false" ht="15" hidden="false" customHeight="false" outlineLevel="0" collapsed="false">
      <c r="A1027" s="92" t="str">
        <f aca="false">Gov_Map!$H238&amp;""</f>
        <v>—</v>
      </c>
      <c r="B1027" s="65" t="s">
        <v>10484</v>
      </c>
      <c r="C1027" s="61" t="n">
        <v>238</v>
      </c>
      <c r="D1027" s="61" t="s">
        <v>10485</v>
      </c>
      <c r="E1027" s="61" t="s">
        <v>10485</v>
      </c>
      <c r="F1027" s="62" t="s">
        <v>809</v>
      </c>
    </row>
    <row r="1028" customFormat="false" ht="15" hidden="false" customHeight="false" outlineLevel="0" collapsed="false">
      <c r="A1028" s="92" t="str">
        <f aca="false">Gov_Map!$H239&amp;""</f>
        <v>—</v>
      </c>
      <c r="B1028" s="65" t="s">
        <v>10484</v>
      </c>
      <c r="C1028" s="61" t="n">
        <v>239</v>
      </c>
      <c r="D1028" s="61" t="s">
        <v>10485</v>
      </c>
      <c r="E1028" s="61" t="s">
        <v>10485</v>
      </c>
      <c r="F1028" s="62" t="s">
        <v>809</v>
      </c>
    </row>
    <row r="1029" customFormat="false" ht="15" hidden="false" customHeight="false" outlineLevel="0" collapsed="false">
      <c r="A1029" s="92" t="str">
        <f aca="false">Gov_Map!$H240&amp;""</f>
        <v>—</v>
      </c>
      <c r="B1029" s="65" t="s">
        <v>10484</v>
      </c>
      <c r="C1029" s="61" t="n">
        <v>240</v>
      </c>
      <c r="D1029" s="61" t="s">
        <v>10485</v>
      </c>
      <c r="E1029" s="61" t="s">
        <v>10485</v>
      </c>
      <c r="F1029" s="62" t="s">
        <v>809</v>
      </c>
    </row>
    <row r="1030" customFormat="false" ht="15" hidden="false" customHeight="false" outlineLevel="0" collapsed="false">
      <c r="A1030" s="92" t="str">
        <f aca="false">Gov_Map!$H241&amp;""</f>
        <v>—</v>
      </c>
      <c r="B1030" s="65" t="s">
        <v>10484</v>
      </c>
      <c r="C1030" s="61" t="n">
        <v>241</v>
      </c>
      <c r="D1030" s="61" t="s">
        <v>10485</v>
      </c>
      <c r="E1030" s="61" t="s">
        <v>10485</v>
      </c>
      <c r="F1030" s="62" t="s">
        <v>809</v>
      </c>
    </row>
    <row r="1031" customFormat="false" ht="15" hidden="false" customHeight="false" outlineLevel="0" collapsed="false">
      <c r="A1031" s="92" t="str">
        <f aca="false">Gov_Map!$H242&amp;""</f>
        <v>—</v>
      </c>
      <c r="B1031" s="65" t="s">
        <v>10484</v>
      </c>
      <c r="C1031" s="61" t="n">
        <v>242</v>
      </c>
      <c r="D1031" s="61" t="s">
        <v>10485</v>
      </c>
      <c r="E1031" s="61" t="s">
        <v>10485</v>
      </c>
      <c r="F1031" s="62" t="s">
        <v>809</v>
      </c>
    </row>
    <row r="1032" customFormat="false" ht="15" hidden="false" customHeight="false" outlineLevel="0" collapsed="false">
      <c r="A1032" s="92" t="str">
        <f aca="false">Gov_Map!$H243&amp;""</f>
        <v>SRC_PERF_066</v>
      </c>
      <c r="B1032" s="65" t="s">
        <v>10484</v>
      </c>
      <c r="C1032" s="61" t="n">
        <v>243</v>
      </c>
      <c r="D1032" s="61" t="s">
        <v>10485</v>
      </c>
      <c r="E1032" s="61" t="s">
        <v>10485</v>
      </c>
      <c r="F1032" s="62" t="s">
        <v>809</v>
      </c>
    </row>
    <row r="1033" customFormat="false" ht="15" hidden="false" customHeight="false" outlineLevel="0" collapsed="false">
      <c r="A1033" s="92" t="str">
        <f aca="false">Gov_Map!$H244&amp;""</f>
        <v>SRC_PERF_068</v>
      </c>
      <c r="B1033" s="65" t="s">
        <v>10484</v>
      </c>
      <c r="C1033" s="61" t="n">
        <v>244</v>
      </c>
      <c r="D1033" s="61" t="s">
        <v>10485</v>
      </c>
      <c r="E1033" s="61" t="s">
        <v>10485</v>
      </c>
      <c r="F1033" s="62" t="s">
        <v>809</v>
      </c>
    </row>
    <row r="1034" customFormat="false" ht="15" hidden="false" customHeight="false" outlineLevel="0" collapsed="false">
      <c r="A1034" s="92" t="str">
        <f aca="false">Gov_Map!$H245&amp;""</f>
        <v>SRC_PERF_070</v>
      </c>
      <c r="B1034" s="65" t="s">
        <v>10484</v>
      </c>
      <c r="C1034" s="61" t="n">
        <v>245</v>
      </c>
      <c r="D1034" s="61" t="s">
        <v>10485</v>
      </c>
      <c r="E1034" s="61" t="s">
        <v>10485</v>
      </c>
      <c r="F1034" s="62" t="s">
        <v>809</v>
      </c>
    </row>
    <row r="1035" customFormat="false" ht="15" hidden="false" customHeight="false" outlineLevel="0" collapsed="false">
      <c r="A1035" s="92" t="str">
        <f aca="false">Gov_Map!$H246&amp;""</f>
        <v>—</v>
      </c>
      <c r="B1035" s="65" t="s">
        <v>10484</v>
      </c>
      <c r="C1035" s="61" t="n">
        <v>246</v>
      </c>
      <c r="D1035" s="61" t="s">
        <v>10485</v>
      </c>
      <c r="E1035" s="61" t="s">
        <v>10485</v>
      </c>
      <c r="F1035" s="62" t="s">
        <v>809</v>
      </c>
    </row>
    <row r="1036" customFormat="false" ht="15" hidden="false" customHeight="false" outlineLevel="0" collapsed="false">
      <c r="A1036" s="92" t="str">
        <f aca="false">Gov_Map!$H247&amp;""</f>
        <v>—</v>
      </c>
      <c r="B1036" s="65" t="s">
        <v>10484</v>
      </c>
      <c r="C1036" s="61" t="n">
        <v>247</v>
      </c>
      <c r="D1036" s="61" t="s">
        <v>10485</v>
      </c>
      <c r="E1036" s="61" t="s">
        <v>10485</v>
      </c>
      <c r="F1036" s="62" t="s">
        <v>809</v>
      </c>
    </row>
    <row r="1037" customFormat="false" ht="15" hidden="false" customHeight="false" outlineLevel="0" collapsed="false">
      <c r="A1037" s="92" t="str">
        <f aca="false">Gov_Map!$H248&amp;""</f>
        <v>—</v>
      </c>
      <c r="B1037" s="65" t="s">
        <v>10484</v>
      </c>
      <c r="C1037" s="61" t="n">
        <v>248</v>
      </c>
      <c r="D1037" s="61" t="s">
        <v>10485</v>
      </c>
      <c r="E1037" s="61" t="s">
        <v>10485</v>
      </c>
      <c r="F1037" s="62" t="s">
        <v>809</v>
      </c>
    </row>
    <row r="1038" customFormat="false" ht="15" hidden="false" customHeight="false" outlineLevel="0" collapsed="false">
      <c r="A1038" s="92" t="str">
        <f aca="false">Gov_Map!$H249&amp;""</f>
        <v>SRC_DEM_014</v>
      </c>
      <c r="B1038" s="65" t="s">
        <v>10484</v>
      </c>
      <c r="C1038" s="61" t="n">
        <v>249</v>
      </c>
      <c r="D1038" s="61" t="s">
        <v>10485</v>
      </c>
      <c r="E1038" s="61" t="s">
        <v>10485</v>
      </c>
      <c r="F1038" s="62" t="s">
        <v>809</v>
      </c>
    </row>
    <row r="1039" customFormat="false" ht="15" hidden="false" customHeight="false" outlineLevel="0" collapsed="false">
      <c r="A1039" s="92" t="str">
        <f aca="false">Gov_Map!$H250&amp;""</f>
        <v>SRC_DEM_014</v>
      </c>
      <c r="B1039" s="65" t="s">
        <v>10484</v>
      </c>
      <c r="C1039" s="61" t="n">
        <v>250</v>
      </c>
      <c r="D1039" s="61" t="s">
        <v>10485</v>
      </c>
      <c r="E1039" s="61" t="s">
        <v>10485</v>
      </c>
      <c r="F1039" s="62" t="s">
        <v>809</v>
      </c>
    </row>
    <row r="1040" customFormat="false" ht="15" hidden="false" customHeight="false" outlineLevel="0" collapsed="false">
      <c r="A1040" s="92" t="str">
        <f aca="false">Gov_Map!$H251&amp;""</f>
        <v>SRC_DEM_014</v>
      </c>
      <c r="B1040" s="65" t="s">
        <v>10484</v>
      </c>
      <c r="C1040" s="61" t="n">
        <v>251</v>
      </c>
      <c r="D1040" s="61" t="s">
        <v>10485</v>
      </c>
      <c r="E1040" s="61" t="s">
        <v>10485</v>
      </c>
      <c r="F1040" s="62" t="s">
        <v>809</v>
      </c>
    </row>
    <row r="1041" customFormat="false" ht="15" hidden="false" customHeight="false" outlineLevel="0" collapsed="false">
      <c r="A1041" s="92" t="str">
        <f aca="false">Gov_Map!$H252&amp;""</f>
        <v>SRC_DEM_014</v>
      </c>
      <c r="B1041" s="65" t="s">
        <v>10484</v>
      </c>
      <c r="C1041" s="61" t="n">
        <v>252</v>
      </c>
      <c r="D1041" s="61" t="s">
        <v>10485</v>
      </c>
      <c r="E1041" s="61" t="s">
        <v>10485</v>
      </c>
      <c r="F1041" s="62" t="s">
        <v>809</v>
      </c>
    </row>
    <row r="1042" customFormat="false" ht="15" hidden="false" customHeight="false" outlineLevel="0" collapsed="false">
      <c r="A1042" s="92" t="str">
        <f aca="false">Gov_Map!$H253&amp;""</f>
        <v>SRC_DEM_014</v>
      </c>
      <c r="B1042" s="65" t="s">
        <v>10484</v>
      </c>
      <c r="C1042" s="61" t="n">
        <v>253</v>
      </c>
      <c r="D1042" s="61" t="s">
        <v>10485</v>
      </c>
      <c r="E1042" s="61" t="s">
        <v>10485</v>
      </c>
      <c r="F1042" s="62" t="s">
        <v>809</v>
      </c>
    </row>
    <row r="1043" customFormat="false" ht="15" hidden="false" customHeight="false" outlineLevel="0" collapsed="false">
      <c r="A1043" s="92" t="str">
        <f aca="false">Gov_Map!$H254&amp;""</f>
        <v>SRC_DEM_014</v>
      </c>
      <c r="B1043" s="65" t="s">
        <v>10484</v>
      </c>
      <c r="C1043" s="61" t="n">
        <v>254</v>
      </c>
      <c r="D1043" s="61" t="s">
        <v>10485</v>
      </c>
      <c r="E1043" s="61" t="s">
        <v>10485</v>
      </c>
      <c r="F1043" s="62" t="s">
        <v>809</v>
      </c>
    </row>
    <row r="1044" customFormat="false" ht="15" hidden="false" customHeight="false" outlineLevel="0" collapsed="false">
      <c r="A1044" s="92" t="str">
        <f aca="false">Gov_Map!$H255&amp;""</f>
        <v>—</v>
      </c>
      <c r="B1044" s="65" t="s">
        <v>10484</v>
      </c>
      <c r="C1044" s="61" t="n">
        <v>255</v>
      </c>
      <c r="D1044" s="61" t="s">
        <v>10485</v>
      </c>
      <c r="E1044" s="61" t="s">
        <v>10485</v>
      </c>
      <c r="F1044" s="62" t="s">
        <v>809</v>
      </c>
    </row>
    <row r="1045" customFormat="false" ht="15" hidden="false" customHeight="false" outlineLevel="0" collapsed="false">
      <c r="A1045" s="92" t="str">
        <f aca="false">Gov_Map!$H256&amp;""</f>
        <v>—</v>
      </c>
      <c r="B1045" s="65" t="s">
        <v>10484</v>
      </c>
      <c r="C1045" s="61" t="n">
        <v>256</v>
      </c>
      <c r="D1045" s="61" t="s">
        <v>10485</v>
      </c>
      <c r="E1045" s="61" t="s">
        <v>10485</v>
      </c>
      <c r="F1045" s="62" t="s">
        <v>809</v>
      </c>
    </row>
    <row r="1046" customFormat="false" ht="15" hidden="false" customHeight="false" outlineLevel="0" collapsed="false">
      <c r="A1046" s="92" t="str">
        <f aca="false">Gov_Map!$H257&amp;""</f>
        <v>—</v>
      </c>
      <c r="B1046" s="65" t="s">
        <v>10484</v>
      </c>
      <c r="C1046" s="61" t="n">
        <v>257</v>
      </c>
      <c r="D1046" s="61" t="s">
        <v>10485</v>
      </c>
      <c r="E1046" s="61" t="s">
        <v>10485</v>
      </c>
      <c r="F1046" s="62" t="s">
        <v>809</v>
      </c>
    </row>
    <row r="1047" customFormat="false" ht="15" hidden="false" customHeight="false" outlineLevel="0" collapsed="false">
      <c r="A1047" s="92" t="str">
        <f aca="false">Gov_Map!$H258&amp;""</f>
        <v>—</v>
      </c>
      <c r="B1047" s="65" t="s">
        <v>10484</v>
      </c>
      <c r="C1047" s="61" t="n">
        <v>258</v>
      </c>
      <c r="D1047" s="61" t="s">
        <v>10485</v>
      </c>
      <c r="E1047" s="61" t="s">
        <v>10485</v>
      </c>
      <c r="F1047" s="62" t="s">
        <v>809</v>
      </c>
    </row>
    <row r="1048" customFormat="false" ht="15" hidden="false" customHeight="false" outlineLevel="0" collapsed="false">
      <c r="A1048" s="92" t="str">
        <f aca="false">Gov_Map!$H259&amp;""</f>
        <v>—</v>
      </c>
      <c r="B1048" s="65" t="s">
        <v>10484</v>
      </c>
      <c r="C1048" s="61" t="n">
        <v>259</v>
      </c>
      <c r="D1048" s="61" t="s">
        <v>10485</v>
      </c>
      <c r="E1048" s="61" t="s">
        <v>10485</v>
      </c>
      <c r="F1048" s="62" t="s">
        <v>809</v>
      </c>
    </row>
    <row r="1049" customFormat="false" ht="15" hidden="false" customHeight="false" outlineLevel="0" collapsed="false">
      <c r="A1049" s="92" t="str">
        <f aca="false">Gov_Map!$H260&amp;""</f>
        <v>—</v>
      </c>
      <c r="B1049" s="65" t="s">
        <v>10484</v>
      </c>
      <c r="C1049" s="61" t="n">
        <v>260</v>
      </c>
      <c r="D1049" s="61" t="s">
        <v>10485</v>
      </c>
      <c r="E1049" s="61" t="s">
        <v>10485</v>
      </c>
      <c r="F1049" s="62" t="s">
        <v>809</v>
      </c>
    </row>
    <row r="1050" customFormat="false" ht="15" hidden="false" customHeight="false" outlineLevel="0" collapsed="false">
      <c r="A1050" s="92" t="str">
        <f aca="false">Gov_Map!$H261&amp;""</f>
        <v>—</v>
      </c>
      <c r="B1050" s="65" t="s">
        <v>10484</v>
      </c>
      <c r="C1050" s="61" t="n">
        <v>261</v>
      </c>
      <c r="D1050" s="61" t="s">
        <v>10485</v>
      </c>
      <c r="E1050" s="61" t="s">
        <v>10485</v>
      </c>
      <c r="F1050" s="62" t="s">
        <v>809</v>
      </c>
    </row>
    <row r="1051" customFormat="false" ht="15" hidden="false" customHeight="false" outlineLevel="0" collapsed="false">
      <c r="A1051" s="92" t="str">
        <f aca="false">Gov_Map!$H262&amp;""</f>
        <v>—</v>
      </c>
      <c r="B1051" s="65" t="s">
        <v>10484</v>
      </c>
      <c r="C1051" s="61" t="n">
        <v>262</v>
      </c>
      <c r="D1051" s="61" t="s">
        <v>10485</v>
      </c>
      <c r="E1051" s="61" t="s">
        <v>10485</v>
      </c>
      <c r="F1051" s="62" t="s">
        <v>809</v>
      </c>
    </row>
    <row r="1052" customFormat="false" ht="15" hidden="false" customHeight="false" outlineLevel="0" collapsed="false">
      <c r="A1052" s="92" t="str">
        <f aca="false">Gov_Map!$H263&amp;""</f>
        <v>—</v>
      </c>
      <c r="B1052" s="65" t="s">
        <v>10484</v>
      </c>
      <c r="C1052" s="61" t="n">
        <v>263</v>
      </c>
      <c r="D1052" s="61" t="s">
        <v>10485</v>
      </c>
      <c r="E1052" s="61" t="s">
        <v>10485</v>
      </c>
      <c r="F1052" s="62" t="s">
        <v>809</v>
      </c>
    </row>
    <row r="1053" customFormat="false" ht="15" hidden="false" customHeight="false" outlineLevel="0" collapsed="false">
      <c r="A1053" s="92" t="str">
        <f aca="false">Gov_Map!$H264&amp;""</f>
        <v>—</v>
      </c>
      <c r="B1053" s="65" t="s">
        <v>10484</v>
      </c>
      <c r="C1053" s="61" t="n">
        <v>264</v>
      </c>
      <c r="D1053" s="61" t="s">
        <v>10485</v>
      </c>
      <c r="E1053" s="61" t="s">
        <v>10485</v>
      </c>
      <c r="F1053" s="62" t="s">
        <v>809</v>
      </c>
    </row>
    <row r="1054" customFormat="false" ht="15" hidden="false" customHeight="false" outlineLevel="0" collapsed="false">
      <c r="A1054" s="92" t="str">
        <f aca="false">Gov_Map!$H265&amp;""</f>
        <v>—</v>
      </c>
      <c r="B1054" s="65" t="s">
        <v>10484</v>
      </c>
      <c r="C1054" s="61" t="n">
        <v>265</v>
      </c>
      <c r="D1054" s="61" t="s">
        <v>10485</v>
      </c>
      <c r="E1054" s="61" t="s">
        <v>10485</v>
      </c>
      <c r="F1054" s="62" t="s">
        <v>809</v>
      </c>
    </row>
    <row r="1055" customFormat="false" ht="15" hidden="false" customHeight="false" outlineLevel="0" collapsed="false">
      <c r="A1055" s="92" t="str">
        <f aca="false">Gov_Map!$H266&amp;""</f>
        <v>—</v>
      </c>
      <c r="B1055" s="65" t="s">
        <v>10484</v>
      </c>
      <c r="C1055" s="61" t="n">
        <v>266</v>
      </c>
      <c r="D1055" s="61" t="s">
        <v>10485</v>
      </c>
      <c r="E1055" s="61" t="s">
        <v>10485</v>
      </c>
      <c r="F1055" s="62" t="s">
        <v>809</v>
      </c>
    </row>
    <row r="1056" customFormat="false" ht="15" hidden="false" customHeight="false" outlineLevel="0" collapsed="false">
      <c r="A1056" s="92" t="str">
        <f aca="false">Gov_Map!$H267&amp;""</f>
        <v>—</v>
      </c>
      <c r="B1056" s="65" t="s">
        <v>10484</v>
      </c>
      <c r="C1056" s="61" t="n">
        <v>267</v>
      </c>
      <c r="D1056" s="61" t="s">
        <v>10485</v>
      </c>
      <c r="E1056" s="61" t="s">
        <v>10485</v>
      </c>
      <c r="F1056" s="62" t="s">
        <v>809</v>
      </c>
    </row>
    <row r="1057" customFormat="false" ht="15" hidden="false" customHeight="false" outlineLevel="0" collapsed="false">
      <c r="A1057" s="92" t="str">
        <f aca="false">Gov_Map!$H268&amp;""</f>
        <v>—</v>
      </c>
      <c r="B1057" s="65" t="s">
        <v>10484</v>
      </c>
      <c r="C1057" s="61" t="n">
        <v>268</v>
      </c>
      <c r="D1057" s="61" t="s">
        <v>10485</v>
      </c>
      <c r="E1057" s="61" t="s">
        <v>10485</v>
      </c>
      <c r="F1057" s="62" t="s">
        <v>809</v>
      </c>
    </row>
    <row r="1058" customFormat="false" ht="15" hidden="false" customHeight="false" outlineLevel="0" collapsed="false">
      <c r="A1058" s="92" t="str">
        <f aca="false">Gov_Map!$H269&amp;""</f>
        <v>—</v>
      </c>
      <c r="B1058" s="65" t="s">
        <v>10484</v>
      </c>
      <c r="C1058" s="61" t="n">
        <v>269</v>
      </c>
      <c r="D1058" s="61" t="s">
        <v>10485</v>
      </c>
      <c r="E1058" s="61" t="s">
        <v>10485</v>
      </c>
      <c r="F1058" s="62" t="s">
        <v>809</v>
      </c>
    </row>
    <row r="1059" customFormat="false" ht="15" hidden="false" customHeight="false" outlineLevel="0" collapsed="false">
      <c r="A1059" s="92" t="str">
        <f aca="false">Gov_Map!$H270&amp;""</f>
        <v>—</v>
      </c>
      <c r="B1059" s="65" t="s">
        <v>10484</v>
      </c>
      <c r="C1059" s="61" t="n">
        <v>270</v>
      </c>
      <c r="D1059" s="61" t="s">
        <v>10485</v>
      </c>
      <c r="E1059" s="61" t="s">
        <v>10485</v>
      </c>
      <c r="F1059" s="62" t="s">
        <v>809</v>
      </c>
    </row>
    <row r="1060" customFormat="false" ht="15" hidden="false" customHeight="false" outlineLevel="0" collapsed="false">
      <c r="A1060" s="92" t="str">
        <f aca="false">Gov_Map!$H271&amp;""</f>
        <v>—</v>
      </c>
      <c r="B1060" s="65" t="s">
        <v>10484</v>
      </c>
      <c r="C1060" s="61" t="n">
        <v>271</v>
      </c>
      <c r="D1060" s="61" t="s">
        <v>10485</v>
      </c>
      <c r="E1060" s="61" t="s">
        <v>10485</v>
      </c>
      <c r="F1060" s="62" t="s">
        <v>809</v>
      </c>
    </row>
    <row r="1061" customFormat="false" ht="15" hidden="false" customHeight="false" outlineLevel="0" collapsed="false">
      <c r="A1061" s="92" t="str">
        <f aca="false">Gov_Map!$H272&amp;""</f>
        <v>—</v>
      </c>
      <c r="B1061" s="65" t="s">
        <v>10484</v>
      </c>
      <c r="C1061" s="61" t="n">
        <v>272</v>
      </c>
      <c r="D1061" s="61" t="s">
        <v>10485</v>
      </c>
      <c r="E1061" s="61" t="s">
        <v>10485</v>
      </c>
      <c r="F1061" s="62" t="s">
        <v>809</v>
      </c>
    </row>
    <row r="1062" customFormat="false" ht="15" hidden="false" customHeight="false" outlineLevel="0" collapsed="false">
      <c r="A1062" s="92" t="str">
        <f aca="false">Gov_Map!$H273&amp;""</f>
        <v>—</v>
      </c>
      <c r="B1062" s="65" t="s">
        <v>10484</v>
      </c>
      <c r="C1062" s="61" t="n">
        <v>273</v>
      </c>
      <c r="D1062" s="61" t="s">
        <v>10485</v>
      </c>
      <c r="E1062" s="61" t="s">
        <v>10485</v>
      </c>
      <c r="F1062" s="62" t="s">
        <v>809</v>
      </c>
    </row>
    <row r="1063" customFormat="false" ht="15" hidden="false" customHeight="false" outlineLevel="0" collapsed="false">
      <c r="A1063" s="92" t="str">
        <f aca="false">Gov_Map!$H274&amp;""</f>
        <v>—</v>
      </c>
      <c r="B1063" s="65" t="s">
        <v>10484</v>
      </c>
      <c r="C1063" s="61" t="n">
        <v>274</v>
      </c>
      <c r="D1063" s="61" t="s">
        <v>10485</v>
      </c>
      <c r="E1063" s="61" t="s">
        <v>10485</v>
      </c>
      <c r="F1063" s="62" t="s">
        <v>809</v>
      </c>
    </row>
    <row r="1064" customFormat="false" ht="15" hidden="false" customHeight="false" outlineLevel="0" collapsed="false">
      <c r="A1064" s="92" t="str">
        <f aca="false">Gov_Map!$H275&amp;""</f>
        <v>—</v>
      </c>
      <c r="B1064" s="65" t="s">
        <v>10484</v>
      </c>
      <c r="C1064" s="61" t="n">
        <v>275</v>
      </c>
      <c r="D1064" s="61" t="s">
        <v>10485</v>
      </c>
      <c r="E1064" s="61" t="s">
        <v>10485</v>
      </c>
      <c r="F1064" s="62" t="s">
        <v>809</v>
      </c>
    </row>
    <row r="1065" customFormat="false" ht="15" hidden="false" customHeight="false" outlineLevel="0" collapsed="false">
      <c r="A1065" s="92" t="str">
        <f aca="false">Gov_Map!$H276&amp;""</f>
        <v>—</v>
      </c>
      <c r="B1065" s="65" t="s">
        <v>10484</v>
      </c>
      <c r="C1065" s="61" t="n">
        <v>276</v>
      </c>
      <c r="D1065" s="61" t="s">
        <v>10485</v>
      </c>
      <c r="E1065" s="61" t="s">
        <v>10485</v>
      </c>
      <c r="F1065" s="62" t="s">
        <v>809</v>
      </c>
    </row>
    <row r="1066" customFormat="false" ht="15" hidden="false" customHeight="false" outlineLevel="0" collapsed="false">
      <c r="A1066" s="92" t="str">
        <f aca="false">Gov_Map!$H277&amp;""</f>
        <v>—</v>
      </c>
      <c r="B1066" s="65" t="s">
        <v>10484</v>
      </c>
      <c r="C1066" s="61" t="n">
        <v>277</v>
      </c>
      <c r="D1066" s="61" t="s">
        <v>10485</v>
      </c>
      <c r="E1066" s="61" t="s">
        <v>10485</v>
      </c>
      <c r="F1066" s="62" t="s">
        <v>809</v>
      </c>
    </row>
    <row r="1067" customFormat="false" ht="15" hidden="false" customHeight="false" outlineLevel="0" collapsed="false">
      <c r="A1067" s="92" t="str">
        <f aca="false">Gov_Map!$H278&amp;""</f>
        <v>—</v>
      </c>
      <c r="B1067" s="65" t="s">
        <v>10484</v>
      </c>
      <c r="C1067" s="61" t="n">
        <v>278</v>
      </c>
      <c r="D1067" s="61" t="s">
        <v>10485</v>
      </c>
      <c r="E1067" s="61" t="s">
        <v>10485</v>
      </c>
      <c r="F1067" s="62" t="s">
        <v>809</v>
      </c>
    </row>
    <row r="1068" customFormat="false" ht="15" hidden="false" customHeight="false" outlineLevel="0" collapsed="false">
      <c r="A1068" s="92" t="str">
        <f aca="false">Gov_Map!$H279&amp;""</f>
        <v>—</v>
      </c>
      <c r="B1068" s="65" t="s">
        <v>10484</v>
      </c>
      <c r="C1068" s="61" t="n">
        <v>279</v>
      </c>
      <c r="D1068" s="61" t="s">
        <v>10485</v>
      </c>
      <c r="E1068" s="61" t="s">
        <v>10485</v>
      </c>
      <c r="F1068" s="62" t="s">
        <v>809</v>
      </c>
    </row>
    <row r="1069" customFormat="false" ht="15" hidden="false" customHeight="false" outlineLevel="0" collapsed="false">
      <c r="A1069" s="92" t="str">
        <f aca="false">Gov_Map!$H280&amp;""</f>
        <v>—</v>
      </c>
      <c r="B1069" s="65" t="s">
        <v>10484</v>
      </c>
      <c r="C1069" s="61" t="n">
        <v>280</v>
      </c>
      <c r="D1069" s="61" t="s">
        <v>10485</v>
      </c>
      <c r="E1069" s="61" t="s">
        <v>10485</v>
      </c>
      <c r="F1069" s="62" t="s">
        <v>809</v>
      </c>
    </row>
    <row r="1070" customFormat="false" ht="15" hidden="false" customHeight="false" outlineLevel="0" collapsed="false">
      <c r="A1070" s="92" t="str">
        <f aca="false">Gov_Map!$H281&amp;""</f>
        <v>—</v>
      </c>
      <c r="B1070" s="65" t="s">
        <v>10484</v>
      </c>
      <c r="C1070" s="61" t="n">
        <v>281</v>
      </c>
      <c r="D1070" s="61" t="s">
        <v>10485</v>
      </c>
      <c r="E1070" s="61" t="s">
        <v>10485</v>
      </c>
      <c r="F1070" s="62" t="s">
        <v>809</v>
      </c>
    </row>
    <row r="1071" customFormat="false" ht="15" hidden="false" customHeight="false" outlineLevel="0" collapsed="false">
      <c r="A1071" s="92" t="str">
        <f aca="false">Gov_Map!$H282&amp;""</f>
        <v>—</v>
      </c>
      <c r="B1071" s="65" t="s">
        <v>10484</v>
      </c>
      <c r="C1071" s="61" t="n">
        <v>282</v>
      </c>
      <c r="D1071" s="61" t="s">
        <v>10485</v>
      </c>
      <c r="E1071" s="61" t="s">
        <v>10485</v>
      </c>
      <c r="F1071" s="62" t="s">
        <v>809</v>
      </c>
    </row>
    <row r="1072" customFormat="false" ht="15" hidden="false" customHeight="false" outlineLevel="0" collapsed="false">
      <c r="A1072" s="92" t="str">
        <f aca="false">Gov_Map!$H283&amp;""</f>
        <v>—</v>
      </c>
      <c r="B1072" s="65" t="s">
        <v>10484</v>
      </c>
      <c r="C1072" s="61" t="n">
        <v>283</v>
      </c>
      <c r="D1072" s="61" t="s">
        <v>10485</v>
      </c>
      <c r="E1072" s="61" t="s">
        <v>10485</v>
      </c>
      <c r="F1072" s="62" t="s">
        <v>809</v>
      </c>
    </row>
    <row r="1073" customFormat="false" ht="15" hidden="false" customHeight="false" outlineLevel="0" collapsed="false">
      <c r="A1073" s="92" t="str">
        <f aca="false">Gov_Map!$H284&amp;""</f>
        <v>—</v>
      </c>
      <c r="B1073" s="65" t="s">
        <v>10484</v>
      </c>
      <c r="C1073" s="61" t="n">
        <v>284</v>
      </c>
      <c r="D1073" s="61" t="s">
        <v>10485</v>
      </c>
      <c r="E1073" s="61" t="s">
        <v>10485</v>
      </c>
      <c r="F1073" s="62" t="s">
        <v>809</v>
      </c>
    </row>
    <row r="1074" customFormat="false" ht="15" hidden="false" customHeight="false" outlineLevel="0" collapsed="false">
      <c r="A1074" s="92" t="str">
        <f aca="false">Gov_Map!$H285&amp;""</f>
        <v>—</v>
      </c>
      <c r="B1074" s="65" t="s">
        <v>10484</v>
      </c>
      <c r="C1074" s="61" t="n">
        <v>285</v>
      </c>
      <c r="D1074" s="61" t="s">
        <v>10485</v>
      </c>
      <c r="E1074" s="61" t="s">
        <v>10485</v>
      </c>
      <c r="F1074" s="62" t="s">
        <v>809</v>
      </c>
    </row>
    <row r="1075" customFormat="false" ht="15" hidden="false" customHeight="false" outlineLevel="0" collapsed="false">
      <c r="A1075" s="92" t="str">
        <f aca="false">Gov_Map!$H286&amp;""</f>
        <v>—</v>
      </c>
      <c r="B1075" s="65" t="s">
        <v>10484</v>
      </c>
      <c r="C1075" s="61" t="n">
        <v>286</v>
      </c>
      <c r="D1075" s="61" t="s">
        <v>10485</v>
      </c>
      <c r="E1075" s="61" t="s">
        <v>10485</v>
      </c>
      <c r="F1075" s="62" t="s">
        <v>809</v>
      </c>
    </row>
    <row r="1076" customFormat="false" ht="15" hidden="false" customHeight="false" outlineLevel="0" collapsed="false">
      <c r="A1076" s="92" t="str">
        <f aca="false">Gov_Map!$H287&amp;""</f>
        <v>—</v>
      </c>
      <c r="B1076" s="65" t="s">
        <v>10484</v>
      </c>
      <c r="C1076" s="61" t="n">
        <v>287</v>
      </c>
      <c r="D1076" s="61" t="s">
        <v>10485</v>
      </c>
      <c r="E1076" s="61" t="s">
        <v>10485</v>
      </c>
      <c r="F1076" s="62" t="s">
        <v>809</v>
      </c>
    </row>
    <row r="1077" customFormat="false" ht="15" hidden="false" customHeight="false" outlineLevel="0" collapsed="false">
      <c r="A1077" s="92" t="str">
        <f aca="false">Gov_Map!$H288&amp;""</f>
        <v>—</v>
      </c>
      <c r="B1077" s="65" t="s">
        <v>10484</v>
      </c>
      <c r="C1077" s="61" t="n">
        <v>288</v>
      </c>
      <c r="D1077" s="61" t="s">
        <v>10485</v>
      </c>
      <c r="E1077" s="61" t="s">
        <v>10485</v>
      </c>
      <c r="F1077" s="62" t="s">
        <v>809</v>
      </c>
    </row>
    <row r="1078" customFormat="false" ht="15" hidden="false" customHeight="false" outlineLevel="0" collapsed="false">
      <c r="A1078" s="92" t="str">
        <f aca="false">Gov_Map!$H289&amp;""</f>
        <v>—</v>
      </c>
      <c r="B1078" s="65" t="s">
        <v>10484</v>
      </c>
      <c r="C1078" s="61" t="n">
        <v>289</v>
      </c>
      <c r="D1078" s="61" t="s">
        <v>10485</v>
      </c>
      <c r="E1078" s="61" t="s">
        <v>10485</v>
      </c>
      <c r="F1078" s="62" t="s">
        <v>809</v>
      </c>
    </row>
    <row r="1079" customFormat="false" ht="15" hidden="false" customHeight="false" outlineLevel="0" collapsed="false">
      <c r="A1079" s="92" t="str">
        <f aca="false">Gov_Map!$H290&amp;""</f>
        <v>—</v>
      </c>
      <c r="B1079" s="65" t="s">
        <v>10484</v>
      </c>
      <c r="C1079" s="61" t="n">
        <v>290</v>
      </c>
      <c r="D1079" s="61" t="s">
        <v>10485</v>
      </c>
      <c r="E1079" s="61" t="s">
        <v>10485</v>
      </c>
      <c r="F1079" s="62" t="s">
        <v>809</v>
      </c>
    </row>
    <row r="1080" customFormat="false" ht="15" hidden="false" customHeight="false" outlineLevel="0" collapsed="false">
      <c r="A1080" s="92" t="str">
        <f aca="false">Gov_Map!$H291&amp;""</f>
        <v>—</v>
      </c>
      <c r="B1080" s="65" t="s">
        <v>10484</v>
      </c>
      <c r="C1080" s="61" t="n">
        <v>291</v>
      </c>
      <c r="D1080" s="61" t="s">
        <v>10485</v>
      </c>
      <c r="E1080" s="61" t="s">
        <v>10485</v>
      </c>
      <c r="F1080" s="62" t="s">
        <v>809</v>
      </c>
    </row>
    <row r="1081" customFormat="false" ht="15" hidden="false" customHeight="false" outlineLevel="0" collapsed="false">
      <c r="A1081" s="92" t="str">
        <f aca="false">Gov_Map!$H292&amp;""</f>
        <v>—</v>
      </c>
      <c r="B1081" s="65" t="s">
        <v>10484</v>
      </c>
      <c r="C1081" s="61" t="n">
        <v>292</v>
      </c>
      <c r="D1081" s="61" t="s">
        <v>10485</v>
      </c>
      <c r="E1081" s="61" t="s">
        <v>10485</v>
      </c>
      <c r="F1081" s="62" t="s">
        <v>809</v>
      </c>
    </row>
    <row r="1082" customFormat="false" ht="15" hidden="false" customHeight="false" outlineLevel="0" collapsed="false">
      <c r="A1082" s="92" t="str">
        <f aca="false">Gov_Map!$H293&amp;""</f>
        <v>—</v>
      </c>
      <c r="B1082" s="65" t="s">
        <v>10484</v>
      </c>
      <c r="C1082" s="61" t="n">
        <v>293</v>
      </c>
      <c r="D1082" s="61" t="s">
        <v>10485</v>
      </c>
      <c r="E1082" s="61" t="s">
        <v>10485</v>
      </c>
      <c r="F1082" s="62" t="s">
        <v>809</v>
      </c>
    </row>
    <row r="1083" customFormat="false" ht="15" hidden="false" customHeight="false" outlineLevel="0" collapsed="false">
      <c r="A1083" s="92" t="str">
        <f aca="false">Gov_Map!$H294&amp;""</f>
        <v>—</v>
      </c>
      <c r="B1083" s="65" t="s">
        <v>10484</v>
      </c>
      <c r="C1083" s="61" t="n">
        <v>294</v>
      </c>
      <c r="D1083" s="61" t="s">
        <v>10485</v>
      </c>
      <c r="E1083" s="61" t="s">
        <v>10485</v>
      </c>
      <c r="F1083" s="62" t="s">
        <v>809</v>
      </c>
    </row>
    <row r="1084" customFormat="false" ht="15" hidden="false" customHeight="false" outlineLevel="0" collapsed="false">
      <c r="A1084" s="92" t="str">
        <f aca="false">Gov_Map!$H295&amp;""</f>
        <v>—</v>
      </c>
      <c r="B1084" s="65" t="s">
        <v>10484</v>
      </c>
      <c r="C1084" s="61" t="n">
        <v>295</v>
      </c>
      <c r="D1084" s="61" t="s">
        <v>10485</v>
      </c>
      <c r="E1084" s="61" t="s">
        <v>10485</v>
      </c>
      <c r="F1084" s="62" t="s">
        <v>809</v>
      </c>
    </row>
    <row r="1085" customFormat="false" ht="15" hidden="false" customHeight="false" outlineLevel="0" collapsed="false">
      <c r="A1085" s="92" t="str">
        <f aca="false">Gov_Map!$H296&amp;""</f>
        <v>—</v>
      </c>
      <c r="B1085" s="65" t="s">
        <v>10484</v>
      </c>
      <c r="C1085" s="61" t="n">
        <v>296</v>
      </c>
      <c r="D1085" s="61" t="s">
        <v>10485</v>
      </c>
      <c r="E1085" s="61" t="s">
        <v>10485</v>
      </c>
      <c r="F1085" s="62" t="s">
        <v>809</v>
      </c>
    </row>
    <row r="1086" customFormat="false" ht="15" hidden="false" customHeight="false" outlineLevel="0" collapsed="false">
      <c r="A1086" s="92" t="str">
        <f aca="false">Gov_Map!$H297&amp;""</f>
        <v>—</v>
      </c>
      <c r="B1086" s="65" t="s">
        <v>10484</v>
      </c>
      <c r="C1086" s="61" t="n">
        <v>297</v>
      </c>
      <c r="D1086" s="61" t="s">
        <v>10485</v>
      </c>
      <c r="E1086" s="61" t="s">
        <v>10485</v>
      </c>
      <c r="F1086" s="62" t="s">
        <v>809</v>
      </c>
    </row>
    <row r="1087" customFormat="false" ht="15" hidden="false" customHeight="false" outlineLevel="0" collapsed="false">
      <c r="A1087" s="92" t="str">
        <f aca="false">Gov_Map!$H298&amp;""</f>
        <v>—</v>
      </c>
      <c r="B1087" s="65" t="s">
        <v>10484</v>
      </c>
      <c r="C1087" s="61" t="n">
        <v>298</v>
      </c>
      <c r="D1087" s="61" t="s">
        <v>10485</v>
      </c>
      <c r="E1087" s="61" t="s">
        <v>10485</v>
      </c>
      <c r="F1087" s="62" t="s">
        <v>809</v>
      </c>
    </row>
    <row r="1088" customFormat="false" ht="15" hidden="false" customHeight="false" outlineLevel="0" collapsed="false">
      <c r="A1088" s="92" t="str">
        <f aca="false">Gov_Map!$H299&amp;""</f>
        <v>—</v>
      </c>
      <c r="B1088" s="65" t="s">
        <v>10484</v>
      </c>
      <c r="C1088" s="61" t="n">
        <v>299</v>
      </c>
      <c r="D1088" s="61" t="s">
        <v>10485</v>
      </c>
      <c r="E1088" s="61" t="s">
        <v>10485</v>
      </c>
      <c r="F1088" s="62" t="s">
        <v>809</v>
      </c>
    </row>
    <row r="1089" customFormat="false" ht="15" hidden="false" customHeight="false" outlineLevel="0" collapsed="false">
      <c r="A1089" s="92" t="str">
        <f aca="false">Gov_Map!$H300&amp;""</f>
        <v>—</v>
      </c>
      <c r="B1089" s="65" t="s">
        <v>10484</v>
      </c>
      <c r="C1089" s="61" t="n">
        <v>300</v>
      </c>
      <c r="D1089" s="61" t="s">
        <v>10485</v>
      </c>
      <c r="E1089" s="61" t="s">
        <v>10485</v>
      </c>
      <c r="F1089" s="62" t="s">
        <v>809</v>
      </c>
    </row>
    <row r="1090" customFormat="false" ht="15" hidden="false" customHeight="false" outlineLevel="0" collapsed="false">
      <c r="A1090" s="92" t="str">
        <f aca="false">Gov_Map!$H301&amp;""</f>
        <v>—</v>
      </c>
      <c r="B1090" s="65" t="s">
        <v>10484</v>
      </c>
      <c r="C1090" s="61" t="n">
        <v>301</v>
      </c>
      <c r="D1090" s="61" t="s">
        <v>10485</v>
      </c>
      <c r="E1090" s="61" t="s">
        <v>10485</v>
      </c>
      <c r="F1090" s="62" t="s">
        <v>809</v>
      </c>
    </row>
    <row r="1091" customFormat="false" ht="15" hidden="false" customHeight="false" outlineLevel="0" collapsed="false">
      <c r="A1091" s="92" t="str">
        <f aca="false">Gov_Map!$H302&amp;""</f>
        <v>—</v>
      </c>
      <c r="B1091" s="65" t="s">
        <v>10484</v>
      </c>
      <c r="C1091" s="61" t="n">
        <v>302</v>
      </c>
      <c r="D1091" s="61" t="s">
        <v>10485</v>
      </c>
      <c r="E1091" s="61" t="s">
        <v>10485</v>
      </c>
      <c r="F1091" s="62" t="s">
        <v>809</v>
      </c>
    </row>
    <row r="1092" customFormat="false" ht="15" hidden="false" customHeight="false" outlineLevel="0" collapsed="false">
      <c r="A1092" s="92" t="str">
        <f aca="false">Gov_Map!$H303&amp;""</f>
        <v>—</v>
      </c>
      <c r="B1092" s="65" t="s">
        <v>10484</v>
      </c>
      <c r="C1092" s="61" t="n">
        <v>303</v>
      </c>
      <c r="D1092" s="61" t="s">
        <v>10485</v>
      </c>
      <c r="E1092" s="61" t="s">
        <v>10485</v>
      </c>
      <c r="F1092" s="62" t="s">
        <v>809</v>
      </c>
    </row>
    <row r="1093" customFormat="false" ht="15" hidden="false" customHeight="false" outlineLevel="0" collapsed="false">
      <c r="A1093" s="92" t="str">
        <f aca="false">Gov_Map!$H304&amp;""</f>
        <v>—</v>
      </c>
      <c r="B1093" s="65" t="s">
        <v>10484</v>
      </c>
      <c r="C1093" s="61" t="n">
        <v>304</v>
      </c>
      <c r="D1093" s="61" t="s">
        <v>10485</v>
      </c>
      <c r="E1093" s="61" t="s">
        <v>10485</v>
      </c>
      <c r="F1093" s="62" t="s">
        <v>809</v>
      </c>
    </row>
    <row r="1094" customFormat="false" ht="15" hidden="false" customHeight="false" outlineLevel="0" collapsed="false">
      <c r="A1094" s="92" t="str">
        <f aca="false">Gov_Map!$H305&amp;""</f>
        <v>—</v>
      </c>
      <c r="B1094" s="65" t="s">
        <v>10484</v>
      </c>
      <c r="C1094" s="61" t="n">
        <v>305</v>
      </c>
      <c r="D1094" s="61" t="s">
        <v>10485</v>
      </c>
      <c r="E1094" s="61" t="s">
        <v>10485</v>
      </c>
      <c r="F1094" s="62" t="s">
        <v>809</v>
      </c>
    </row>
    <row r="1095" customFormat="false" ht="15" hidden="false" customHeight="false" outlineLevel="0" collapsed="false">
      <c r="A1095" s="92" t="str">
        <f aca="false">Gov_Map!$H306&amp;""</f>
        <v>SRC_HAR_001</v>
      </c>
      <c r="B1095" s="65" t="s">
        <v>10484</v>
      </c>
      <c r="C1095" s="61" t="n">
        <v>306</v>
      </c>
      <c r="D1095" s="61" t="s">
        <v>10485</v>
      </c>
      <c r="E1095" s="61" t="s">
        <v>10485</v>
      </c>
      <c r="F1095" s="62" t="s">
        <v>809</v>
      </c>
    </row>
    <row r="1096" customFormat="false" ht="15" hidden="false" customHeight="false" outlineLevel="0" collapsed="false">
      <c r="A1096" s="92" t="str">
        <f aca="false">Gov_Map!$H307&amp;""</f>
        <v>SRC_HAR_002</v>
      </c>
      <c r="B1096" s="65" t="s">
        <v>10484</v>
      </c>
      <c r="C1096" s="61" t="n">
        <v>307</v>
      </c>
      <c r="D1096" s="61" t="s">
        <v>10485</v>
      </c>
      <c r="E1096" s="61" t="s">
        <v>10485</v>
      </c>
      <c r="F1096" s="62" t="s">
        <v>809</v>
      </c>
    </row>
    <row r="1097" customFormat="false" ht="15" hidden="false" customHeight="false" outlineLevel="0" collapsed="false">
      <c r="A1097" s="92" t="str">
        <f aca="false">Gov_Map!$H308&amp;""</f>
        <v>SRC_PERF_041</v>
      </c>
      <c r="B1097" s="65" t="s">
        <v>10484</v>
      </c>
      <c r="C1097" s="61" t="n">
        <v>308</v>
      </c>
      <c r="D1097" s="61" t="s">
        <v>10485</v>
      </c>
      <c r="E1097" s="61" t="s">
        <v>10485</v>
      </c>
      <c r="F1097" s="62" t="s">
        <v>809</v>
      </c>
    </row>
    <row r="1098" customFormat="false" ht="15" hidden="false" customHeight="false" outlineLevel="0" collapsed="false">
      <c r="A1098" s="92" t="str">
        <f aca="false">Gov_Map!$H309&amp;""</f>
        <v>—</v>
      </c>
      <c r="B1098" s="65" t="s">
        <v>10484</v>
      </c>
      <c r="C1098" s="61" t="n">
        <v>309</v>
      </c>
      <c r="D1098" s="61" t="s">
        <v>10485</v>
      </c>
      <c r="E1098" s="61" t="s">
        <v>10485</v>
      </c>
      <c r="F1098" s="62" t="s">
        <v>809</v>
      </c>
    </row>
    <row r="1099" customFormat="false" ht="15" hidden="false" customHeight="false" outlineLevel="0" collapsed="false">
      <c r="A1099" s="92" t="str">
        <f aca="false">Gov_Map!$H310&amp;""</f>
        <v>SRC_PERF_009</v>
      </c>
      <c r="B1099" s="65" t="s">
        <v>10484</v>
      </c>
      <c r="C1099" s="61" t="n">
        <v>310</v>
      </c>
      <c r="D1099" s="61" t="s">
        <v>10485</v>
      </c>
      <c r="E1099" s="61" t="s">
        <v>10485</v>
      </c>
      <c r="F1099" s="62" t="s">
        <v>809</v>
      </c>
    </row>
    <row r="1100" customFormat="false" ht="15" hidden="false" customHeight="false" outlineLevel="0" collapsed="false">
      <c r="A1100" s="92" t="str">
        <f aca="false">Gov_Map!$H311&amp;""</f>
        <v>SRC_PERF_009</v>
      </c>
      <c r="B1100" s="65" t="s">
        <v>10484</v>
      </c>
      <c r="C1100" s="61" t="n">
        <v>311</v>
      </c>
      <c r="D1100" s="61" t="s">
        <v>10485</v>
      </c>
      <c r="E1100" s="61" t="s">
        <v>10485</v>
      </c>
      <c r="F1100" s="62" t="s">
        <v>809</v>
      </c>
    </row>
    <row r="1101" customFormat="false" ht="15" hidden="false" customHeight="false" outlineLevel="0" collapsed="false">
      <c r="A1101" s="92" t="str">
        <f aca="false">Gov_Map!$H312&amp;""</f>
        <v>SRC_PERF_009</v>
      </c>
      <c r="B1101" s="65" t="s">
        <v>10484</v>
      </c>
      <c r="C1101" s="61" t="n">
        <v>312</v>
      </c>
      <c r="D1101" s="61" t="s">
        <v>10485</v>
      </c>
      <c r="E1101" s="61" t="s">
        <v>10485</v>
      </c>
      <c r="F1101" s="62" t="s">
        <v>809</v>
      </c>
    </row>
    <row r="1102" customFormat="false" ht="15" hidden="false" customHeight="false" outlineLevel="0" collapsed="false">
      <c r="A1102" s="92" t="str">
        <f aca="false">Gov_Map!$H313&amp;""</f>
        <v>SRC_PERF_009</v>
      </c>
      <c r="B1102" s="65" t="s">
        <v>10484</v>
      </c>
      <c r="C1102" s="61" t="n">
        <v>313</v>
      </c>
      <c r="D1102" s="61" t="s">
        <v>10485</v>
      </c>
      <c r="E1102" s="61" t="s">
        <v>10485</v>
      </c>
      <c r="F1102" s="62" t="s">
        <v>809</v>
      </c>
    </row>
    <row r="1103" customFormat="false" ht="15" hidden="false" customHeight="false" outlineLevel="0" collapsed="false">
      <c r="A1103" s="92" t="str">
        <f aca="false">Gov_Map!$H314&amp;""</f>
        <v>SRC_PERF_009</v>
      </c>
      <c r="B1103" s="65" t="s">
        <v>10484</v>
      </c>
      <c r="C1103" s="61" t="n">
        <v>314</v>
      </c>
      <c r="D1103" s="61" t="s">
        <v>10485</v>
      </c>
      <c r="E1103" s="61" t="s">
        <v>10485</v>
      </c>
      <c r="F1103" s="62" t="s">
        <v>809</v>
      </c>
    </row>
    <row r="1104" customFormat="false" ht="15" hidden="false" customHeight="false" outlineLevel="0" collapsed="false">
      <c r="A1104" s="92" t="str">
        <f aca="false">Gov_Map!$H315&amp;""</f>
        <v>SRC_PERF_010</v>
      </c>
      <c r="B1104" s="65" t="s">
        <v>10484</v>
      </c>
      <c r="C1104" s="61" t="n">
        <v>315</v>
      </c>
      <c r="D1104" s="61" t="s">
        <v>10485</v>
      </c>
      <c r="E1104" s="61" t="s">
        <v>10485</v>
      </c>
      <c r="F1104" s="62" t="s">
        <v>809</v>
      </c>
    </row>
    <row r="1105" customFormat="false" ht="15" hidden="false" customHeight="false" outlineLevel="0" collapsed="false">
      <c r="A1105" s="92" t="str">
        <f aca="false">Gov_Map!$H316&amp;""</f>
        <v>SRC_PERF_010</v>
      </c>
      <c r="B1105" s="65" t="s">
        <v>10484</v>
      </c>
      <c r="C1105" s="61" t="n">
        <v>316</v>
      </c>
      <c r="D1105" s="61" t="s">
        <v>10485</v>
      </c>
      <c r="E1105" s="61" t="s">
        <v>10485</v>
      </c>
      <c r="F1105" s="62" t="s">
        <v>809</v>
      </c>
    </row>
    <row r="1106" customFormat="false" ht="15" hidden="false" customHeight="false" outlineLevel="0" collapsed="false">
      <c r="A1106" s="92" t="str">
        <f aca="false">Gov_Map!$H317&amp;""</f>
        <v>SRC_PERF_010</v>
      </c>
      <c r="B1106" s="65" t="s">
        <v>10484</v>
      </c>
      <c r="C1106" s="61" t="n">
        <v>317</v>
      </c>
      <c r="D1106" s="61" t="s">
        <v>10485</v>
      </c>
      <c r="E1106" s="61" t="s">
        <v>10485</v>
      </c>
      <c r="F1106" s="62" t="s">
        <v>809</v>
      </c>
    </row>
    <row r="1107" customFormat="false" ht="15" hidden="false" customHeight="false" outlineLevel="0" collapsed="false">
      <c r="A1107" s="92" t="str">
        <f aca="false">Gov_Map!$H318&amp;""</f>
        <v>SRC_PERF_010</v>
      </c>
      <c r="B1107" s="65" t="s">
        <v>10484</v>
      </c>
      <c r="C1107" s="61" t="n">
        <v>318</v>
      </c>
      <c r="D1107" s="61" t="s">
        <v>10485</v>
      </c>
      <c r="E1107" s="61" t="s">
        <v>10485</v>
      </c>
      <c r="F1107" s="62" t="s">
        <v>809</v>
      </c>
    </row>
    <row r="1108" customFormat="false" ht="15" hidden="false" customHeight="false" outlineLevel="0" collapsed="false">
      <c r="A1108" s="92" t="str">
        <f aca="false">Gov_Map!$H319&amp;""</f>
        <v>SRC_PERF_010</v>
      </c>
      <c r="B1108" s="65" t="s">
        <v>10484</v>
      </c>
      <c r="C1108" s="61" t="n">
        <v>319</v>
      </c>
      <c r="D1108" s="61" t="s">
        <v>10485</v>
      </c>
      <c r="E1108" s="61" t="s">
        <v>10485</v>
      </c>
      <c r="F1108" s="62" t="s">
        <v>809</v>
      </c>
    </row>
    <row r="1109" customFormat="false" ht="15" hidden="false" customHeight="false" outlineLevel="0" collapsed="false">
      <c r="A1109" s="92" t="str">
        <f aca="false">Gov_Map!$H320&amp;""</f>
        <v>SRC_PERF_004</v>
      </c>
      <c r="B1109" s="65" t="s">
        <v>10484</v>
      </c>
      <c r="C1109" s="61" t="n">
        <v>320</v>
      </c>
      <c r="D1109" s="61" t="s">
        <v>10485</v>
      </c>
      <c r="E1109" s="61" t="s">
        <v>10485</v>
      </c>
      <c r="F1109" s="62" t="s">
        <v>809</v>
      </c>
    </row>
    <row r="1110" customFormat="false" ht="15" hidden="false" customHeight="false" outlineLevel="0" collapsed="false">
      <c r="A1110" s="92" t="str">
        <f aca="false">Gov_Map!$H321&amp;""</f>
        <v>SRC_PERF_004</v>
      </c>
      <c r="B1110" s="65" t="s">
        <v>10484</v>
      </c>
      <c r="C1110" s="61" t="n">
        <v>321</v>
      </c>
      <c r="D1110" s="61" t="s">
        <v>10485</v>
      </c>
      <c r="E1110" s="61" t="s">
        <v>10485</v>
      </c>
      <c r="F1110" s="62" t="s">
        <v>809</v>
      </c>
    </row>
    <row r="1111" customFormat="false" ht="15" hidden="false" customHeight="false" outlineLevel="0" collapsed="false">
      <c r="A1111" s="92" t="str">
        <f aca="false">Gov_Map!$H322&amp;""</f>
        <v>SRC_PERF_004</v>
      </c>
      <c r="B1111" s="65" t="s">
        <v>10484</v>
      </c>
      <c r="C1111" s="61" t="n">
        <v>322</v>
      </c>
      <c r="D1111" s="61" t="s">
        <v>10485</v>
      </c>
      <c r="E1111" s="61" t="s">
        <v>10485</v>
      </c>
      <c r="F1111" s="62" t="s">
        <v>809</v>
      </c>
    </row>
    <row r="1112" customFormat="false" ht="15" hidden="false" customHeight="false" outlineLevel="0" collapsed="false">
      <c r="A1112" s="92" t="str">
        <f aca="false">Gov_Map!$H323&amp;""</f>
        <v>SRC_PERF_004</v>
      </c>
      <c r="B1112" s="65" t="s">
        <v>10484</v>
      </c>
      <c r="C1112" s="61" t="n">
        <v>323</v>
      </c>
      <c r="D1112" s="61" t="s">
        <v>10485</v>
      </c>
      <c r="E1112" s="61" t="s">
        <v>10485</v>
      </c>
      <c r="F1112" s="62" t="s">
        <v>809</v>
      </c>
    </row>
    <row r="1113" customFormat="false" ht="15" hidden="false" customHeight="false" outlineLevel="0" collapsed="false">
      <c r="A1113" s="92" t="str">
        <f aca="false">Gov_Map!$H324&amp;""</f>
        <v>SRC_PERF_004</v>
      </c>
      <c r="B1113" s="65" t="s">
        <v>10484</v>
      </c>
      <c r="C1113" s="61" t="n">
        <v>324</v>
      </c>
      <c r="D1113" s="61" t="s">
        <v>10485</v>
      </c>
      <c r="E1113" s="61" t="s">
        <v>10485</v>
      </c>
      <c r="F1113" s="62" t="s">
        <v>809</v>
      </c>
    </row>
    <row r="1114" customFormat="false" ht="15" hidden="false" customHeight="false" outlineLevel="0" collapsed="false">
      <c r="A1114" s="92" t="str">
        <f aca="false">Gov_Map!$H325&amp;""</f>
        <v>SRC_PERF_001</v>
      </c>
      <c r="B1114" s="65" t="s">
        <v>10484</v>
      </c>
      <c r="C1114" s="61" t="n">
        <v>325</v>
      </c>
      <c r="D1114" s="61" t="s">
        <v>10485</v>
      </c>
      <c r="E1114" s="61" t="s">
        <v>10485</v>
      </c>
      <c r="F1114" s="62" t="s">
        <v>809</v>
      </c>
    </row>
    <row r="1115" customFormat="false" ht="15" hidden="false" customHeight="false" outlineLevel="0" collapsed="false">
      <c r="A1115" s="92" t="str">
        <f aca="false">Gov_Map!$H326&amp;""</f>
        <v>SRC_PERF_001</v>
      </c>
      <c r="B1115" s="65" t="s">
        <v>10484</v>
      </c>
      <c r="C1115" s="61" t="n">
        <v>326</v>
      </c>
      <c r="D1115" s="61" t="s">
        <v>10485</v>
      </c>
      <c r="E1115" s="61" t="s">
        <v>10485</v>
      </c>
      <c r="F1115" s="62" t="s">
        <v>809</v>
      </c>
    </row>
    <row r="1116" customFormat="false" ht="15" hidden="false" customHeight="false" outlineLevel="0" collapsed="false">
      <c r="A1116" s="92" t="str">
        <f aca="false">Gov_Map!$H327&amp;""</f>
        <v>SRC_PERF_001</v>
      </c>
      <c r="B1116" s="65" t="s">
        <v>10484</v>
      </c>
      <c r="C1116" s="61" t="n">
        <v>327</v>
      </c>
      <c r="D1116" s="61" t="s">
        <v>10485</v>
      </c>
      <c r="E1116" s="61" t="s">
        <v>10485</v>
      </c>
      <c r="F1116" s="62" t="s">
        <v>809</v>
      </c>
    </row>
    <row r="1117" customFormat="false" ht="15" hidden="false" customHeight="false" outlineLevel="0" collapsed="false">
      <c r="A1117" s="92" t="str">
        <f aca="false">Gov_Map!$H328&amp;""</f>
        <v>SRC_PERF_001</v>
      </c>
      <c r="B1117" s="65" t="s">
        <v>10484</v>
      </c>
      <c r="C1117" s="61" t="n">
        <v>328</v>
      </c>
      <c r="D1117" s="61" t="s">
        <v>10485</v>
      </c>
      <c r="E1117" s="61" t="s">
        <v>10485</v>
      </c>
      <c r="F1117" s="62" t="s">
        <v>809</v>
      </c>
    </row>
    <row r="1118" customFormat="false" ht="15" hidden="false" customHeight="false" outlineLevel="0" collapsed="false">
      <c r="A1118" s="92" t="str">
        <f aca="false">Gov_Map!$H329&amp;""</f>
        <v>SRC_PERF_001</v>
      </c>
      <c r="B1118" s="65" t="s">
        <v>10484</v>
      </c>
      <c r="C1118" s="61" t="n">
        <v>329</v>
      </c>
      <c r="D1118" s="61" t="s">
        <v>10485</v>
      </c>
      <c r="E1118" s="61" t="s">
        <v>10485</v>
      </c>
      <c r="F1118" s="62" t="s">
        <v>809</v>
      </c>
    </row>
    <row r="1119" customFormat="false" ht="15" hidden="false" customHeight="false" outlineLevel="0" collapsed="false">
      <c r="A1119" s="92" t="str">
        <f aca="false">Gov_Map!$H330&amp;""</f>
        <v>SRC_PERF_002</v>
      </c>
      <c r="B1119" s="65" t="s">
        <v>10484</v>
      </c>
      <c r="C1119" s="61" t="n">
        <v>330</v>
      </c>
      <c r="D1119" s="61" t="s">
        <v>10485</v>
      </c>
      <c r="E1119" s="61" t="s">
        <v>10485</v>
      </c>
      <c r="F1119" s="62" t="s">
        <v>809</v>
      </c>
    </row>
    <row r="1120" customFormat="false" ht="15" hidden="false" customHeight="false" outlineLevel="0" collapsed="false">
      <c r="A1120" s="92" t="str">
        <f aca="false">Gov_Map!$H331&amp;""</f>
        <v>SRC_PERF_002</v>
      </c>
      <c r="B1120" s="65" t="s">
        <v>10484</v>
      </c>
      <c r="C1120" s="61" t="n">
        <v>331</v>
      </c>
      <c r="D1120" s="61" t="s">
        <v>10485</v>
      </c>
      <c r="E1120" s="61" t="s">
        <v>10485</v>
      </c>
      <c r="F1120" s="62" t="s">
        <v>809</v>
      </c>
    </row>
    <row r="1121" customFormat="false" ht="15" hidden="false" customHeight="false" outlineLevel="0" collapsed="false">
      <c r="A1121" s="92" t="str">
        <f aca="false">Gov_Map!$H332&amp;""</f>
        <v>SRC_PERF_002</v>
      </c>
      <c r="B1121" s="65" t="s">
        <v>10484</v>
      </c>
      <c r="C1121" s="61" t="n">
        <v>332</v>
      </c>
      <c r="D1121" s="61" t="s">
        <v>10485</v>
      </c>
      <c r="E1121" s="61" t="s">
        <v>10485</v>
      </c>
      <c r="F1121" s="62" t="s">
        <v>809</v>
      </c>
    </row>
    <row r="1122" customFormat="false" ht="15" hidden="false" customHeight="false" outlineLevel="0" collapsed="false">
      <c r="A1122" s="92" t="str">
        <f aca="false">Gov_Map!$H333&amp;""</f>
        <v>SRC_PERF_002</v>
      </c>
      <c r="B1122" s="65" t="s">
        <v>10484</v>
      </c>
      <c r="C1122" s="61" t="n">
        <v>333</v>
      </c>
      <c r="D1122" s="61" t="s">
        <v>10485</v>
      </c>
      <c r="E1122" s="61" t="s">
        <v>10485</v>
      </c>
      <c r="F1122" s="62" t="s">
        <v>809</v>
      </c>
    </row>
    <row r="1123" customFormat="false" ht="15" hidden="false" customHeight="false" outlineLevel="0" collapsed="false">
      <c r="A1123" s="92" t="str">
        <f aca="false">Gov_Map!$H334&amp;""</f>
        <v>SRC_PERF_002</v>
      </c>
      <c r="B1123" s="65" t="s">
        <v>10484</v>
      </c>
      <c r="C1123" s="61" t="n">
        <v>334</v>
      </c>
      <c r="D1123" s="61" t="s">
        <v>10485</v>
      </c>
      <c r="E1123" s="61" t="s">
        <v>10485</v>
      </c>
      <c r="F1123" s="62" t="s">
        <v>809</v>
      </c>
    </row>
    <row r="1124" customFormat="false" ht="15" hidden="false" customHeight="false" outlineLevel="0" collapsed="false">
      <c r="A1124" s="92" t="str">
        <f aca="false">Gov_Map!$H335&amp;""</f>
        <v>SRC_PERF_014</v>
      </c>
      <c r="B1124" s="65" t="s">
        <v>10484</v>
      </c>
      <c r="C1124" s="61" t="n">
        <v>335</v>
      </c>
      <c r="D1124" s="61" t="s">
        <v>10485</v>
      </c>
      <c r="E1124" s="61" t="s">
        <v>10485</v>
      </c>
      <c r="F1124" s="62" t="s">
        <v>809</v>
      </c>
    </row>
    <row r="1125" customFormat="false" ht="15" hidden="false" customHeight="false" outlineLevel="0" collapsed="false">
      <c r="A1125" s="92" t="str">
        <f aca="false">Gov_Map!$H336&amp;""</f>
        <v>SRC_PERF_014</v>
      </c>
      <c r="B1125" s="65" t="s">
        <v>10484</v>
      </c>
      <c r="C1125" s="61" t="n">
        <v>336</v>
      </c>
      <c r="D1125" s="61" t="s">
        <v>10485</v>
      </c>
      <c r="E1125" s="61" t="s">
        <v>10485</v>
      </c>
      <c r="F1125" s="62" t="s">
        <v>809</v>
      </c>
    </row>
    <row r="1126" customFormat="false" ht="15" hidden="false" customHeight="false" outlineLevel="0" collapsed="false">
      <c r="A1126" s="92" t="str">
        <f aca="false">Gov_Map!$H337&amp;""</f>
        <v>SRC_PERF_014</v>
      </c>
      <c r="B1126" s="65" t="s">
        <v>10484</v>
      </c>
      <c r="C1126" s="61" t="n">
        <v>337</v>
      </c>
      <c r="D1126" s="61" t="s">
        <v>10485</v>
      </c>
      <c r="E1126" s="61" t="s">
        <v>10485</v>
      </c>
      <c r="F1126" s="62" t="s">
        <v>809</v>
      </c>
    </row>
    <row r="1127" customFormat="false" ht="15" hidden="false" customHeight="false" outlineLevel="0" collapsed="false">
      <c r="A1127" s="92" t="str">
        <f aca="false">Gov_Map!$H338&amp;""</f>
        <v>SRC_PERF_014</v>
      </c>
      <c r="B1127" s="65" t="s">
        <v>10484</v>
      </c>
      <c r="C1127" s="61" t="n">
        <v>338</v>
      </c>
      <c r="D1127" s="61" t="s">
        <v>10485</v>
      </c>
      <c r="E1127" s="61" t="s">
        <v>10485</v>
      </c>
      <c r="F1127" s="62" t="s">
        <v>809</v>
      </c>
    </row>
    <row r="1128" customFormat="false" ht="15" hidden="false" customHeight="false" outlineLevel="0" collapsed="false">
      <c r="A1128" s="92" t="str">
        <f aca="false">Gov_Map!$H339&amp;""</f>
        <v>SRC_PERF_014</v>
      </c>
      <c r="B1128" s="65" t="s">
        <v>10484</v>
      </c>
      <c r="C1128" s="61" t="n">
        <v>339</v>
      </c>
      <c r="D1128" s="61" t="s">
        <v>10485</v>
      </c>
      <c r="E1128" s="61" t="s">
        <v>10485</v>
      </c>
      <c r="F1128" s="62" t="s">
        <v>809</v>
      </c>
    </row>
    <row r="1129" customFormat="false" ht="15" hidden="false" customHeight="false" outlineLevel="0" collapsed="false">
      <c r="A1129" s="92" t="str">
        <f aca="false">Gov_Map!$H340&amp;""</f>
        <v>SRC_PERF_015</v>
      </c>
      <c r="B1129" s="65" t="s">
        <v>10484</v>
      </c>
      <c r="C1129" s="61" t="n">
        <v>340</v>
      </c>
      <c r="D1129" s="61" t="s">
        <v>10485</v>
      </c>
      <c r="E1129" s="61" t="s">
        <v>10485</v>
      </c>
      <c r="F1129" s="62" t="s">
        <v>809</v>
      </c>
    </row>
    <row r="1130" customFormat="false" ht="15" hidden="false" customHeight="false" outlineLevel="0" collapsed="false">
      <c r="A1130" s="92" t="str">
        <f aca="false">Gov_Map!$H341&amp;""</f>
        <v>SRC_PERF_015</v>
      </c>
      <c r="B1130" s="65" t="s">
        <v>10484</v>
      </c>
      <c r="C1130" s="61" t="n">
        <v>341</v>
      </c>
      <c r="D1130" s="61" t="s">
        <v>10485</v>
      </c>
      <c r="E1130" s="61" t="s">
        <v>10485</v>
      </c>
      <c r="F1130" s="62" t="s">
        <v>809</v>
      </c>
    </row>
    <row r="1131" customFormat="false" ht="15" hidden="false" customHeight="false" outlineLevel="0" collapsed="false">
      <c r="A1131" s="92" t="str">
        <f aca="false">Gov_Map!$H342&amp;""</f>
        <v>SRC_PERF_015</v>
      </c>
      <c r="B1131" s="65" t="s">
        <v>10484</v>
      </c>
      <c r="C1131" s="61" t="n">
        <v>342</v>
      </c>
      <c r="D1131" s="61" t="s">
        <v>10485</v>
      </c>
      <c r="E1131" s="61" t="s">
        <v>10485</v>
      </c>
      <c r="F1131" s="62" t="s">
        <v>809</v>
      </c>
    </row>
    <row r="1132" customFormat="false" ht="15" hidden="false" customHeight="false" outlineLevel="0" collapsed="false">
      <c r="A1132" s="92" t="str">
        <f aca="false">Gov_Map!$H343&amp;""</f>
        <v>SRC_PERF_015</v>
      </c>
      <c r="B1132" s="65" t="s">
        <v>10484</v>
      </c>
      <c r="C1132" s="61" t="n">
        <v>343</v>
      </c>
      <c r="D1132" s="61" t="s">
        <v>10485</v>
      </c>
      <c r="E1132" s="61" t="s">
        <v>10485</v>
      </c>
      <c r="F1132" s="62" t="s">
        <v>809</v>
      </c>
    </row>
    <row r="1133" customFormat="false" ht="15" hidden="false" customHeight="false" outlineLevel="0" collapsed="false">
      <c r="A1133" s="92" t="str">
        <f aca="false">Gov_Map!$H344&amp;""</f>
        <v>SRC_PERF_015</v>
      </c>
      <c r="B1133" s="65" t="s">
        <v>10484</v>
      </c>
      <c r="C1133" s="61" t="n">
        <v>344</v>
      </c>
      <c r="D1133" s="61" t="s">
        <v>10485</v>
      </c>
      <c r="E1133" s="61" t="s">
        <v>10485</v>
      </c>
      <c r="F1133" s="62" t="s">
        <v>809</v>
      </c>
    </row>
    <row r="1134" customFormat="false" ht="15" hidden="false" customHeight="false" outlineLevel="0" collapsed="false">
      <c r="A1134" s="92" t="str">
        <f aca="false">Gov_Map!$H345&amp;""</f>
        <v>SRC_PERF_042</v>
      </c>
      <c r="B1134" s="65" t="s">
        <v>10484</v>
      </c>
      <c r="C1134" s="61" t="n">
        <v>345</v>
      </c>
      <c r="D1134" s="61" t="s">
        <v>10485</v>
      </c>
      <c r="E1134" s="61" t="s">
        <v>10485</v>
      </c>
      <c r="F1134" s="62" t="s">
        <v>809</v>
      </c>
    </row>
    <row r="1135" customFormat="false" ht="15" hidden="false" customHeight="false" outlineLevel="0" collapsed="false">
      <c r="A1135" s="92" t="str">
        <f aca="false">Gov_Map!$H346&amp;""</f>
        <v>SRC_PERF_009</v>
      </c>
      <c r="B1135" s="65" t="s">
        <v>10484</v>
      </c>
      <c r="C1135" s="61" t="n">
        <v>346</v>
      </c>
      <c r="D1135" s="61" t="s">
        <v>10485</v>
      </c>
      <c r="E1135" s="61" t="s">
        <v>10485</v>
      </c>
      <c r="F1135" s="62" t="s">
        <v>809</v>
      </c>
    </row>
    <row r="1136" customFormat="false" ht="15" hidden="false" customHeight="false" outlineLevel="0" collapsed="false">
      <c r="A1136" s="92" t="str">
        <f aca="false">Gov_Map!$H347&amp;""</f>
        <v>SRC_PERF_009</v>
      </c>
      <c r="B1136" s="65" t="s">
        <v>10484</v>
      </c>
      <c r="C1136" s="61" t="n">
        <v>347</v>
      </c>
      <c r="D1136" s="61" t="s">
        <v>10485</v>
      </c>
      <c r="E1136" s="61" t="s">
        <v>10485</v>
      </c>
      <c r="F1136" s="62" t="s">
        <v>809</v>
      </c>
    </row>
    <row r="1137" customFormat="false" ht="15" hidden="false" customHeight="false" outlineLevel="0" collapsed="false">
      <c r="A1137" s="92" t="str">
        <f aca="false">Gov_Map!$H348&amp;""</f>
        <v>SRC_PERF_009</v>
      </c>
      <c r="B1137" s="65" t="s">
        <v>10484</v>
      </c>
      <c r="C1137" s="61" t="n">
        <v>348</v>
      </c>
      <c r="D1137" s="61" t="s">
        <v>10485</v>
      </c>
      <c r="E1137" s="61" t="s">
        <v>10485</v>
      </c>
      <c r="F1137" s="62" t="s">
        <v>809</v>
      </c>
    </row>
    <row r="1138" customFormat="false" ht="15" hidden="false" customHeight="false" outlineLevel="0" collapsed="false">
      <c r="A1138" s="92" t="str">
        <f aca="false">Gov_Map!$H349&amp;""</f>
        <v>SRC_PERF_009</v>
      </c>
      <c r="B1138" s="65" t="s">
        <v>10484</v>
      </c>
      <c r="C1138" s="61" t="n">
        <v>349</v>
      </c>
      <c r="D1138" s="61" t="s">
        <v>10485</v>
      </c>
      <c r="E1138" s="61" t="s">
        <v>10485</v>
      </c>
      <c r="F1138" s="62" t="s">
        <v>809</v>
      </c>
    </row>
    <row r="1139" customFormat="false" ht="15" hidden="false" customHeight="false" outlineLevel="0" collapsed="false">
      <c r="A1139" s="92" t="str">
        <f aca="false">Gov_Map!$H350&amp;""</f>
        <v>—</v>
      </c>
      <c r="B1139" s="65" t="s">
        <v>10484</v>
      </c>
      <c r="C1139" s="61" t="n">
        <v>350</v>
      </c>
      <c r="D1139" s="61" t="s">
        <v>10485</v>
      </c>
      <c r="E1139" s="61" t="s">
        <v>10485</v>
      </c>
      <c r="F1139" s="62" t="s">
        <v>809</v>
      </c>
    </row>
    <row r="1140" customFormat="false" ht="15" hidden="false" customHeight="false" outlineLevel="0" collapsed="false">
      <c r="A1140" s="92" t="str">
        <f aca="false">Gov_Map!$H351&amp;""</f>
        <v>—</v>
      </c>
      <c r="B1140" s="65" t="s">
        <v>10484</v>
      </c>
      <c r="C1140" s="61" t="n">
        <v>351</v>
      </c>
      <c r="D1140" s="61" t="s">
        <v>10485</v>
      </c>
      <c r="E1140" s="61" t="s">
        <v>10485</v>
      </c>
      <c r="F1140" s="62" t="s">
        <v>809</v>
      </c>
    </row>
    <row r="1141" customFormat="false" ht="15" hidden="false" customHeight="false" outlineLevel="0" collapsed="false">
      <c r="A1141" s="92" t="str">
        <f aca="false">Gov_Map!$H352&amp;""</f>
        <v>—</v>
      </c>
      <c r="B1141" s="65" t="s">
        <v>10484</v>
      </c>
      <c r="C1141" s="61" t="n">
        <v>352</v>
      </c>
      <c r="D1141" s="61" t="s">
        <v>10485</v>
      </c>
      <c r="E1141" s="61" t="s">
        <v>10485</v>
      </c>
      <c r="F1141" s="62" t="s">
        <v>809</v>
      </c>
    </row>
    <row r="1142" customFormat="false" ht="15" hidden="false" customHeight="false" outlineLevel="0" collapsed="false">
      <c r="A1142" s="92" t="str">
        <f aca="false">Gov_Map!$H353&amp;""</f>
        <v>—</v>
      </c>
      <c r="B1142" s="65" t="s">
        <v>10484</v>
      </c>
      <c r="C1142" s="61" t="n">
        <v>353</v>
      </c>
      <c r="D1142" s="61" t="s">
        <v>10485</v>
      </c>
      <c r="E1142" s="61" t="s">
        <v>10485</v>
      </c>
      <c r="F1142" s="62" t="s">
        <v>809</v>
      </c>
    </row>
    <row r="1143" customFormat="false" ht="15" hidden="false" customHeight="false" outlineLevel="0" collapsed="false">
      <c r="A1143" s="92" t="str">
        <f aca="false">Gov_Map!$H354&amp;""</f>
        <v>—</v>
      </c>
      <c r="B1143" s="65" t="s">
        <v>10484</v>
      </c>
      <c r="C1143" s="61" t="n">
        <v>354</v>
      </c>
      <c r="D1143" s="61" t="s">
        <v>10485</v>
      </c>
      <c r="E1143" s="61" t="s">
        <v>10485</v>
      </c>
      <c r="F1143" s="62" t="s">
        <v>809</v>
      </c>
    </row>
    <row r="1144" customFormat="false" ht="15" hidden="false" customHeight="false" outlineLevel="0" collapsed="false">
      <c r="A1144" s="92" t="str">
        <f aca="false">Gov_Map!$H355&amp;""</f>
        <v>—</v>
      </c>
      <c r="B1144" s="65" t="s">
        <v>10484</v>
      </c>
      <c r="C1144" s="61" t="n">
        <v>355</v>
      </c>
      <c r="D1144" s="61" t="s">
        <v>10485</v>
      </c>
      <c r="E1144" s="61" t="s">
        <v>10485</v>
      </c>
      <c r="F1144" s="62" t="s">
        <v>809</v>
      </c>
    </row>
    <row r="1145" customFormat="false" ht="15" hidden="false" customHeight="false" outlineLevel="0" collapsed="false">
      <c r="A1145" s="92" t="str">
        <f aca="false">Gov_Map!$H356&amp;""</f>
        <v>—</v>
      </c>
      <c r="B1145" s="65" t="s">
        <v>10484</v>
      </c>
      <c r="C1145" s="61" t="n">
        <v>356</v>
      </c>
      <c r="D1145" s="61" t="s">
        <v>10485</v>
      </c>
      <c r="E1145" s="61" t="s">
        <v>10485</v>
      </c>
      <c r="F1145" s="62" t="s">
        <v>809</v>
      </c>
    </row>
    <row r="1146" customFormat="false" ht="15" hidden="false" customHeight="false" outlineLevel="0" collapsed="false">
      <c r="A1146" s="92" t="str">
        <f aca="false">Gov_Map!$H357&amp;""</f>
        <v>—</v>
      </c>
      <c r="B1146" s="65" t="s">
        <v>10484</v>
      </c>
      <c r="C1146" s="61" t="n">
        <v>357</v>
      </c>
      <c r="D1146" s="61" t="s">
        <v>10485</v>
      </c>
      <c r="E1146" s="61" t="s">
        <v>10485</v>
      </c>
      <c r="F1146" s="62" t="s">
        <v>809</v>
      </c>
    </row>
    <row r="1147" customFormat="false" ht="15" hidden="false" customHeight="false" outlineLevel="0" collapsed="false">
      <c r="A1147" s="92" t="str">
        <f aca="false">Gov_Map!$H358&amp;""</f>
        <v>—</v>
      </c>
      <c r="B1147" s="65" t="s">
        <v>10484</v>
      </c>
      <c r="C1147" s="61" t="n">
        <v>358</v>
      </c>
      <c r="D1147" s="61" t="s">
        <v>10485</v>
      </c>
      <c r="E1147" s="61" t="s">
        <v>10485</v>
      </c>
      <c r="F1147" s="62" t="s">
        <v>809</v>
      </c>
    </row>
    <row r="1148" customFormat="false" ht="15" hidden="false" customHeight="false" outlineLevel="0" collapsed="false">
      <c r="A1148" s="92" t="str">
        <f aca="false">Gov_Map!$H359&amp;""</f>
        <v>—</v>
      </c>
      <c r="B1148" s="65" t="s">
        <v>10484</v>
      </c>
      <c r="C1148" s="61" t="n">
        <v>359</v>
      </c>
      <c r="D1148" s="61" t="s">
        <v>10485</v>
      </c>
      <c r="E1148" s="61" t="s">
        <v>10485</v>
      </c>
      <c r="F1148" s="62" t="s">
        <v>809</v>
      </c>
    </row>
    <row r="1149" customFormat="false" ht="15" hidden="false" customHeight="false" outlineLevel="0" collapsed="false">
      <c r="A1149" s="92" t="str">
        <f aca="false">Gov_Map!$H360&amp;""</f>
        <v>—</v>
      </c>
      <c r="B1149" s="65" t="s">
        <v>10484</v>
      </c>
      <c r="C1149" s="61" t="n">
        <v>360</v>
      </c>
      <c r="D1149" s="61" t="s">
        <v>10485</v>
      </c>
      <c r="E1149" s="61" t="s">
        <v>10485</v>
      </c>
      <c r="F1149" s="62" t="s">
        <v>809</v>
      </c>
    </row>
    <row r="1150" customFormat="false" ht="15" hidden="false" customHeight="false" outlineLevel="0" collapsed="false">
      <c r="A1150" s="92" t="str">
        <f aca="false">Gov_Map!$H361&amp;""</f>
        <v>SRC_MOD_020</v>
      </c>
      <c r="B1150" s="65" t="s">
        <v>10484</v>
      </c>
      <c r="C1150" s="61" t="n">
        <v>361</v>
      </c>
      <c r="D1150" s="61" t="s">
        <v>10485</v>
      </c>
      <c r="E1150" s="61" t="s">
        <v>10485</v>
      </c>
      <c r="F1150" s="62" t="s">
        <v>809</v>
      </c>
    </row>
    <row r="1151" customFormat="false" ht="15" hidden="false" customHeight="false" outlineLevel="0" collapsed="false">
      <c r="A1151" s="92" t="str">
        <f aca="false">Gov_Map!$H362&amp;""</f>
        <v>SRC_MOD_021</v>
      </c>
      <c r="B1151" s="65" t="s">
        <v>10484</v>
      </c>
      <c r="C1151" s="61" t="n">
        <v>362</v>
      </c>
      <c r="D1151" s="61" t="s">
        <v>10485</v>
      </c>
      <c r="E1151" s="61" t="s">
        <v>10485</v>
      </c>
      <c r="F1151" s="62" t="s">
        <v>809</v>
      </c>
    </row>
    <row r="1152" customFormat="false" ht="15" hidden="false" customHeight="false" outlineLevel="0" collapsed="false">
      <c r="A1152" s="92" t="str">
        <f aca="false">Gov_Map!$H363&amp;""</f>
        <v>SRC_MOD_022</v>
      </c>
      <c r="B1152" s="65" t="s">
        <v>10484</v>
      </c>
      <c r="C1152" s="61" t="n">
        <v>363</v>
      </c>
      <c r="D1152" s="61" t="s">
        <v>10485</v>
      </c>
      <c r="E1152" s="61" t="s">
        <v>10485</v>
      </c>
      <c r="F1152" s="62" t="s">
        <v>809</v>
      </c>
    </row>
    <row r="1153" customFormat="false" ht="15" hidden="false" customHeight="false" outlineLevel="0" collapsed="false">
      <c r="A1153" s="92" t="str">
        <f aca="false">Gov_Map!$H364&amp;""</f>
        <v>SRC_MOD_023</v>
      </c>
      <c r="B1153" s="65" t="s">
        <v>10484</v>
      </c>
      <c r="C1153" s="61" t="n">
        <v>364</v>
      </c>
      <c r="D1153" s="61" t="s">
        <v>10485</v>
      </c>
      <c r="E1153" s="61" t="s">
        <v>10485</v>
      </c>
      <c r="F1153" s="62" t="s">
        <v>809</v>
      </c>
    </row>
    <row r="1154" customFormat="false" ht="15" hidden="false" customHeight="false" outlineLevel="0" collapsed="false">
      <c r="A1154" s="92" t="str">
        <f aca="false">Gov_Map!$H365&amp;""</f>
        <v>SRC_MOD_024</v>
      </c>
      <c r="B1154" s="65" t="s">
        <v>10484</v>
      </c>
      <c r="C1154" s="61" t="n">
        <v>365</v>
      </c>
      <c r="D1154" s="61" t="s">
        <v>10485</v>
      </c>
      <c r="E1154" s="61" t="s">
        <v>10485</v>
      </c>
      <c r="F1154" s="62" t="s">
        <v>809</v>
      </c>
    </row>
    <row r="1155" customFormat="false" ht="15" hidden="false" customHeight="false" outlineLevel="0" collapsed="false">
      <c r="A1155" s="92" t="str">
        <f aca="false">Gov_Map!$H366&amp;""</f>
        <v>SRC_MOD_025</v>
      </c>
      <c r="B1155" s="65" t="s">
        <v>10484</v>
      </c>
      <c r="C1155" s="61" t="n">
        <v>366</v>
      </c>
      <c r="D1155" s="61" t="s">
        <v>10485</v>
      </c>
      <c r="E1155" s="61" t="s">
        <v>10485</v>
      </c>
      <c r="F1155" s="62" t="s">
        <v>809</v>
      </c>
    </row>
    <row r="1156" customFormat="false" ht="15" hidden="false" customHeight="false" outlineLevel="0" collapsed="false">
      <c r="A1156" s="92" t="str">
        <f aca="false">Gov_Map!$H367&amp;""</f>
        <v>SRC_MOD_026</v>
      </c>
      <c r="B1156" s="65" t="s">
        <v>10484</v>
      </c>
      <c r="C1156" s="61" t="n">
        <v>367</v>
      </c>
      <c r="D1156" s="61" t="s">
        <v>10485</v>
      </c>
      <c r="E1156" s="61" t="s">
        <v>10485</v>
      </c>
      <c r="F1156" s="62" t="s">
        <v>809</v>
      </c>
    </row>
    <row r="1157" customFormat="false" ht="15" hidden="false" customHeight="false" outlineLevel="0" collapsed="false">
      <c r="A1157" s="92" t="str">
        <f aca="false">Gov_Map!$H368&amp;""</f>
        <v>SRC_MOD_027</v>
      </c>
      <c r="B1157" s="65" t="s">
        <v>10484</v>
      </c>
      <c r="C1157" s="61" t="n">
        <v>368</v>
      </c>
      <c r="D1157" s="61" t="s">
        <v>10485</v>
      </c>
      <c r="E1157" s="61" t="s">
        <v>10485</v>
      </c>
      <c r="F1157" s="62" t="s">
        <v>809</v>
      </c>
    </row>
    <row r="1158" customFormat="false" ht="15" hidden="false" customHeight="false" outlineLevel="0" collapsed="false">
      <c r="A1158" s="92" t="str">
        <f aca="false">Gov_Map!$H369&amp;""</f>
        <v>SRC_MOD_028</v>
      </c>
      <c r="B1158" s="65" t="s">
        <v>10484</v>
      </c>
      <c r="C1158" s="61" t="n">
        <v>369</v>
      </c>
      <c r="D1158" s="61" t="s">
        <v>10485</v>
      </c>
      <c r="E1158" s="61" t="s">
        <v>10485</v>
      </c>
      <c r="F1158" s="62" t="s">
        <v>809</v>
      </c>
    </row>
    <row r="1159" customFormat="false" ht="15" hidden="false" customHeight="false" outlineLevel="0" collapsed="false">
      <c r="A1159" s="92" t="str">
        <f aca="false">Gov_Map!$H370&amp;""</f>
        <v>SRC_MOD_049</v>
      </c>
      <c r="B1159" s="65" t="s">
        <v>10484</v>
      </c>
      <c r="C1159" s="61" t="n">
        <v>370</v>
      </c>
      <c r="D1159" s="61" t="s">
        <v>10485</v>
      </c>
      <c r="E1159" s="61" t="s">
        <v>10485</v>
      </c>
      <c r="F1159" s="62" t="s">
        <v>809</v>
      </c>
    </row>
    <row r="1160" customFormat="false" ht="15" hidden="false" customHeight="false" outlineLevel="0" collapsed="false">
      <c r="A1160" s="92" t="str">
        <f aca="false">Gov_Map!$H371&amp;""</f>
        <v>SRC_PERF_029</v>
      </c>
      <c r="B1160" s="65" t="s">
        <v>10484</v>
      </c>
      <c r="C1160" s="61" t="n">
        <v>371</v>
      </c>
      <c r="D1160" s="61" t="s">
        <v>10485</v>
      </c>
      <c r="E1160" s="61" t="s">
        <v>10485</v>
      </c>
      <c r="F1160" s="62" t="s">
        <v>809</v>
      </c>
    </row>
    <row r="1161" customFormat="false" ht="15" hidden="false" customHeight="false" outlineLevel="0" collapsed="false">
      <c r="A1161" s="92" t="str">
        <f aca="false">Gov_Map!$H372&amp;""</f>
        <v>SRC_PERF_030</v>
      </c>
      <c r="B1161" s="65" t="s">
        <v>10484</v>
      </c>
      <c r="C1161" s="61" t="n">
        <v>372</v>
      </c>
      <c r="D1161" s="61" t="s">
        <v>10485</v>
      </c>
      <c r="E1161" s="61" t="s">
        <v>10485</v>
      </c>
      <c r="F1161" s="62" t="s">
        <v>809</v>
      </c>
    </row>
    <row r="1162" customFormat="false" ht="15" hidden="false" customHeight="false" outlineLevel="0" collapsed="false">
      <c r="A1162" s="92" t="str">
        <f aca="false">Gov_Map!$H373&amp;""</f>
        <v>—</v>
      </c>
      <c r="B1162" s="65" t="s">
        <v>10484</v>
      </c>
      <c r="C1162" s="61" t="n">
        <v>373</v>
      </c>
      <c r="D1162" s="61" t="s">
        <v>10485</v>
      </c>
      <c r="E1162" s="61" t="s">
        <v>10485</v>
      </c>
      <c r="F1162" s="62" t="s">
        <v>809</v>
      </c>
    </row>
    <row r="1163" customFormat="false" ht="15" hidden="false" customHeight="false" outlineLevel="0" collapsed="false">
      <c r="A1163" s="92" t="str">
        <f aca="false">Gov_Map!$H374&amp;""</f>
        <v>SRC_PERF_031</v>
      </c>
      <c r="B1163" s="65" t="s">
        <v>10484</v>
      </c>
      <c r="C1163" s="61" t="n">
        <v>374</v>
      </c>
      <c r="D1163" s="61" t="s">
        <v>10485</v>
      </c>
      <c r="E1163" s="61" t="s">
        <v>10485</v>
      </c>
      <c r="F1163" s="62" t="s">
        <v>809</v>
      </c>
    </row>
    <row r="1164" customFormat="false" ht="15" hidden="false" customHeight="false" outlineLevel="0" collapsed="false">
      <c r="A1164" s="92" t="str">
        <f aca="false">Gov_Map!$H375&amp;""</f>
        <v>SRC_PERF_031</v>
      </c>
      <c r="B1164" s="65" t="s">
        <v>10484</v>
      </c>
      <c r="C1164" s="61" t="n">
        <v>375</v>
      </c>
      <c r="D1164" s="61" t="s">
        <v>10485</v>
      </c>
      <c r="E1164" s="61" t="s">
        <v>10485</v>
      </c>
      <c r="F1164" s="62" t="s">
        <v>809</v>
      </c>
    </row>
    <row r="1165" customFormat="false" ht="15" hidden="false" customHeight="false" outlineLevel="0" collapsed="false">
      <c r="A1165" s="92" t="str">
        <f aca="false">Gov_Map!$H376&amp;""</f>
        <v>SRC_PERF_031</v>
      </c>
      <c r="B1165" s="65" t="s">
        <v>10484</v>
      </c>
      <c r="C1165" s="61" t="n">
        <v>376</v>
      </c>
      <c r="D1165" s="61" t="s">
        <v>10485</v>
      </c>
      <c r="E1165" s="61" t="s">
        <v>10485</v>
      </c>
      <c r="F1165" s="62" t="s">
        <v>809</v>
      </c>
    </row>
    <row r="1166" customFormat="false" ht="15" hidden="false" customHeight="false" outlineLevel="0" collapsed="false">
      <c r="A1166" s="92" t="str">
        <f aca="false">Gov_Map!$H377&amp;""</f>
        <v>SRC_PERF_032</v>
      </c>
      <c r="B1166" s="65" t="s">
        <v>10484</v>
      </c>
      <c r="C1166" s="61" t="n">
        <v>377</v>
      </c>
      <c r="D1166" s="61" t="s">
        <v>10485</v>
      </c>
      <c r="E1166" s="61" t="s">
        <v>10485</v>
      </c>
      <c r="F1166" s="62" t="s">
        <v>809</v>
      </c>
    </row>
    <row r="1167" customFormat="false" ht="15" hidden="false" customHeight="false" outlineLevel="0" collapsed="false">
      <c r="A1167" s="92" t="str">
        <f aca="false">Gov_Map!$H378&amp;""</f>
        <v>SRC_PERF_035</v>
      </c>
      <c r="B1167" s="65" t="s">
        <v>10484</v>
      </c>
      <c r="C1167" s="61" t="n">
        <v>378</v>
      </c>
      <c r="D1167" s="61" t="s">
        <v>10485</v>
      </c>
      <c r="E1167" s="61" t="s">
        <v>10485</v>
      </c>
      <c r="F1167" s="62" t="s">
        <v>809</v>
      </c>
    </row>
    <row r="1168" customFormat="false" ht="15" hidden="false" customHeight="false" outlineLevel="0" collapsed="false">
      <c r="A1168" s="92" t="str">
        <f aca="false">Gov_Map!$H379&amp;""</f>
        <v>SRC_PERF_035</v>
      </c>
      <c r="B1168" s="65" t="s">
        <v>10484</v>
      </c>
      <c r="C1168" s="61" t="n">
        <v>379</v>
      </c>
      <c r="D1168" s="61" t="s">
        <v>10485</v>
      </c>
      <c r="E1168" s="61" t="s">
        <v>10485</v>
      </c>
      <c r="F1168" s="62" t="s">
        <v>809</v>
      </c>
    </row>
    <row r="1169" customFormat="false" ht="15" hidden="false" customHeight="false" outlineLevel="0" collapsed="false">
      <c r="A1169" s="92" t="str">
        <f aca="false">Gov_Map!$H380&amp;""</f>
        <v>SRC_PERF_035</v>
      </c>
      <c r="B1169" s="65" t="s">
        <v>10484</v>
      </c>
      <c r="C1169" s="61" t="n">
        <v>380</v>
      </c>
      <c r="D1169" s="61" t="s">
        <v>10485</v>
      </c>
      <c r="E1169" s="61" t="s">
        <v>10485</v>
      </c>
      <c r="F1169" s="62" t="s">
        <v>809</v>
      </c>
    </row>
    <row r="1170" customFormat="false" ht="15" hidden="false" customHeight="false" outlineLevel="0" collapsed="false">
      <c r="A1170" s="92" t="str">
        <f aca="false">Gov_Map!$H381&amp;""</f>
        <v>SRC_PERF_035</v>
      </c>
      <c r="B1170" s="65" t="s">
        <v>10484</v>
      </c>
      <c r="C1170" s="61" t="n">
        <v>381</v>
      </c>
      <c r="D1170" s="61" t="s">
        <v>10485</v>
      </c>
      <c r="E1170" s="61" t="s">
        <v>10485</v>
      </c>
      <c r="F1170" s="62" t="s">
        <v>809</v>
      </c>
    </row>
    <row r="1171" customFormat="false" ht="15" hidden="false" customHeight="false" outlineLevel="0" collapsed="false">
      <c r="A1171" s="92" t="str">
        <f aca="false">Gov_Map!$H382&amp;""</f>
        <v>SRC_PERF_028</v>
      </c>
      <c r="B1171" s="65" t="s">
        <v>10484</v>
      </c>
      <c r="C1171" s="61" t="n">
        <v>382</v>
      </c>
      <c r="D1171" s="61" t="s">
        <v>10485</v>
      </c>
      <c r="E1171" s="61" t="s">
        <v>10485</v>
      </c>
      <c r="F1171" s="62" t="s">
        <v>809</v>
      </c>
    </row>
    <row r="1172" customFormat="false" ht="15" hidden="false" customHeight="false" outlineLevel="0" collapsed="false">
      <c r="A1172" s="92" t="str">
        <f aca="false">Gov_Map!$H383&amp;""</f>
        <v>SRC_PERF_025</v>
      </c>
      <c r="B1172" s="65" t="s">
        <v>10484</v>
      </c>
      <c r="C1172" s="61" t="n">
        <v>383</v>
      </c>
      <c r="D1172" s="61" t="s">
        <v>10485</v>
      </c>
      <c r="E1172" s="61" t="s">
        <v>10485</v>
      </c>
      <c r="F1172" s="62" t="s">
        <v>809</v>
      </c>
    </row>
    <row r="1173" customFormat="false" ht="15" hidden="false" customHeight="false" outlineLevel="0" collapsed="false">
      <c r="A1173" s="92" t="str">
        <f aca="false">Gov_Map!$H384&amp;""</f>
        <v>SRC_PERF_027</v>
      </c>
      <c r="B1173" s="65" t="s">
        <v>10484</v>
      </c>
      <c r="C1173" s="61" t="n">
        <v>384</v>
      </c>
      <c r="D1173" s="61" t="s">
        <v>10485</v>
      </c>
      <c r="E1173" s="61" t="s">
        <v>10485</v>
      </c>
      <c r="F1173" s="62" t="s">
        <v>809</v>
      </c>
    </row>
    <row r="1174" customFormat="false" ht="15" hidden="false" customHeight="false" outlineLevel="0" collapsed="false">
      <c r="A1174" s="92" t="str">
        <f aca="false">Gov_Map!$H385&amp;""</f>
        <v>SRC_PERF_076</v>
      </c>
      <c r="B1174" s="65" t="s">
        <v>10484</v>
      </c>
      <c r="C1174" s="61" t="n">
        <v>385</v>
      </c>
      <c r="D1174" s="61" t="s">
        <v>10485</v>
      </c>
      <c r="E1174" s="61" t="s">
        <v>10485</v>
      </c>
      <c r="F1174" s="62" t="s">
        <v>809</v>
      </c>
    </row>
    <row r="1175" customFormat="false" ht="15" hidden="false" customHeight="false" outlineLevel="0" collapsed="false">
      <c r="A1175" s="92" t="str">
        <f aca="false">Gov_Map!$H386&amp;""</f>
        <v>—</v>
      </c>
      <c r="B1175" s="65" t="s">
        <v>10484</v>
      </c>
      <c r="C1175" s="61" t="n">
        <v>386</v>
      </c>
      <c r="D1175" s="61" t="s">
        <v>10485</v>
      </c>
      <c r="E1175" s="61" t="s">
        <v>10485</v>
      </c>
      <c r="F1175" s="62" t="s">
        <v>809</v>
      </c>
    </row>
    <row r="1176" customFormat="false" ht="15" hidden="false" customHeight="false" outlineLevel="0" collapsed="false">
      <c r="A1176" s="92" t="str">
        <f aca="false">Gov_Map!$H387&amp;""</f>
        <v>SRC_HW_035</v>
      </c>
      <c r="B1176" s="65" t="s">
        <v>10484</v>
      </c>
      <c r="C1176" s="61" t="n">
        <v>387</v>
      </c>
      <c r="D1176" s="61" t="s">
        <v>10485</v>
      </c>
      <c r="E1176" s="61" t="s">
        <v>10485</v>
      </c>
      <c r="F1176" s="62" t="s">
        <v>809</v>
      </c>
    </row>
    <row r="1177" customFormat="false" ht="15" hidden="false" customHeight="false" outlineLevel="0" collapsed="false">
      <c r="A1177" s="92" t="str">
        <f aca="false">Gov_Map!$H388&amp;""</f>
        <v>—</v>
      </c>
      <c r="B1177" s="65" t="s">
        <v>10484</v>
      </c>
      <c r="C1177" s="61" t="n">
        <v>388</v>
      </c>
      <c r="D1177" s="61" t="s">
        <v>10485</v>
      </c>
      <c r="E1177" s="61" t="s">
        <v>10485</v>
      </c>
      <c r="F1177" s="62" t="s">
        <v>809</v>
      </c>
    </row>
    <row r="1178" customFormat="false" ht="15" hidden="false" customHeight="false" outlineLevel="0" collapsed="false">
      <c r="A1178" s="92" t="str">
        <f aca="false">Gov_Map!$H389&amp;""</f>
        <v>—</v>
      </c>
      <c r="B1178" s="65" t="s">
        <v>10484</v>
      </c>
      <c r="C1178" s="61" t="n">
        <v>389</v>
      </c>
      <c r="D1178" s="61" t="s">
        <v>10485</v>
      </c>
      <c r="E1178" s="61" t="s">
        <v>10485</v>
      </c>
      <c r="F1178" s="62" t="s">
        <v>809</v>
      </c>
    </row>
    <row r="1179" customFormat="false" ht="15" hidden="false" customHeight="false" outlineLevel="0" collapsed="false">
      <c r="A1179" s="92" t="str">
        <f aca="false">Gov_Map!$H390&amp;""</f>
        <v>—</v>
      </c>
      <c r="B1179" s="65" t="s">
        <v>10484</v>
      </c>
      <c r="C1179" s="61" t="n">
        <v>390</v>
      </c>
      <c r="D1179" s="61" t="s">
        <v>10485</v>
      </c>
      <c r="E1179" s="61" t="s">
        <v>10485</v>
      </c>
      <c r="F1179" s="62" t="s">
        <v>809</v>
      </c>
    </row>
    <row r="1180" customFormat="false" ht="15" hidden="false" customHeight="false" outlineLevel="0" collapsed="false">
      <c r="A1180" s="92" t="str">
        <f aca="false">Gov_Map!$H391&amp;""</f>
        <v>—</v>
      </c>
      <c r="B1180" s="65" t="s">
        <v>10484</v>
      </c>
      <c r="C1180" s="61" t="n">
        <v>391</v>
      </c>
      <c r="D1180" s="61" t="s">
        <v>10485</v>
      </c>
      <c r="E1180" s="61" t="s">
        <v>10485</v>
      </c>
      <c r="F1180" s="62" t="s">
        <v>809</v>
      </c>
    </row>
    <row r="1181" customFormat="false" ht="15" hidden="false" customHeight="false" outlineLevel="0" collapsed="false">
      <c r="A1181" s="92" t="str">
        <f aca="false">Gov_Map!$H392&amp;""</f>
        <v>—</v>
      </c>
      <c r="B1181" s="65" t="s">
        <v>10484</v>
      </c>
      <c r="C1181" s="61" t="n">
        <v>392</v>
      </c>
      <c r="D1181" s="61" t="s">
        <v>10485</v>
      </c>
      <c r="E1181" s="61" t="s">
        <v>10485</v>
      </c>
      <c r="F1181" s="62" t="s">
        <v>809</v>
      </c>
    </row>
    <row r="1182" customFormat="false" ht="15" hidden="false" customHeight="false" outlineLevel="0" collapsed="false">
      <c r="A1182" s="92" t="str">
        <f aca="false">Gov_Map!$H393&amp;""</f>
        <v>—</v>
      </c>
      <c r="B1182" s="65" t="s">
        <v>10484</v>
      </c>
      <c r="C1182" s="61" t="n">
        <v>393</v>
      </c>
      <c r="D1182" s="61" t="s">
        <v>10485</v>
      </c>
      <c r="E1182" s="61" t="s">
        <v>10485</v>
      </c>
      <c r="F1182" s="62" t="s">
        <v>809</v>
      </c>
    </row>
    <row r="1183" customFormat="false" ht="15" hidden="false" customHeight="false" outlineLevel="0" collapsed="false">
      <c r="A1183" s="92" t="str">
        <f aca="false">Gov_Map!$H394&amp;""</f>
        <v>—</v>
      </c>
      <c r="B1183" s="65" t="s">
        <v>10484</v>
      </c>
      <c r="C1183" s="61" t="n">
        <v>394</v>
      </c>
      <c r="D1183" s="61" t="s">
        <v>10485</v>
      </c>
      <c r="E1183" s="61" t="s">
        <v>10485</v>
      </c>
      <c r="F1183" s="62" t="s">
        <v>809</v>
      </c>
    </row>
    <row r="1184" customFormat="false" ht="15" hidden="false" customHeight="false" outlineLevel="0" collapsed="false">
      <c r="A1184" s="92" t="str">
        <f aca="false">Gov_Map!$H395&amp;""</f>
        <v>—</v>
      </c>
      <c r="B1184" s="65" t="s">
        <v>10484</v>
      </c>
      <c r="C1184" s="61" t="n">
        <v>395</v>
      </c>
      <c r="D1184" s="61" t="s">
        <v>10485</v>
      </c>
      <c r="E1184" s="61" t="s">
        <v>10485</v>
      </c>
      <c r="F1184" s="62" t="s">
        <v>809</v>
      </c>
    </row>
    <row r="1185" customFormat="false" ht="15" hidden="false" customHeight="false" outlineLevel="0" collapsed="false">
      <c r="A1185" s="92" t="str">
        <f aca="false">Gov_Map!$H396&amp;""</f>
        <v>—</v>
      </c>
      <c r="B1185" s="65" t="s">
        <v>10484</v>
      </c>
      <c r="C1185" s="61" t="n">
        <v>396</v>
      </c>
      <c r="D1185" s="61" t="s">
        <v>10485</v>
      </c>
      <c r="E1185" s="61" t="s">
        <v>10485</v>
      </c>
      <c r="F1185" s="62" t="s">
        <v>809</v>
      </c>
    </row>
    <row r="1186" customFormat="false" ht="15" hidden="false" customHeight="false" outlineLevel="0" collapsed="false">
      <c r="A1186" s="92" t="str">
        <f aca="false">Gov_Map!$H397&amp;""</f>
        <v>—</v>
      </c>
      <c r="B1186" s="65" t="s">
        <v>10484</v>
      </c>
      <c r="C1186" s="61" t="n">
        <v>397</v>
      </c>
      <c r="D1186" s="61" t="s">
        <v>10485</v>
      </c>
      <c r="E1186" s="61" t="s">
        <v>10485</v>
      </c>
      <c r="F1186" s="62" t="s">
        <v>809</v>
      </c>
    </row>
    <row r="1187" customFormat="false" ht="15" hidden="false" customHeight="false" outlineLevel="0" collapsed="false">
      <c r="A1187" s="92" t="str">
        <f aca="false">Gov_Map!$H398&amp;""</f>
        <v>—</v>
      </c>
      <c r="B1187" s="65" t="s">
        <v>10484</v>
      </c>
      <c r="C1187" s="61" t="n">
        <v>398</v>
      </c>
      <c r="D1187" s="61" t="s">
        <v>10485</v>
      </c>
      <c r="E1187" s="61" t="s">
        <v>10485</v>
      </c>
      <c r="F1187" s="62" t="s">
        <v>809</v>
      </c>
    </row>
    <row r="1188" customFormat="false" ht="15" hidden="false" customHeight="false" outlineLevel="0" collapsed="false">
      <c r="A1188" s="92" t="str">
        <f aca="false">Gov_Map!$H399&amp;""</f>
        <v>—</v>
      </c>
      <c r="B1188" s="65" t="s">
        <v>10484</v>
      </c>
      <c r="C1188" s="61" t="n">
        <v>399</v>
      </c>
      <c r="D1188" s="61" t="s">
        <v>10485</v>
      </c>
      <c r="E1188" s="61" t="s">
        <v>10485</v>
      </c>
      <c r="F1188" s="62" t="s">
        <v>809</v>
      </c>
    </row>
    <row r="1189" customFormat="false" ht="15" hidden="false" customHeight="false" outlineLevel="0" collapsed="false">
      <c r="A1189" s="92" t="str">
        <f aca="false">Gov_Map!$H400&amp;""</f>
        <v>—</v>
      </c>
      <c r="B1189" s="65" t="s">
        <v>10484</v>
      </c>
      <c r="C1189" s="61" t="n">
        <v>400</v>
      </c>
      <c r="D1189" s="61" t="s">
        <v>10485</v>
      </c>
      <c r="E1189" s="61" t="s">
        <v>10485</v>
      </c>
      <c r="F1189" s="62" t="s">
        <v>809</v>
      </c>
    </row>
    <row r="1190" customFormat="false" ht="15" hidden="false" customHeight="false" outlineLevel="0" collapsed="false">
      <c r="A1190" s="92" t="str">
        <f aca="false">Gov_Map!$H401&amp;""</f>
        <v>—</v>
      </c>
      <c r="B1190" s="65" t="s">
        <v>10484</v>
      </c>
      <c r="C1190" s="61" t="n">
        <v>401</v>
      </c>
      <c r="D1190" s="61" t="s">
        <v>10485</v>
      </c>
      <c r="E1190" s="61" t="s">
        <v>10485</v>
      </c>
      <c r="F1190" s="62" t="s">
        <v>809</v>
      </c>
    </row>
    <row r="1191" customFormat="false" ht="15" hidden="false" customHeight="false" outlineLevel="0" collapsed="false">
      <c r="A1191" s="92" t="str">
        <f aca="false">Gov_Map!$H402&amp;""</f>
        <v>—</v>
      </c>
      <c r="B1191" s="65" t="s">
        <v>10484</v>
      </c>
      <c r="C1191" s="61" t="n">
        <v>402</v>
      </c>
      <c r="D1191" s="61" t="s">
        <v>10485</v>
      </c>
      <c r="E1191" s="61" t="s">
        <v>10485</v>
      </c>
      <c r="F1191" s="62" t="s">
        <v>809</v>
      </c>
    </row>
    <row r="1192" customFormat="false" ht="15" hidden="false" customHeight="false" outlineLevel="0" collapsed="false">
      <c r="A1192" s="92" t="str">
        <f aca="false">Gov_Map!$H403&amp;""</f>
        <v>—</v>
      </c>
      <c r="B1192" s="65" t="s">
        <v>10484</v>
      </c>
      <c r="C1192" s="61" t="n">
        <v>403</v>
      </c>
      <c r="D1192" s="61" t="s">
        <v>10485</v>
      </c>
      <c r="E1192" s="61" t="s">
        <v>10485</v>
      </c>
      <c r="F1192" s="62" t="s">
        <v>809</v>
      </c>
    </row>
    <row r="1193" customFormat="false" ht="15" hidden="false" customHeight="false" outlineLevel="0" collapsed="false">
      <c r="A1193" s="92" t="str">
        <f aca="false">Gov_Map!$H404&amp;""</f>
        <v>—</v>
      </c>
      <c r="B1193" s="65" t="s">
        <v>10484</v>
      </c>
      <c r="C1193" s="61" t="n">
        <v>404</v>
      </c>
      <c r="D1193" s="61" t="s">
        <v>10485</v>
      </c>
      <c r="E1193" s="61" t="s">
        <v>10485</v>
      </c>
      <c r="F1193" s="62" t="s">
        <v>809</v>
      </c>
    </row>
    <row r="1194" customFormat="false" ht="15" hidden="false" customHeight="false" outlineLevel="0" collapsed="false">
      <c r="A1194" s="92" t="str">
        <f aca="false">Gov_Map!$H405&amp;""</f>
        <v>—</v>
      </c>
      <c r="B1194" s="65" t="s">
        <v>10484</v>
      </c>
      <c r="C1194" s="61" t="n">
        <v>405</v>
      </c>
      <c r="D1194" s="61" t="s">
        <v>10485</v>
      </c>
      <c r="E1194" s="61" t="s">
        <v>10485</v>
      </c>
      <c r="F1194" s="62" t="s">
        <v>809</v>
      </c>
    </row>
    <row r="1195" customFormat="false" ht="15" hidden="false" customHeight="false" outlineLevel="0" collapsed="false">
      <c r="A1195" s="92" t="str">
        <f aca="false">Gov_Map!$H406&amp;""</f>
        <v>—</v>
      </c>
      <c r="B1195" s="65" t="s">
        <v>10484</v>
      </c>
      <c r="C1195" s="61" t="n">
        <v>406</v>
      </c>
      <c r="D1195" s="61" t="s">
        <v>10485</v>
      </c>
      <c r="E1195" s="61" t="s">
        <v>10485</v>
      </c>
      <c r="F1195" s="62" t="s">
        <v>809</v>
      </c>
    </row>
    <row r="1196" customFormat="false" ht="15" hidden="false" customHeight="false" outlineLevel="0" collapsed="false">
      <c r="A1196" s="92" t="str">
        <f aca="false">Gov_Map!$H407&amp;""</f>
        <v>—</v>
      </c>
      <c r="B1196" s="65" t="s">
        <v>10484</v>
      </c>
      <c r="C1196" s="61" t="n">
        <v>407</v>
      </c>
      <c r="D1196" s="61" t="s">
        <v>10485</v>
      </c>
      <c r="E1196" s="61" t="s">
        <v>10485</v>
      </c>
      <c r="F1196" s="62" t="s">
        <v>809</v>
      </c>
    </row>
    <row r="1197" customFormat="false" ht="15" hidden="false" customHeight="false" outlineLevel="0" collapsed="false">
      <c r="A1197" s="92" t="str">
        <f aca="false">Gov_Map!$H408&amp;""</f>
        <v>—</v>
      </c>
      <c r="B1197" s="65" t="s">
        <v>10484</v>
      </c>
      <c r="C1197" s="61" t="n">
        <v>408</v>
      </c>
      <c r="D1197" s="61" t="s">
        <v>10485</v>
      </c>
      <c r="E1197" s="61" t="s">
        <v>10485</v>
      </c>
      <c r="F1197" s="62" t="s">
        <v>809</v>
      </c>
    </row>
    <row r="1198" customFormat="false" ht="15" hidden="false" customHeight="false" outlineLevel="0" collapsed="false">
      <c r="A1198" s="92" t="str">
        <f aca="false">Gov_Map!$H409&amp;""</f>
        <v>—</v>
      </c>
      <c r="B1198" s="65" t="s">
        <v>10484</v>
      </c>
      <c r="C1198" s="61" t="n">
        <v>409</v>
      </c>
      <c r="D1198" s="61" t="s">
        <v>10485</v>
      </c>
      <c r="E1198" s="61" t="s">
        <v>10485</v>
      </c>
      <c r="F1198" s="62" t="s">
        <v>809</v>
      </c>
    </row>
    <row r="1199" customFormat="false" ht="15" hidden="false" customHeight="false" outlineLevel="0" collapsed="false">
      <c r="A1199" s="92" t="str">
        <f aca="false">Gov_Map!$H410&amp;""</f>
        <v>—</v>
      </c>
      <c r="B1199" s="65" t="s">
        <v>10484</v>
      </c>
      <c r="C1199" s="61" t="n">
        <v>410</v>
      </c>
      <c r="D1199" s="61" t="s">
        <v>10485</v>
      </c>
      <c r="E1199" s="61" t="s">
        <v>10485</v>
      </c>
      <c r="F1199" s="62" t="s">
        <v>809</v>
      </c>
    </row>
    <row r="1200" customFormat="false" ht="15" hidden="false" customHeight="false" outlineLevel="0" collapsed="false">
      <c r="A1200" s="92" t="str">
        <f aca="false">Gov_Map!$H411&amp;""</f>
        <v>—</v>
      </c>
      <c r="B1200" s="65" t="s">
        <v>10484</v>
      </c>
      <c r="C1200" s="61" t="n">
        <v>411</v>
      </c>
      <c r="D1200" s="61" t="s">
        <v>10485</v>
      </c>
      <c r="E1200" s="61" t="s">
        <v>10485</v>
      </c>
      <c r="F1200" s="62" t="s">
        <v>809</v>
      </c>
    </row>
    <row r="1201" customFormat="false" ht="15" hidden="false" customHeight="false" outlineLevel="0" collapsed="false">
      <c r="A1201" s="92" t="str">
        <f aca="false">Gov_Map!$H412&amp;""</f>
        <v>—</v>
      </c>
      <c r="B1201" s="65" t="s">
        <v>10484</v>
      </c>
      <c r="C1201" s="61" t="n">
        <v>412</v>
      </c>
      <c r="D1201" s="61" t="s">
        <v>10485</v>
      </c>
      <c r="E1201" s="61" t="s">
        <v>10485</v>
      </c>
      <c r="F1201" s="62" t="s">
        <v>809</v>
      </c>
    </row>
    <row r="1202" customFormat="false" ht="15" hidden="false" customHeight="false" outlineLevel="0" collapsed="false">
      <c r="A1202" s="92" t="str">
        <f aca="false">Gov_Map!$H413&amp;""</f>
        <v>—</v>
      </c>
      <c r="B1202" s="65" t="s">
        <v>10484</v>
      </c>
      <c r="C1202" s="61" t="n">
        <v>413</v>
      </c>
      <c r="D1202" s="61" t="s">
        <v>10485</v>
      </c>
      <c r="E1202" s="61" t="s">
        <v>10485</v>
      </c>
      <c r="F1202" s="62" t="s">
        <v>809</v>
      </c>
    </row>
    <row r="1203" customFormat="false" ht="15" hidden="false" customHeight="false" outlineLevel="0" collapsed="false">
      <c r="A1203" s="92" t="str">
        <f aca="false">Gov_Map!$H414&amp;""</f>
        <v>—</v>
      </c>
      <c r="B1203" s="65" t="s">
        <v>10484</v>
      </c>
      <c r="C1203" s="61" t="n">
        <v>414</v>
      </c>
      <c r="D1203" s="61" t="s">
        <v>10485</v>
      </c>
      <c r="E1203" s="61" t="s">
        <v>10485</v>
      </c>
      <c r="F1203" s="62" t="s">
        <v>809</v>
      </c>
    </row>
    <row r="1204" customFormat="false" ht="15" hidden="false" customHeight="false" outlineLevel="0" collapsed="false">
      <c r="A1204" s="92" t="str">
        <f aca="false">Gov_Map!$H415&amp;""</f>
        <v>—</v>
      </c>
      <c r="B1204" s="65" t="s">
        <v>10484</v>
      </c>
      <c r="C1204" s="61" t="n">
        <v>415</v>
      </c>
      <c r="D1204" s="61" t="s">
        <v>10485</v>
      </c>
      <c r="E1204" s="61" t="s">
        <v>10485</v>
      </c>
      <c r="F1204" s="62" t="s">
        <v>809</v>
      </c>
    </row>
    <row r="1205" customFormat="false" ht="15" hidden="false" customHeight="false" outlineLevel="0" collapsed="false">
      <c r="A1205" s="92" t="str">
        <f aca="false">Gov_Map!$H416&amp;""</f>
        <v>—</v>
      </c>
      <c r="B1205" s="65" t="s">
        <v>10484</v>
      </c>
      <c r="C1205" s="61" t="n">
        <v>416</v>
      </c>
      <c r="D1205" s="61" t="s">
        <v>10485</v>
      </c>
      <c r="E1205" s="61" t="s">
        <v>10485</v>
      </c>
      <c r="F1205" s="62" t="s">
        <v>809</v>
      </c>
    </row>
    <row r="1206" customFormat="false" ht="15" hidden="false" customHeight="false" outlineLevel="0" collapsed="false">
      <c r="A1206" s="92" t="str">
        <f aca="false">Gov_Map!$H417&amp;""</f>
        <v>—</v>
      </c>
      <c r="B1206" s="65" t="s">
        <v>10484</v>
      </c>
      <c r="C1206" s="61" t="n">
        <v>417</v>
      </c>
      <c r="D1206" s="61" t="s">
        <v>10485</v>
      </c>
      <c r="E1206" s="61" t="s">
        <v>10485</v>
      </c>
      <c r="F1206" s="62" t="s">
        <v>809</v>
      </c>
    </row>
    <row r="1207" customFormat="false" ht="15" hidden="false" customHeight="false" outlineLevel="0" collapsed="false">
      <c r="A1207" s="92" t="str">
        <f aca="false">Gov_Map!$H418&amp;""</f>
        <v>—</v>
      </c>
      <c r="B1207" s="65" t="s">
        <v>10484</v>
      </c>
      <c r="C1207" s="61" t="n">
        <v>418</v>
      </c>
      <c r="D1207" s="61" t="s">
        <v>10485</v>
      </c>
      <c r="E1207" s="61" t="s">
        <v>10485</v>
      </c>
      <c r="F1207" s="62" t="s">
        <v>809</v>
      </c>
    </row>
    <row r="1208" customFormat="false" ht="15" hidden="false" customHeight="false" outlineLevel="0" collapsed="false">
      <c r="A1208" s="92" t="str">
        <f aca="false">Gov_Map!$H419&amp;""</f>
        <v>—</v>
      </c>
      <c r="B1208" s="65" t="s">
        <v>10484</v>
      </c>
      <c r="C1208" s="61" t="n">
        <v>419</v>
      </c>
      <c r="D1208" s="61" t="s">
        <v>10485</v>
      </c>
      <c r="E1208" s="61" t="s">
        <v>10485</v>
      </c>
      <c r="F1208" s="62" t="s">
        <v>809</v>
      </c>
    </row>
    <row r="1209" customFormat="false" ht="15" hidden="false" customHeight="false" outlineLevel="0" collapsed="false">
      <c r="A1209" s="92" t="str">
        <f aca="false">Gov_Map!$H420&amp;""</f>
        <v>—</v>
      </c>
      <c r="B1209" s="65" t="s">
        <v>10484</v>
      </c>
      <c r="C1209" s="61" t="n">
        <v>420</v>
      </c>
      <c r="D1209" s="61" t="s">
        <v>10485</v>
      </c>
      <c r="E1209" s="61" t="s">
        <v>10485</v>
      </c>
      <c r="F1209" s="62" t="s">
        <v>809</v>
      </c>
    </row>
    <row r="1210" customFormat="false" ht="15" hidden="false" customHeight="false" outlineLevel="0" collapsed="false">
      <c r="A1210" s="92" t="str">
        <f aca="false">Gov_Map!$H421&amp;""</f>
        <v>—</v>
      </c>
      <c r="B1210" s="65" t="s">
        <v>10484</v>
      </c>
      <c r="C1210" s="61" t="n">
        <v>421</v>
      </c>
      <c r="D1210" s="61" t="s">
        <v>10485</v>
      </c>
      <c r="E1210" s="61" t="s">
        <v>10485</v>
      </c>
      <c r="F1210" s="62" t="s">
        <v>809</v>
      </c>
    </row>
    <row r="1211" customFormat="false" ht="15" hidden="false" customHeight="false" outlineLevel="0" collapsed="false">
      <c r="A1211" s="92" t="str">
        <f aca="false">Gov_Map!$H422&amp;""</f>
        <v>—</v>
      </c>
      <c r="B1211" s="65" t="s">
        <v>10484</v>
      </c>
      <c r="C1211" s="61" t="n">
        <v>422</v>
      </c>
      <c r="D1211" s="61" t="s">
        <v>10485</v>
      </c>
      <c r="E1211" s="61" t="s">
        <v>10485</v>
      </c>
      <c r="F1211" s="62" t="s">
        <v>809</v>
      </c>
    </row>
    <row r="1212" customFormat="false" ht="15" hidden="false" customHeight="false" outlineLevel="0" collapsed="false">
      <c r="A1212" s="92" t="str">
        <f aca="false">Gov_Map!$H423&amp;""</f>
        <v>—</v>
      </c>
      <c r="B1212" s="65" t="s">
        <v>10484</v>
      </c>
      <c r="C1212" s="61" t="n">
        <v>423</v>
      </c>
      <c r="D1212" s="61" t="s">
        <v>10485</v>
      </c>
      <c r="E1212" s="61" t="s">
        <v>10485</v>
      </c>
      <c r="F1212" s="62" t="s">
        <v>809</v>
      </c>
    </row>
    <row r="1213" customFormat="false" ht="15" hidden="false" customHeight="false" outlineLevel="0" collapsed="false">
      <c r="A1213" s="92" t="str">
        <f aca="false">Gov_Map!$H424&amp;""</f>
        <v>—</v>
      </c>
      <c r="B1213" s="65" t="s">
        <v>10484</v>
      </c>
      <c r="C1213" s="61" t="n">
        <v>424</v>
      </c>
      <c r="D1213" s="61" t="s">
        <v>10485</v>
      </c>
      <c r="E1213" s="61" t="s">
        <v>10485</v>
      </c>
      <c r="F1213" s="62" t="s">
        <v>809</v>
      </c>
    </row>
    <row r="1214" customFormat="false" ht="15" hidden="false" customHeight="false" outlineLevel="0" collapsed="false">
      <c r="A1214" s="92" t="str">
        <f aca="false">Gov_Map!$H425&amp;""</f>
        <v>—</v>
      </c>
      <c r="B1214" s="65" t="s">
        <v>10484</v>
      </c>
      <c r="C1214" s="61" t="n">
        <v>425</v>
      </c>
      <c r="D1214" s="61" t="s">
        <v>10485</v>
      </c>
      <c r="E1214" s="61" t="s">
        <v>10485</v>
      </c>
      <c r="F1214" s="62" t="s">
        <v>809</v>
      </c>
    </row>
    <row r="1215" customFormat="false" ht="15" hidden="false" customHeight="false" outlineLevel="0" collapsed="false">
      <c r="A1215" s="92" t="str">
        <f aca="false">Gov_Map!$H426&amp;""</f>
        <v>—</v>
      </c>
      <c r="B1215" s="65" t="s">
        <v>10484</v>
      </c>
      <c r="C1215" s="61" t="n">
        <v>426</v>
      </c>
      <c r="D1215" s="61" t="s">
        <v>10485</v>
      </c>
      <c r="E1215" s="61" t="s">
        <v>10485</v>
      </c>
      <c r="F1215" s="62" t="s">
        <v>809</v>
      </c>
    </row>
    <row r="1216" customFormat="false" ht="15" hidden="false" customHeight="false" outlineLevel="0" collapsed="false">
      <c r="A1216" s="92" t="str">
        <f aca="false">Gov_Map!$H427&amp;""</f>
        <v>—</v>
      </c>
      <c r="B1216" s="65" t="s">
        <v>10484</v>
      </c>
      <c r="C1216" s="61" t="n">
        <v>427</v>
      </c>
      <c r="D1216" s="61" t="s">
        <v>10485</v>
      </c>
      <c r="E1216" s="61" t="s">
        <v>10485</v>
      </c>
      <c r="F1216" s="62" t="s">
        <v>809</v>
      </c>
    </row>
    <row r="1217" customFormat="false" ht="15" hidden="false" customHeight="false" outlineLevel="0" collapsed="false">
      <c r="A1217" s="92" t="str">
        <f aca="false">Gov_Map!$H428&amp;""</f>
        <v>—</v>
      </c>
      <c r="B1217" s="65" t="s">
        <v>10484</v>
      </c>
      <c r="C1217" s="61" t="n">
        <v>428</v>
      </c>
      <c r="D1217" s="61" t="s">
        <v>10485</v>
      </c>
      <c r="E1217" s="61" t="s">
        <v>10485</v>
      </c>
      <c r="F1217" s="62" t="s">
        <v>809</v>
      </c>
    </row>
    <row r="1218" customFormat="false" ht="15" hidden="false" customHeight="false" outlineLevel="0" collapsed="false">
      <c r="A1218" s="92" t="str">
        <f aca="false">Gov_Map!$H429&amp;""</f>
        <v>—</v>
      </c>
      <c r="B1218" s="65" t="s">
        <v>10484</v>
      </c>
      <c r="C1218" s="61" t="n">
        <v>429</v>
      </c>
      <c r="D1218" s="61" t="s">
        <v>10485</v>
      </c>
      <c r="E1218" s="61" t="s">
        <v>10485</v>
      </c>
      <c r="F1218" s="62" t="s">
        <v>809</v>
      </c>
    </row>
    <row r="1219" customFormat="false" ht="15" hidden="false" customHeight="false" outlineLevel="0" collapsed="false">
      <c r="A1219" s="92" t="str">
        <f aca="false">Gov_Map!$H430&amp;""</f>
        <v>—</v>
      </c>
      <c r="B1219" s="65" t="s">
        <v>10484</v>
      </c>
      <c r="C1219" s="61" t="n">
        <v>430</v>
      </c>
      <c r="D1219" s="61" t="s">
        <v>10485</v>
      </c>
      <c r="E1219" s="61" t="s">
        <v>10485</v>
      </c>
      <c r="F1219" s="62" t="s">
        <v>809</v>
      </c>
    </row>
    <row r="1220" customFormat="false" ht="15" hidden="false" customHeight="false" outlineLevel="0" collapsed="false">
      <c r="A1220" s="92" t="str">
        <f aca="false">Gov_Map!$H431&amp;""</f>
        <v>SRC_MOD_029</v>
      </c>
      <c r="B1220" s="65" t="s">
        <v>10484</v>
      </c>
      <c r="C1220" s="61" t="n">
        <v>431</v>
      </c>
      <c r="D1220" s="61" t="s">
        <v>10485</v>
      </c>
      <c r="E1220" s="61" t="s">
        <v>10485</v>
      </c>
      <c r="F1220" s="62" t="s">
        <v>809</v>
      </c>
    </row>
    <row r="1221" customFormat="false" ht="15" hidden="false" customHeight="false" outlineLevel="0" collapsed="false">
      <c r="A1221" s="92" t="str">
        <f aca="false">Gov_Map!$H432&amp;""</f>
        <v>SRC_MOD_030</v>
      </c>
      <c r="B1221" s="65" t="s">
        <v>10484</v>
      </c>
      <c r="C1221" s="61" t="n">
        <v>432</v>
      </c>
      <c r="D1221" s="61" t="s">
        <v>10485</v>
      </c>
      <c r="E1221" s="61" t="s">
        <v>10485</v>
      </c>
      <c r="F1221" s="62" t="s">
        <v>809</v>
      </c>
    </row>
    <row r="1222" customFormat="false" ht="15" hidden="false" customHeight="false" outlineLevel="0" collapsed="false">
      <c r="A1222" s="92" t="str">
        <f aca="false">Gov_Map!$H433&amp;""</f>
        <v>SRC_MOD_031</v>
      </c>
      <c r="B1222" s="65" t="s">
        <v>10484</v>
      </c>
      <c r="C1222" s="61" t="n">
        <v>433</v>
      </c>
      <c r="D1222" s="61" t="s">
        <v>10485</v>
      </c>
      <c r="E1222" s="61" t="s">
        <v>10485</v>
      </c>
      <c r="F1222" s="62" t="s">
        <v>809</v>
      </c>
    </row>
    <row r="1223" customFormat="false" ht="15" hidden="false" customHeight="false" outlineLevel="0" collapsed="false">
      <c r="A1223" s="92" t="str">
        <f aca="false">Gov_Map!$H434&amp;""</f>
        <v>SRC_MOD_031</v>
      </c>
      <c r="B1223" s="65" t="s">
        <v>10484</v>
      </c>
      <c r="C1223" s="61" t="n">
        <v>434</v>
      </c>
      <c r="D1223" s="61" t="s">
        <v>10485</v>
      </c>
      <c r="E1223" s="61" t="s">
        <v>10485</v>
      </c>
      <c r="F1223" s="62" t="s">
        <v>809</v>
      </c>
    </row>
    <row r="1224" customFormat="false" ht="15" hidden="false" customHeight="false" outlineLevel="0" collapsed="false">
      <c r="A1224" s="92" t="str">
        <f aca="false">Gov_Map!$H435&amp;""</f>
        <v>SRC_MOD_039</v>
      </c>
      <c r="B1224" s="65" t="s">
        <v>10484</v>
      </c>
      <c r="C1224" s="61" t="n">
        <v>435</v>
      </c>
      <c r="D1224" s="61" t="s">
        <v>10485</v>
      </c>
      <c r="E1224" s="61" t="s">
        <v>10485</v>
      </c>
      <c r="F1224" s="62" t="s">
        <v>809</v>
      </c>
    </row>
    <row r="1225" customFormat="false" ht="15" hidden="false" customHeight="false" outlineLevel="0" collapsed="false">
      <c r="A1225" s="92" t="str">
        <f aca="false">Gov_Map!$H436&amp;""</f>
        <v>SRC_MOD_040</v>
      </c>
      <c r="B1225" s="65" t="s">
        <v>10484</v>
      </c>
      <c r="C1225" s="61" t="n">
        <v>436</v>
      </c>
      <c r="D1225" s="61" t="s">
        <v>10485</v>
      </c>
      <c r="E1225" s="61" t="s">
        <v>10485</v>
      </c>
      <c r="F1225" s="62" t="s">
        <v>809</v>
      </c>
    </row>
    <row r="1226" customFormat="false" ht="15" hidden="false" customHeight="false" outlineLevel="0" collapsed="false">
      <c r="A1226" s="92" t="str">
        <f aca="false">Gov_Map!$H437&amp;""</f>
        <v>SRC_MOD_042</v>
      </c>
      <c r="B1226" s="65" t="s">
        <v>10484</v>
      </c>
      <c r="C1226" s="61" t="n">
        <v>437</v>
      </c>
      <c r="D1226" s="61" t="s">
        <v>10485</v>
      </c>
      <c r="E1226" s="61" t="s">
        <v>10485</v>
      </c>
      <c r="F1226" s="62" t="s">
        <v>809</v>
      </c>
    </row>
    <row r="1227" customFormat="false" ht="15" hidden="false" customHeight="false" outlineLevel="0" collapsed="false">
      <c r="A1227" s="92" t="str">
        <f aca="false">Gov_Map!$H438&amp;""</f>
        <v>SRC_MOD_036</v>
      </c>
      <c r="B1227" s="65" t="s">
        <v>10484</v>
      </c>
      <c r="C1227" s="61" t="n">
        <v>438</v>
      </c>
      <c r="D1227" s="61" t="s">
        <v>10485</v>
      </c>
      <c r="E1227" s="61" t="s">
        <v>10485</v>
      </c>
      <c r="F1227" s="62" t="s">
        <v>809</v>
      </c>
    </row>
    <row r="1228" customFormat="false" ht="15" hidden="false" customHeight="false" outlineLevel="0" collapsed="false">
      <c r="A1228" s="92" t="str">
        <f aca="false">Gov_Map!$H439&amp;""</f>
        <v>SRC_MOD_043</v>
      </c>
      <c r="B1228" s="65" t="s">
        <v>10484</v>
      </c>
      <c r="C1228" s="61" t="n">
        <v>439</v>
      </c>
      <c r="D1228" s="61" t="s">
        <v>10485</v>
      </c>
      <c r="E1228" s="61" t="s">
        <v>10485</v>
      </c>
      <c r="F1228" s="62" t="s">
        <v>809</v>
      </c>
    </row>
    <row r="1229" customFormat="false" ht="15" hidden="false" customHeight="false" outlineLevel="0" collapsed="false">
      <c r="A1229" s="92" t="str">
        <f aca="false">Gov_Map!$H440&amp;""</f>
        <v>—</v>
      </c>
      <c r="B1229" s="65" t="s">
        <v>10484</v>
      </c>
      <c r="C1229" s="61" t="n">
        <v>440</v>
      </c>
      <c r="D1229" s="61" t="s">
        <v>10485</v>
      </c>
      <c r="E1229" s="61" t="s">
        <v>10485</v>
      </c>
      <c r="F1229" s="62" t="s">
        <v>809</v>
      </c>
    </row>
    <row r="1230" customFormat="false" ht="15" hidden="false" customHeight="false" outlineLevel="0" collapsed="false">
      <c r="A1230" s="92" t="str">
        <f aca="false">Gov_Map!$H441&amp;""</f>
        <v>—</v>
      </c>
      <c r="B1230" s="65" t="s">
        <v>10484</v>
      </c>
      <c r="C1230" s="61" t="n">
        <v>441</v>
      </c>
      <c r="D1230" s="61" t="s">
        <v>10485</v>
      </c>
      <c r="E1230" s="61" t="s">
        <v>10485</v>
      </c>
      <c r="F1230" s="62" t="s">
        <v>809</v>
      </c>
    </row>
    <row r="1231" customFormat="false" ht="15" hidden="false" customHeight="false" outlineLevel="0" collapsed="false">
      <c r="A1231" s="92" t="str">
        <f aca="false">Gov_Map!$H442&amp;""</f>
        <v>—</v>
      </c>
      <c r="B1231" s="65" t="s">
        <v>10484</v>
      </c>
      <c r="C1231" s="61" t="n">
        <v>442</v>
      </c>
      <c r="D1231" s="61" t="s">
        <v>10485</v>
      </c>
      <c r="E1231" s="61" t="s">
        <v>10485</v>
      </c>
      <c r="F1231" s="62" t="s">
        <v>809</v>
      </c>
    </row>
    <row r="1232" customFormat="false" ht="15" hidden="false" customHeight="false" outlineLevel="0" collapsed="false">
      <c r="A1232" s="92" t="str">
        <f aca="false">Gov_Map!$H443&amp;""</f>
        <v>—</v>
      </c>
      <c r="B1232" s="65" t="s">
        <v>10484</v>
      </c>
      <c r="C1232" s="61" t="n">
        <v>443</v>
      </c>
      <c r="D1232" s="61" t="s">
        <v>10485</v>
      </c>
      <c r="E1232" s="61" t="s">
        <v>10485</v>
      </c>
      <c r="F1232" s="62" t="s">
        <v>809</v>
      </c>
    </row>
    <row r="1233" customFormat="false" ht="15" hidden="false" customHeight="false" outlineLevel="0" collapsed="false">
      <c r="A1233" s="92" t="str">
        <f aca="false">Gov_Map!$H444&amp;""</f>
        <v>—</v>
      </c>
      <c r="B1233" s="65" t="s">
        <v>10484</v>
      </c>
      <c r="C1233" s="61" t="n">
        <v>444</v>
      </c>
      <c r="D1233" s="61" t="s">
        <v>10485</v>
      </c>
      <c r="E1233" s="61" t="s">
        <v>10485</v>
      </c>
      <c r="F1233" s="62" t="s">
        <v>809</v>
      </c>
    </row>
    <row r="1234" customFormat="false" ht="15" hidden="false" customHeight="false" outlineLevel="0" collapsed="false">
      <c r="A1234" s="92" t="str">
        <f aca="false">Gov_Map!$H445&amp;""</f>
        <v>SRC_PRC_045</v>
      </c>
      <c r="B1234" s="65" t="s">
        <v>10484</v>
      </c>
      <c r="C1234" s="61" t="n">
        <v>445</v>
      </c>
      <c r="D1234" s="61" t="s">
        <v>10485</v>
      </c>
      <c r="E1234" s="61" t="s">
        <v>10485</v>
      </c>
      <c r="F1234" s="62" t="s">
        <v>809</v>
      </c>
    </row>
    <row r="1235" customFormat="false" ht="15" hidden="false" customHeight="false" outlineLevel="0" collapsed="false">
      <c r="A1235" s="92" t="str">
        <f aca="false">Gov_Map!$H446&amp;""</f>
        <v>SRC_PRC_045</v>
      </c>
      <c r="B1235" s="65" t="s">
        <v>10484</v>
      </c>
      <c r="C1235" s="61" t="n">
        <v>446</v>
      </c>
      <c r="D1235" s="61" t="s">
        <v>10485</v>
      </c>
      <c r="E1235" s="61" t="s">
        <v>10485</v>
      </c>
      <c r="F1235" s="62" t="s">
        <v>809</v>
      </c>
    </row>
    <row r="1236" customFormat="false" ht="15" hidden="false" customHeight="false" outlineLevel="0" collapsed="false">
      <c r="A1236" s="92" t="str">
        <f aca="false">Gov_Map!$H447&amp;""</f>
        <v>SRC_DEM_046</v>
      </c>
      <c r="B1236" s="65" t="s">
        <v>10484</v>
      </c>
      <c r="C1236" s="61" t="n">
        <v>447</v>
      </c>
      <c r="D1236" s="61" t="s">
        <v>10485</v>
      </c>
      <c r="E1236" s="61" t="s">
        <v>10485</v>
      </c>
      <c r="F1236" s="62" t="s">
        <v>809</v>
      </c>
    </row>
    <row r="1237" customFormat="false" ht="15" hidden="false" customHeight="false" outlineLevel="0" collapsed="false">
      <c r="A1237" s="92" t="str">
        <f aca="false">Gov_Map!$H448&amp;""</f>
        <v>—</v>
      </c>
      <c r="B1237" s="65" t="s">
        <v>10484</v>
      </c>
      <c r="C1237" s="61" t="n">
        <v>448</v>
      </c>
      <c r="D1237" s="61" t="s">
        <v>10485</v>
      </c>
      <c r="E1237" s="61" t="s">
        <v>10485</v>
      </c>
      <c r="F1237" s="62" t="s">
        <v>809</v>
      </c>
    </row>
    <row r="1238" customFormat="false" ht="15" hidden="false" customHeight="false" outlineLevel="0" collapsed="false">
      <c r="A1238" s="92" t="str">
        <f aca="false">Gov_Map!$H449&amp;""</f>
        <v>—</v>
      </c>
      <c r="B1238" s="65" t="s">
        <v>10484</v>
      </c>
      <c r="C1238" s="61" t="n">
        <v>449</v>
      </c>
      <c r="D1238" s="61" t="s">
        <v>10485</v>
      </c>
      <c r="E1238" s="61" t="s">
        <v>10485</v>
      </c>
      <c r="F1238" s="62" t="s">
        <v>809</v>
      </c>
    </row>
    <row r="1239" customFormat="false" ht="15" hidden="false" customHeight="false" outlineLevel="0" collapsed="false">
      <c r="A1239" s="92" t="str">
        <f aca="false">Gov_Map!$H450&amp;""</f>
        <v>—</v>
      </c>
      <c r="B1239" s="65" t="s">
        <v>10484</v>
      </c>
      <c r="C1239" s="61" t="n">
        <v>450</v>
      </c>
      <c r="D1239" s="61" t="s">
        <v>10485</v>
      </c>
      <c r="E1239" s="61" t="s">
        <v>10485</v>
      </c>
      <c r="F1239" s="62" t="s">
        <v>809</v>
      </c>
    </row>
    <row r="1240" customFormat="false" ht="15" hidden="false" customHeight="false" outlineLevel="0" collapsed="false">
      <c r="A1240" s="92" t="str">
        <f aca="false">Gov_Map!$H451&amp;""</f>
        <v>—</v>
      </c>
      <c r="B1240" s="65" t="s">
        <v>10484</v>
      </c>
      <c r="C1240" s="61" t="n">
        <v>451</v>
      </c>
      <c r="D1240" s="61" t="s">
        <v>10485</v>
      </c>
      <c r="E1240" s="61" t="s">
        <v>10485</v>
      </c>
      <c r="F1240" s="62" t="s">
        <v>809</v>
      </c>
    </row>
    <row r="1241" customFormat="false" ht="15" hidden="false" customHeight="false" outlineLevel="0" collapsed="false">
      <c r="A1241" s="92" t="str">
        <f aca="false">Gov_Map!$H452&amp;""</f>
        <v>—</v>
      </c>
      <c r="B1241" s="65" t="s">
        <v>10484</v>
      </c>
      <c r="C1241" s="61" t="n">
        <v>452</v>
      </c>
      <c r="D1241" s="61" t="s">
        <v>10485</v>
      </c>
      <c r="E1241" s="61" t="s">
        <v>10485</v>
      </c>
      <c r="F1241" s="62" t="s">
        <v>809</v>
      </c>
    </row>
    <row r="1242" customFormat="false" ht="15" hidden="false" customHeight="false" outlineLevel="0" collapsed="false">
      <c r="A1242" s="92" t="str">
        <f aca="false">Gov_Map!$H453&amp;""</f>
        <v>—</v>
      </c>
      <c r="B1242" s="65" t="s">
        <v>10484</v>
      </c>
      <c r="C1242" s="61" t="n">
        <v>453</v>
      </c>
      <c r="D1242" s="61" t="s">
        <v>10485</v>
      </c>
      <c r="E1242" s="61" t="s">
        <v>10485</v>
      </c>
      <c r="F1242" s="62" t="s">
        <v>809</v>
      </c>
    </row>
    <row r="1243" customFormat="false" ht="15" hidden="false" customHeight="false" outlineLevel="0" collapsed="false">
      <c r="A1243" s="92" t="str">
        <f aca="false">Gov_Map!$H454&amp;""</f>
        <v>—</v>
      </c>
      <c r="B1243" s="65" t="s">
        <v>10484</v>
      </c>
      <c r="C1243" s="61" t="n">
        <v>454</v>
      </c>
      <c r="D1243" s="61" t="s">
        <v>10485</v>
      </c>
      <c r="E1243" s="61" t="s">
        <v>10485</v>
      </c>
      <c r="F1243" s="62" t="s">
        <v>809</v>
      </c>
    </row>
    <row r="1244" customFormat="false" ht="15" hidden="false" customHeight="false" outlineLevel="0" collapsed="false">
      <c r="A1244" s="92" t="str">
        <f aca="false">Gov_Map!$H455&amp;""</f>
        <v>—</v>
      </c>
      <c r="B1244" s="65" t="s">
        <v>10484</v>
      </c>
      <c r="C1244" s="61" t="n">
        <v>455</v>
      </c>
      <c r="D1244" s="61" t="s">
        <v>10485</v>
      </c>
      <c r="E1244" s="61" t="s">
        <v>10485</v>
      </c>
      <c r="F1244" s="62" t="s">
        <v>809</v>
      </c>
    </row>
    <row r="1245" customFormat="false" ht="15" hidden="false" customHeight="false" outlineLevel="0" collapsed="false">
      <c r="A1245" s="92" t="str">
        <f aca="false">Gov_Map!$H456&amp;""</f>
        <v>—</v>
      </c>
      <c r="B1245" s="65" t="s">
        <v>10484</v>
      </c>
      <c r="C1245" s="61" t="n">
        <v>456</v>
      </c>
      <c r="D1245" s="61" t="s">
        <v>10485</v>
      </c>
      <c r="E1245" s="61" t="s">
        <v>10485</v>
      </c>
      <c r="F1245" s="62" t="s">
        <v>809</v>
      </c>
    </row>
    <row r="1246" customFormat="false" ht="15" hidden="false" customHeight="false" outlineLevel="0" collapsed="false">
      <c r="A1246" s="92" t="str">
        <f aca="false">Gov_Map!$H457&amp;""</f>
        <v>SRC_DEM_004</v>
      </c>
      <c r="B1246" s="65" t="s">
        <v>10484</v>
      </c>
      <c r="C1246" s="61" t="n">
        <v>457</v>
      </c>
      <c r="D1246" s="61" t="s">
        <v>10485</v>
      </c>
      <c r="E1246" s="61" t="s">
        <v>10485</v>
      </c>
      <c r="F1246" s="62" t="s">
        <v>809</v>
      </c>
    </row>
    <row r="1247" customFormat="false" ht="15" hidden="false" customHeight="false" outlineLevel="0" collapsed="false">
      <c r="A1247" s="92" t="str">
        <f aca="false">Gov_Map!$H458&amp;""</f>
        <v>—</v>
      </c>
      <c r="B1247" s="65" t="s">
        <v>10484</v>
      </c>
      <c r="C1247" s="61" t="n">
        <v>458</v>
      </c>
      <c r="D1247" s="61" t="s">
        <v>10485</v>
      </c>
      <c r="E1247" s="61" t="s">
        <v>10485</v>
      </c>
      <c r="F1247" s="62" t="s">
        <v>809</v>
      </c>
    </row>
    <row r="1248" customFormat="false" ht="15" hidden="false" customHeight="false" outlineLevel="0" collapsed="false">
      <c r="A1248" s="92" t="str">
        <f aca="false">Gov_Map!$H459&amp;""</f>
        <v>SRC_DEM_005</v>
      </c>
      <c r="B1248" s="65" t="s">
        <v>10484</v>
      </c>
      <c r="C1248" s="61" t="n">
        <v>459</v>
      </c>
      <c r="D1248" s="61" t="s">
        <v>10485</v>
      </c>
      <c r="E1248" s="61" t="s">
        <v>10485</v>
      </c>
      <c r="F1248" s="62" t="s">
        <v>809</v>
      </c>
    </row>
    <row r="1249" customFormat="false" ht="15" hidden="false" customHeight="false" outlineLevel="0" collapsed="false">
      <c r="A1249" s="92" t="str">
        <f aca="false">Gov_Map!$H460&amp;""</f>
        <v>—</v>
      </c>
      <c r="B1249" s="65" t="s">
        <v>10484</v>
      </c>
      <c r="C1249" s="61" t="n">
        <v>460</v>
      </c>
      <c r="D1249" s="61" t="s">
        <v>10485</v>
      </c>
      <c r="E1249" s="61" t="s">
        <v>10485</v>
      </c>
      <c r="F1249" s="62" t="s">
        <v>809</v>
      </c>
    </row>
    <row r="1250" customFormat="false" ht="15" hidden="false" customHeight="false" outlineLevel="0" collapsed="false">
      <c r="A1250" s="92" t="str">
        <f aca="false">Gov_Map!$H461&amp;""</f>
        <v>—</v>
      </c>
      <c r="B1250" s="65" t="s">
        <v>10484</v>
      </c>
      <c r="C1250" s="61" t="n">
        <v>461</v>
      </c>
      <c r="D1250" s="61" t="s">
        <v>10485</v>
      </c>
      <c r="E1250" s="61" t="s">
        <v>10485</v>
      </c>
      <c r="F1250" s="62" t="s">
        <v>809</v>
      </c>
    </row>
    <row r="1251" customFormat="false" ht="15" hidden="false" customHeight="false" outlineLevel="0" collapsed="false">
      <c r="A1251" s="92" t="str">
        <f aca="false">Gov_Map!$H462&amp;""</f>
        <v>—</v>
      </c>
      <c r="B1251" s="65" t="s">
        <v>10484</v>
      </c>
      <c r="C1251" s="61" t="n">
        <v>462</v>
      </c>
      <c r="D1251" s="61" t="s">
        <v>10485</v>
      </c>
      <c r="E1251" s="61" t="s">
        <v>10485</v>
      </c>
      <c r="F1251" s="62" t="s">
        <v>809</v>
      </c>
    </row>
    <row r="1252" customFormat="false" ht="15" hidden="false" customHeight="false" outlineLevel="0" collapsed="false">
      <c r="A1252" s="92" t="str">
        <f aca="false">Gov_Map!$H463&amp;""</f>
        <v>—</v>
      </c>
      <c r="B1252" s="65" t="s">
        <v>10484</v>
      </c>
      <c r="C1252" s="61" t="n">
        <v>463</v>
      </c>
      <c r="D1252" s="61" t="s">
        <v>10485</v>
      </c>
      <c r="E1252" s="61" t="s">
        <v>10485</v>
      </c>
      <c r="F1252" s="62" t="s">
        <v>809</v>
      </c>
    </row>
    <row r="1253" customFormat="false" ht="15" hidden="false" customHeight="false" outlineLevel="0" collapsed="false">
      <c r="A1253" s="92" t="str">
        <f aca="false">Gov_Map!$H464&amp;""</f>
        <v>—</v>
      </c>
      <c r="B1253" s="65" t="s">
        <v>10484</v>
      </c>
      <c r="C1253" s="61" t="n">
        <v>464</v>
      </c>
      <c r="D1253" s="61" t="s">
        <v>10485</v>
      </c>
      <c r="E1253" s="61" t="s">
        <v>10485</v>
      </c>
      <c r="F1253" s="62" t="s">
        <v>809</v>
      </c>
    </row>
    <row r="1254" customFormat="false" ht="15" hidden="false" customHeight="false" outlineLevel="0" collapsed="false">
      <c r="A1254" s="92" t="str">
        <f aca="false">Gov_Map!$H465&amp;""</f>
        <v>—</v>
      </c>
      <c r="B1254" s="65" t="s">
        <v>10484</v>
      </c>
      <c r="C1254" s="61" t="n">
        <v>465</v>
      </c>
      <c r="D1254" s="61" t="s">
        <v>10485</v>
      </c>
      <c r="E1254" s="61" t="s">
        <v>10485</v>
      </c>
      <c r="F1254" s="62" t="s">
        <v>809</v>
      </c>
    </row>
    <row r="1255" customFormat="false" ht="15" hidden="false" customHeight="false" outlineLevel="0" collapsed="false">
      <c r="A1255" s="92" t="str">
        <f aca="false">Gov_Map!$H466&amp;""</f>
        <v>—</v>
      </c>
      <c r="B1255" s="65" t="s">
        <v>10484</v>
      </c>
      <c r="C1255" s="61" t="n">
        <v>466</v>
      </c>
      <c r="D1255" s="61" t="s">
        <v>10485</v>
      </c>
      <c r="E1255" s="61" t="s">
        <v>10485</v>
      </c>
      <c r="F1255" s="62" t="s">
        <v>809</v>
      </c>
    </row>
    <row r="1256" customFormat="false" ht="15" hidden="false" customHeight="false" outlineLevel="0" collapsed="false">
      <c r="A1256" s="92" t="str">
        <f aca="false">Gov_Map!$H467&amp;""</f>
        <v>—</v>
      </c>
      <c r="B1256" s="65" t="s">
        <v>10484</v>
      </c>
      <c r="C1256" s="61" t="n">
        <v>467</v>
      </c>
      <c r="D1256" s="61" t="s">
        <v>10485</v>
      </c>
      <c r="E1256" s="61" t="s">
        <v>10485</v>
      </c>
      <c r="F1256" s="62" t="s">
        <v>809</v>
      </c>
    </row>
    <row r="1257" customFormat="false" ht="15" hidden="false" customHeight="false" outlineLevel="0" collapsed="false">
      <c r="A1257" s="92" t="str">
        <f aca="false">Gov_Map!$H468&amp;""</f>
        <v>—</v>
      </c>
      <c r="B1257" s="65" t="s">
        <v>10484</v>
      </c>
      <c r="C1257" s="61" t="n">
        <v>468</v>
      </c>
      <c r="D1257" s="61" t="s">
        <v>10485</v>
      </c>
      <c r="E1257" s="61" t="s">
        <v>10485</v>
      </c>
      <c r="F1257" s="62" t="s">
        <v>809</v>
      </c>
    </row>
    <row r="1258" customFormat="false" ht="15" hidden="false" customHeight="false" outlineLevel="0" collapsed="false">
      <c r="A1258" s="92" t="str">
        <f aca="false">Gov_Map!$H469&amp;""</f>
        <v>—</v>
      </c>
      <c r="B1258" s="65" t="s">
        <v>10484</v>
      </c>
      <c r="C1258" s="61" t="n">
        <v>469</v>
      </c>
      <c r="D1258" s="61" t="s">
        <v>10485</v>
      </c>
      <c r="E1258" s="61" t="s">
        <v>10485</v>
      </c>
      <c r="F1258" s="62" t="s">
        <v>809</v>
      </c>
    </row>
    <row r="1259" customFormat="false" ht="15" hidden="false" customHeight="false" outlineLevel="0" collapsed="false">
      <c r="A1259" s="92" t="str">
        <f aca="false">Gov_Map!$H470&amp;""</f>
        <v>—</v>
      </c>
      <c r="B1259" s="65" t="s">
        <v>10484</v>
      </c>
      <c r="C1259" s="61" t="n">
        <v>470</v>
      </c>
      <c r="D1259" s="61" t="s">
        <v>10485</v>
      </c>
      <c r="E1259" s="61" t="s">
        <v>10485</v>
      </c>
      <c r="F1259" s="62" t="s">
        <v>809</v>
      </c>
    </row>
    <row r="1260" customFormat="false" ht="15" hidden="false" customHeight="false" outlineLevel="0" collapsed="false">
      <c r="A1260" s="92" t="str">
        <f aca="false">Gov_Map!$H471&amp;""</f>
        <v>—</v>
      </c>
      <c r="B1260" s="65" t="s">
        <v>10484</v>
      </c>
      <c r="C1260" s="61" t="n">
        <v>471</v>
      </c>
      <c r="D1260" s="61" t="s">
        <v>10485</v>
      </c>
      <c r="E1260" s="61" t="s">
        <v>10485</v>
      </c>
      <c r="F1260" s="62" t="s">
        <v>809</v>
      </c>
    </row>
    <row r="1261" customFormat="false" ht="15" hidden="false" customHeight="false" outlineLevel="0" collapsed="false">
      <c r="A1261" s="92" t="str">
        <f aca="false">Gov_Map!$H472&amp;""</f>
        <v>—</v>
      </c>
      <c r="B1261" s="65" t="s">
        <v>10484</v>
      </c>
      <c r="C1261" s="61" t="n">
        <v>472</v>
      </c>
      <c r="D1261" s="61" t="s">
        <v>10485</v>
      </c>
      <c r="E1261" s="61" t="s">
        <v>10485</v>
      </c>
      <c r="F1261" s="62" t="s">
        <v>809</v>
      </c>
    </row>
    <row r="1262" customFormat="false" ht="15" hidden="false" customHeight="false" outlineLevel="0" collapsed="false">
      <c r="A1262" s="92" t="str">
        <f aca="false">Gov_Map!$H473&amp;""</f>
        <v>—</v>
      </c>
      <c r="B1262" s="65" t="s">
        <v>10484</v>
      </c>
      <c r="C1262" s="61" t="n">
        <v>473</v>
      </c>
      <c r="D1262" s="61" t="s">
        <v>10485</v>
      </c>
      <c r="E1262" s="61" t="s">
        <v>10485</v>
      </c>
      <c r="F1262" s="62" t="s">
        <v>809</v>
      </c>
    </row>
    <row r="1263" customFormat="false" ht="15" hidden="false" customHeight="false" outlineLevel="0" collapsed="false">
      <c r="A1263" s="92" t="str">
        <f aca="false">Gov_Map!$H474&amp;""</f>
        <v>—</v>
      </c>
      <c r="B1263" s="65" t="s">
        <v>10484</v>
      </c>
      <c r="C1263" s="61" t="n">
        <v>474</v>
      </c>
      <c r="D1263" s="61" t="s">
        <v>10485</v>
      </c>
      <c r="E1263" s="61" t="s">
        <v>10485</v>
      </c>
      <c r="F1263" s="62" t="s">
        <v>809</v>
      </c>
    </row>
    <row r="1264" customFormat="false" ht="15" hidden="false" customHeight="false" outlineLevel="0" collapsed="false">
      <c r="A1264" s="92" t="str">
        <f aca="false">Gov_Map!$H475&amp;""</f>
        <v>—</v>
      </c>
      <c r="B1264" s="65" t="s">
        <v>10484</v>
      </c>
      <c r="C1264" s="61" t="n">
        <v>475</v>
      </c>
      <c r="D1264" s="61" t="s">
        <v>10485</v>
      </c>
      <c r="E1264" s="61" t="s">
        <v>10485</v>
      </c>
      <c r="F1264" s="62" t="s">
        <v>809</v>
      </c>
    </row>
    <row r="1265" customFormat="false" ht="15" hidden="false" customHeight="false" outlineLevel="0" collapsed="false">
      <c r="A1265" s="92" t="str">
        <f aca="false">Gov_Map!$H476&amp;""</f>
        <v>—</v>
      </c>
      <c r="B1265" s="65" t="s">
        <v>10484</v>
      </c>
      <c r="C1265" s="61" t="n">
        <v>476</v>
      </c>
      <c r="D1265" s="61" t="s">
        <v>10485</v>
      </c>
      <c r="E1265" s="61" t="s">
        <v>10485</v>
      </c>
      <c r="F1265" s="62" t="s">
        <v>809</v>
      </c>
    </row>
    <row r="1266" customFormat="false" ht="15" hidden="false" customHeight="false" outlineLevel="0" collapsed="false">
      <c r="A1266" s="92" t="str">
        <f aca="false">Gov_Map!$H477&amp;""</f>
        <v>SRC_PRC_027</v>
      </c>
      <c r="B1266" s="65" t="s">
        <v>10484</v>
      </c>
      <c r="C1266" s="61" t="n">
        <v>477</v>
      </c>
      <c r="D1266" s="61" t="s">
        <v>10485</v>
      </c>
      <c r="E1266" s="61" t="s">
        <v>10485</v>
      </c>
      <c r="F1266" s="62" t="s">
        <v>809</v>
      </c>
    </row>
    <row r="1267" customFormat="false" ht="15" hidden="false" customHeight="false" outlineLevel="0" collapsed="false">
      <c r="A1267" s="92" t="str">
        <f aca="false">Gov_Map!$H478&amp;""</f>
        <v>—</v>
      </c>
      <c r="B1267" s="65" t="s">
        <v>10484</v>
      </c>
      <c r="C1267" s="61" t="n">
        <v>478</v>
      </c>
      <c r="D1267" s="61" t="s">
        <v>10485</v>
      </c>
      <c r="E1267" s="61" t="s">
        <v>10485</v>
      </c>
      <c r="F1267" s="62" t="s">
        <v>809</v>
      </c>
    </row>
    <row r="1268" customFormat="false" ht="15" hidden="false" customHeight="false" outlineLevel="0" collapsed="false">
      <c r="A1268" s="92" t="str">
        <f aca="false">Gov_Map!$H479&amp;""</f>
        <v>—</v>
      </c>
      <c r="B1268" s="65" t="s">
        <v>10484</v>
      </c>
      <c r="C1268" s="61" t="n">
        <v>479</v>
      </c>
      <c r="D1268" s="61" t="s">
        <v>10485</v>
      </c>
      <c r="E1268" s="61" t="s">
        <v>10485</v>
      </c>
      <c r="F1268" s="62" t="s">
        <v>809</v>
      </c>
    </row>
    <row r="1269" customFormat="false" ht="15" hidden="false" customHeight="false" outlineLevel="0" collapsed="false">
      <c r="A1269" s="92" t="str">
        <f aca="false">Gov_Map!$H480&amp;""</f>
        <v>—</v>
      </c>
      <c r="B1269" s="65" t="s">
        <v>10484</v>
      </c>
      <c r="C1269" s="61" t="n">
        <v>480</v>
      </c>
      <c r="D1269" s="61" t="s">
        <v>10485</v>
      </c>
      <c r="E1269" s="61" t="s">
        <v>10485</v>
      </c>
      <c r="F1269" s="62" t="s">
        <v>809</v>
      </c>
    </row>
    <row r="1270" customFormat="false" ht="15" hidden="false" customHeight="false" outlineLevel="0" collapsed="false">
      <c r="A1270" s="92" t="str">
        <f aca="false">Gov_Map!$H481&amp;""</f>
        <v>SRC_CAP_007</v>
      </c>
      <c r="B1270" s="65" t="s">
        <v>10484</v>
      </c>
      <c r="C1270" s="61" t="n">
        <v>481</v>
      </c>
      <c r="D1270" s="61" t="s">
        <v>10485</v>
      </c>
      <c r="E1270" s="61" t="s">
        <v>10485</v>
      </c>
      <c r="F1270" s="62" t="s">
        <v>809</v>
      </c>
    </row>
    <row r="1271" customFormat="false" ht="15" hidden="false" customHeight="false" outlineLevel="0" collapsed="false">
      <c r="A1271" s="92" t="str">
        <f aca="false">Gov_Map!$H482&amp;""</f>
        <v>SRC_CAP_006</v>
      </c>
      <c r="B1271" s="65" t="s">
        <v>10484</v>
      </c>
      <c r="C1271" s="61" t="n">
        <v>482</v>
      </c>
      <c r="D1271" s="61" t="s">
        <v>10485</v>
      </c>
      <c r="E1271" s="61" t="s">
        <v>10485</v>
      </c>
      <c r="F1271" s="62" t="s">
        <v>809</v>
      </c>
    </row>
    <row r="1272" customFormat="false" ht="15" hidden="false" customHeight="false" outlineLevel="0" collapsed="false">
      <c r="A1272" s="92" t="str">
        <f aca="false">Gov_Map!$H483&amp;""</f>
        <v>—</v>
      </c>
      <c r="B1272" s="65" t="s">
        <v>10484</v>
      </c>
      <c r="C1272" s="61" t="n">
        <v>483</v>
      </c>
      <c r="D1272" s="61" t="s">
        <v>10485</v>
      </c>
      <c r="E1272" s="61" t="s">
        <v>10485</v>
      </c>
      <c r="F1272" s="62" t="s">
        <v>809</v>
      </c>
    </row>
    <row r="1273" customFormat="false" ht="15" hidden="false" customHeight="false" outlineLevel="0" collapsed="false">
      <c r="A1273" s="92" t="str">
        <f aca="false">Gov_Map!$H484&amp;""</f>
        <v>—</v>
      </c>
      <c r="B1273" s="65" t="s">
        <v>10484</v>
      </c>
      <c r="C1273" s="61" t="n">
        <v>484</v>
      </c>
      <c r="D1273" s="61" t="s">
        <v>10485</v>
      </c>
      <c r="E1273" s="61" t="s">
        <v>10485</v>
      </c>
      <c r="F1273" s="62" t="s">
        <v>809</v>
      </c>
    </row>
    <row r="1274" customFormat="false" ht="15" hidden="false" customHeight="false" outlineLevel="0" collapsed="false">
      <c r="A1274" s="92" t="str">
        <f aca="false">Gov_Map!$H485&amp;""</f>
        <v>—</v>
      </c>
      <c r="B1274" s="65" t="s">
        <v>10484</v>
      </c>
      <c r="C1274" s="61" t="n">
        <v>485</v>
      </c>
      <c r="D1274" s="61" t="s">
        <v>10485</v>
      </c>
      <c r="E1274" s="61" t="s">
        <v>10485</v>
      </c>
      <c r="F1274" s="62" t="s">
        <v>809</v>
      </c>
    </row>
    <row r="1275" customFormat="false" ht="15" hidden="false" customHeight="false" outlineLevel="0" collapsed="false">
      <c r="A1275" s="92" t="str">
        <f aca="false">Gov_Map!$H486&amp;""</f>
        <v>—</v>
      </c>
      <c r="B1275" s="65" t="s">
        <v>10484</v>
      </c>
      <c r="C1275" s="61" t="n">
        <v>486</v>
      </c>
      <c r="D1275" s="61" t="s">
        <v>10485</v>
      </c>
      <c r="E1275" s="61" t="s">
        <v>10485</v>
      </c>
      <c r="F1275" s="62" t="s">
        <v>809</v>
      </c>
    </row>
    <row r="1276" customFormat="false" ht="15" hidden="false" customHeight="false" outlineLevel="0" collapsed="false">
      <c r="A1276" s="92" t="str">
        <f aca="false">Gov_Map!$H487&amp;""</f>
        <v>—</v>
      </c>
      <c r="B1276" s="65" t="s">
        <v>10484</v>
      </c>
      <c r="C1276" s="61" t="n">
        <v>487</v>
      </c>
      <c r="D1276" s="61" t="s">
        <v>10485</v>
      </c>
      <c r="E1276" s="61" t="s">
        <v>10485</v>
      </c>
      <c r="F1276" s="62" t="s">
        <v>809</v>
      </c>
    </row>
    <row r="1277" customFormat="false" ht="15" hidden="false" customHeight="false" outlineLevel="0" collapsed="false">
      <c r="A1277" s="92" t="str">
        <f aca="false">Gov_Map!$H488&amp;""</f>
        <v>—</v>
      </c>
      <c r="B1277" s="65" t="s">
        <v>10484</v>
      </c>
      <c r="C1277" s="61" t="n">
        <v>488</v>
      </c>
      <c r="D1277" s="61" t="s">
        <v>10485</v>
      </c>
      <c r="E1277" s="61" t="s">
        <v>10485</v>
      </c>
      <c r="F1277" s="62" t="s">
        <v>809</v>
      </c>
    </row>
    <row r="1278" customFormat="false" ht="15" hidden="false" customHeight="false" outlineLevel="0" collapsed="false">
      <c r="A1278" s="92" t="str">
        <f aca="false">Gov_Map!$H489&amp;""</f>
        <v>—</v>
      </c>
      <c r="B1278" s="65" t="s">
        <v>10484</v>
      </c>
      <c r="C1278" s="61" t="n">
        <v>489</v>
      </c>
      <c r="D1278" s="61" t="s">
        <v>10485</v>
      </c>
      <c r="E1278" s="61" t="s">
        <v>10485</v>
      </c>
      <c r="F1278" s="62" t="s">
        <v>809</v>
      </c>
    </row>
    <row r="1279" customFormat="false" ht="15" hidden="false" customHeight="false" outlineLevel="0" collapsed="false">
      <c r="A1279" s="92" t="str">
        <f aca="false">Gov_Map!$H490&amp;""</f>
        <v>—</v>
      </c>
      <c r="B1279" s="65" t="s">
        <v>10484</v>
      </c>
      <c r="C1279" s="61" t="n">
        <v>490</v>
      </c>
      <c r="D1279" s="61" t="s">
        <v>10485</v>
      </c>
      <c r="E1279" s="61" t="s">
        <v>10485</v>
      </c>
      <c r="F1279" s="62" t="s">
        <v>809</v>
      </c>
    </row>
    <row r="1280" customFormat="false" ht="15" hidden="false" customHeight="false" outlineLevel="0" collapsed="false">
      <c r="A1280" s="92" t="str">
        <f aca="false">Gov_Map!$H491&amp;""</f>
        <v>—</v>
      </c>
      <c r="B1280" s="65" t="s">
        <v>10484</v>
      </c>
      <c r="C1280" s="61" t="n">
        <v>491</v>
      </c>
      <c r="D1280" s="61" t="s">
        <v>10485</v>
      </c>
      <c r="E1280" s="61" t="s">
        <v>10485</v>
      </c>
      <c r="F1280" s="62" t="s">
        <v>809</v>
      </c>
    </row>
    <row r="1281" customFormat="false" ht="15" hidden="false" customHeight="false" outlineLevel="0" collapsed="false">
      <c r="A1281" s="92" t="str">
        <f aca="false">Gov_Map!$H492&amp;""</f>
        <v>SRC_HAR_003</v>
      </c>
      <c r="B1281" s="65" t="s">
        <v>10484</v>
      </c>
      <c r="C1281" s="61" t="n">
        <v>492</v>
      </c>
      <c r="D1281" s="61" t="s">
        <v>10485</v>
      </c>
      <c r="E1281" s="61" t="s">
        <v>10485</v>
      </c>
      <c r="F1281" s="62" t="s">
        <v>809</v>
      </c>
    </row>
    <row r="1282" customFormat="false" ht="15" hidden="false" customHeight="false" outlineLevel="0" collapsed="false">
      <c r="A1282" s="92" t="str">
        <f aca="false">Gov_Map!$H493&amp;""</f>
        <v>—</v>
      </c>
      <c r="B1282" s="65" t="s">
        <v>10484</v>
      </c>
      <c r="C1282" s="61" t="n">
        <v>493</v>
      </c>
      <c r="D1282" s="61" t="s">
        <v>10485</v>
      </c>
      <c r="E1282" s="61" t="s">
        <v>10485</v>
      </c>
      <c r="F1282" s="62" t="s">
        <v>809</v>
      </c>
    </row>
    <row r="1283" customFormat="false" ht="15" hidden="false" customHeight="false" outlineLevel="0" collapsed="false">
      <c r="A1283" s="92" t="str">
        <f aca="false">Gov_Map!$H494&amp;""</f>
        <v>—</v>
      </c>
      <c r="B1283" s="65" t="s">
        <v>10484</v>
      </c>
      <c r="C1283" s="61" t="n">
        <v>494</v>
      </c>
      <c r="D1283" s="61" t="s">
        <v>10485</v>
      </c>
      <c r="E1283" s="61" t="s">
        <v>10485</v>
      </c>
      <c r="F1283" s="62" t="s">
        <v>809</v>
      </c>
    </row>
    <row r="1284" customFormat="false" ht="15" hidden="false" customHeight="false" outlineLevel="0" collapsed="false">
      <c r="A1284" s="92" t="str">
        <f aca="false">Gov_Map!$H495&amp;""</f>
        <v>—</v>
      </c>
      <c r="B1284" s="65" t="s">
        <v>10484</v>
      </c>
      <c r="C1284" s="61" t="n">
        <v>495</v>
      </c>
      <c r="D1284" s="61" t="s">
        <v>10485</v>
      </c>
      <c r="E1284" s="61" t="s">
        <v>10485</v>
      </c>
      <c r="F1284" s="62" t="s">
        <v>809</v>
      </c>
    </row>
    <row r="1285" customFormat="false" ht="15" hidden="false" customHeight="false" outlineLevel="0" collapsed="false">
      <c r="A1285" s="92" t="str">
        <f aca="false">Gov_Map!$H496&amp;""</f>
        <v>—</v>
      </c>
      <c r="B1285" s="65" t="s">
        <v>10484</v>
      </c>
      <c r="C1285" s="61" t="n">
        <v>496</v>
      </c>
      <c r="D1285" s="61" t="s">
        <v>10485</v>
      </c>
      <c r="E1285" s="61" t="s">
        <v>10485</v>
      </c>
      <c r="F1285" s="62" t="s">
        <v>809</v>
      </c>
    </row>
    <row r="1286" customFormat="false" ht="15" hidden="false" customHeight="false" outlineLevel="0" collapsed="false">
      <c r="A1286" s="92" t="str">
        <f aca="false">Gov_Map!$H497&amp;""</f>
        <v>—</v>
      </c>
      <c r="B1286" s="65" t="s">
        <v>10484</v>
      </c>
      <c r="C1286" s="61" t="n">
        <v>497</v>
      </c>
      <c r="D1286" s="61" t="s">
        <v>10485</v>
      </c>
      <c r="E1286" s="61" t="s">
        <v>10485</v>
      </c>
      <c r="F1286" s="62" t="s">
        <v>809</v>
      </c>
    </row>
    <row r="1287" customFormat="false" ht="15" hidden="false" customHeight="false" outlineLevel="0" collapsed="false">
      <c r="A1287" s="92" t="str">
        <f aca="false">Gov_Map!$H498&amp;""</f>
        <v>—</v>
      </c>
      <c r="B1287" s="65" t="s">
        <v>10484</v>
      </c>
      <c r="C1287" s="61" t="n">
        <v>498</v>
      </c>
      <c r="D1287" s="61" t="s">
        <v>10485</v>
      </c>
      <c r="E1287" s="61" t="s">
        <v>10485</v>
      </c>
      <c r="F1287" s="62" t="s">
        <v>809</v>
      </c>
    </row>
    <row r="1288" customFormat="false" ht="15" hidden="false" customHeight="false" outlineLevel="0" collapsed="false">
      <c r="A1288" s="92" t="str">
        <f aca="false">Gov_Map!$H499&amp;""</f>
        <v>—</v>
      </c>
      <c r="B1288" s="65" t="s">
        <v>10484</v>
      </c>
      <c r="C1288" s="61" t="n">
        <v>499</v>
      </c>
      <c r="D1288" s="61" t="s">
        <v>10485</v>
      </c>
      <c r="E1288" s="61" t="s">
        <v>10485</v>
      </c>
      <c r="F1288" s="62" t="s">
        <v>809</v>
      </c>
    </row>
    <row r="1289" customFormat="false" ht="15" hidden="false" customHeight="false" outlineLevel="0" collapsed="false">
      <c r="A1289" s="92" t="str">
        <f aca="false">Gov_Map!$H500&amp;""</f>
        <v>—</v>
      </c>
      <c r="B1289" s="65" t="s">
        <v>10484</v>
      </c>
      <c r="C1289" s="61" t="n">
        <v>500</v>
      </c>
      <c r="D1289" s="61" t="s">
        <v>10485</v>
      </c>
      <c r="E1289" s="61" t="s">
        <v>10485</v>
      </c>
      <c r="F1289" s="62" t="s">
        <v>809</v>
      </c>
    </row>
    <row r="1290" customFormat="false" ht="15" hidden="false" customHeight="false" outlineLevel="0" collapsed="false">
      <c r="A1290" s="92" t="str">
        <f aca="false">Gov_Map!$H501&amp;""</f>
        <v>—</v>
      </c>
      <c r="B1290" s="65" t="s">
        <v>10484</v>
      </c>
      <c r="C1290" s="61" t="n">
        <v>501</v>
      </c>
      <c r="D1290" s="61" t="s">
        <v>10485</v>
      </c>
      <c r="E1290" s="61" t="s">
        <v>10485</v>
      </c>
      <c r="F1290" s="62" t="s">
        <v>809</v>
      </c>
    </row>
    <row r="1291" customFormat="false" ht="15" hidden="false" customHeight="false" outlineLevel="0" collapsed="false">
      <c r="A1291" s="92" t="str">
        <f aca="false">Gov_Map!$H502&amp;""</f>
        <v>SRC_HAR_002</v>
      </c>
      <c r="B1291" s="65" t="s">
        <v>10484</v>
      </c>
      <c r="C1291" s="61" t="n">
        <v>502</v>
      </c>
      <c r="D1291" s="61" t="s">
        <v>10485</v>
      </c>
      <c r="E1291" s="61" t="s">
        <v>10485</v>
      </c>
      <c r="F1291" s="62" t="s">
        <v>809</v>
      </c>
    </row>
    <row r="1292" customFormat="false" ht="15" hidden="false" customHeight="false" outlineLevel="0" collapsed="false">
      <c r="A1292" s="92" t="str">
        <f aca="false">Gov_Map!$H503&amp;""</f>
        <v>SRC_CAP_020</v>
      </c>
      <c r="B1292" s="65" t="s">
        <v>10484</v>
      </c>
      <c r="C1292" s="61" t="n">
        <v>503</v>
      </c>
      <c r="D1292" s="61" t="s">
        <v>10485</v>
      </c>
      <c r="E1292" s="61" t="s">
        <v>10485</v>
      </c>
      <c r="F1292" s="62" t="s">
        <v>809</v>
      </c>
    </row>
    <row r="1293" customFormat="false" ht="15" hidden="false" customHeight="false" outlineLevel="0" collapsed="false">
      <c r="A1293" s="92" t="str">
        <f aca="false">Gov_Map!$H504&amp;""</f>
        <v>SRC_CAP_020</v>
      </c>
      <c r="B1293" s="65" t="s">
        <v>10484</v>
      </c>
      <c r="C1293" s="61" t="n">
        <v>504</v>
      </c>
      <c r="D1293" s="61" t="s">
        <v>10485</v>
      </c>
      <c r="E1293" s="61" t="s">
        <v>10485</v>
      </c>
      <c r="F1293" s="62" t="s">
        <v>809</v>
      </c>
    </row>
    <row r="1294" customFormat="false" ht="15" hidden="false" customHeight="false" outlineLevel="0" collapsed="false">
      <c r="A1294" s="92" t="str">
        <f aca="false">Gov_Map!$H505&amp;""</f>
        <v>SRC_CAP_021</v>
      </c>
      <c r="B1294" s="65" t="s">
        <v>10484</v>
      </c>
      <c r="C1294" s="61" t="n">
        <v>505</v>
      </c>
      <c r="D1294" s="61" t="s">
        <v>10485</v>
      </c>
      <c r="E1294" s="61" t="s">
        <v>10485</v>
      </c>
      <c r="F1294" s="62" t="s">
        <v>809</v>
      </c>
    </row>
    <row r="1295" customFormat="false" ht="15" hidden="false" customHeight="false" outlineLevel="0" collapsed="false">
      <c r="A1295" s="92" t="str">
        <f aca="false">Gov_Map!$H506&amp;""</f>
        <v>SRC_CAP_012</v>
      </c>
      <c r="B1295" s="65" t="s">
        <v>10484</v>
      </c>
      <c r="C1295" s="61" t="n">
        <v>506</v>
      </c>
      <c r="D1295" s="61" t="s">
        <v>10485</v>
      </c>
      <c r="E1295" s="61" t="s">
        <v>10485</v>
      </c>
      <c r="F1295" s="62" t="s">
        <v>809</v>
      </c>
    </row>
    <row r="1296" customFormat="false" ht="15" hidden="false" customHeight="false" outlineLevel="0" collapsed="false">
      <c r="A1296" s="92" t="str">
        <f aca="false">Gov_Map!$H507&amp;""</f>
        <v>SRC_CAP_012</v>
      </c>
      <c r="B1296" s="65" t="s">
        <v>10484</v>
      </c>
      <c r="C1296" s="61" t="n">
        <v>507</v>
      </c>
      <c r="D1296" s="61" t="s">
        <v>10485</v>
      </c>
      <c r="E1296" s="61" t="s">
        <v>10485</v>
      </c>
      <c r="F1296" s="62" t="s">
        <v>809</v>
      </c>
    </row>
    <row r="1297" customFormat="false" ht="15" hidden="false" customHeight="false" outlineLevel="0" collapsed="false">
      <c r="A1297" s="92" t="str">
        <f aca="false">Gov_Map!$H508&amp;""</f>
        <v>—</v>
      </c>
      <c r="B1297" s="65" t="s">
        <v>10484</v>
      </c>
      <c r="C1297" s="61" t="n">
        <v>508</v>
      </c>
      <c r="D1297" s="61" t="s">
        <v>10485</v>
      </c>
      <c r="E1297" s="61" t="s">
        <v>10485</v>
      </c>
      <c r="F1297" s="62" t="s">
        <v>809</v>
      </c>
    </row>
    <row r="1298" customFormat="false" ht="15" hidden="false" customHeight="false" outlineLevel="0" collapsed="false">
      <c r="A1298" s="92" t="str">
        <f aca="false">Gov_Map!$H509&amp;""</f>
        <v>—</v>
      </c>
      <c r="B1298" s="65" t="s">
        <v>10484</v>
      </c>
      <c r="C1298" s="61" t="n">
        <v>509</v>
      </c>
      <c r="D1298" s="61" t="s">
        <v>10485</v>
      </c>
      <c r="E1298" s="61" t="s">
        <v>10485</v>
      </c>
      <c r="F1298" s="62" t="s">
        <v>809</v>
      </c>
    </row>
    <row r="1299" customFormat="false" ht="15" hidden="false" customHeight="false" outlineLevel="0" collapsed="false">
      <c r="A1299" s="92" t="str">
        <f aca="false">Gov_Map!$H510&amp;""</f>
        <v>—</v>
      </c>
      <c r="B1299" s="65" t="s">
        <v>10484</v>
      </c>
      <c r="C1299" s="61" t="n">
        <v>510</v>
      </c>
      <c r="D1299" s="61" t="s">
        <v>10485</v>
      </c>
      <c r="E1299" s="61" t="s">
        <v>10485</v>
      </c>
      <c r="F1299" s="62" t="s">
        <v>809</v>
      </c>
    </row>
    <row r="1300" customFormat="false" ht="15" hidden="false" customHeight="false" outlineLevel="0" collapsed="false">
      <c r="A1300" s="92" t="str">
        <f aca="false">Gov_Map!$H511&amp;""</f>
        <v>—</v>
      </c>
      <c r="B1300" s="65" t="s">
        <v>10484</v>
      </c>
      <c r="C1300" s="61" t="n">
        <v>511</v>
      </c>
      <c r="D1300" s="61" t="s">
        <v>10485</v>
      </c>
      <c r="E1300" s="61" t="s">
        <v>10485</v>
      </c>
      <c r="F1300" s="62" t="s">
        <v>809</v>
      </c>
    </row>
    <row r="1301" customFormat="false" ht="15" hidden="false" customHeight="false" outlineLevel="0" collapsed="false">
      <c r="A1301" s="92" t="str">
        <f aca="false">Gov_Map!$H512&amp;""</f>
        <v>SRC_HW_037</v>
      </c>
      <c r="B1301" s="65" t="s">
        <v>10484</v>
      </c>
      <c r="C1301" s="61" t="n">
        <v>512</v>
      </c>
      <c r="D1301" s="61" t="s">
        <v>10485</v>
      </c>
      <c r="E1301" s="61" t="s">
        <v>10485</v>
      </c>
      <c r="F1301" s="62" t="s">
        <v>809</v>
      </c>
    </row>
    <row r="1302" customFormat="false" ht="15" hidden="false" customHeight="false" outlineLevel="0" collapsed="false">
      <c r="A1302" s="92" t="str">
        <f aca="false">Gov_Map!$H513&amp;""</f>
        <v>—</v>
      </c>
      <c r="B1302" s="65" t="s">
        <v>10484</v>
      </c>
      <c r="C1302" s="61" t="n">
        <v>513</v>
      </c>
      <c r="D1302" s="61" t="s">
        <v>10485</v>
      </c>
      <c r="E1302" s="61" t="s">
        <v>10485</v>
      </c>
      <c r="F1302" s="62" t="s">
        <v>809</v>
      </c>
    </row>
    <row r="1303" customFormat="false" ht="15" hidden="false" customHeight="false" outlineLevel="0" collapsed="false">
      <c r="A1303" s="92" t="str">
        <f aca="false">Gov_Map!$H514&amp;""</f>
        <v>—</v>
      </c>
      <c r="B1303" s="65" t="s">
        <v>10484</v>
      </c>
      <c r="C1303" s="61" t="n">
        <v>514</v>
      </c>
      <c r="D1303" s="61" t="s">
        <v>10485</v>
      </c>
      <c r="E1303" s="61" t="s">
        <v>10485</v>
      </c>
      <c r="F1303" s="62" t="s">
        <v>809</v>
      </c>
    </row>
    <row r="1304" customFormat="false" ht="15" hidden="false" customHeight="false" outlineLevel="0" collapsed="false">
      <c r="A1304" s="92" t="str">
        <f aca="false">Gov_Map!$H515&amp;""</f>
        <v>SRC_MOD_046</v>
      </c>
      <c r="B1304" s="65" t="s">
        <v>10484</v>
      </c>
      <c r="C1304" s="61" t="n">
        <v>515</v>
      </c>
      <c r="D1304" s="61" t="s">
        <v>10485</v>
      </c>
      <c r="E1304" s="61" t="s">
        <v>10485</v>
      </c>
      <c r="F1304" s="62" t="s">
        <v>809</v>
      </c>
    </row>
    <row r="1305" customFormat="false" ht="15" hidden="false" customHeight="false" outlineLevel="0" collapsed="false">
      <c r="A1305" s="92" t="str">
        <f aca="false">Gov_Map!$H516&amp;""</f>
        <v>—</v>
      </c>
      <c r="B1305" s="65" t="s">
        <v>10484</v>
      </c>
      <c r="C1305" s="61" t="n">
        <v>516</v>
      </c>
      <c r="D1305" s="61" t="s">
        <v>10485</v>
      </c>
      <c r="E1305" s="61" t="s">
        <v>10485</v>
      </c>
      <c r="F1305" s="62" t="s">
        <v>809</v>
      </c>
    </row>
    <row r="1306" customFormat="false" ht="15" hidden="false" customHeight="false" outlineLevel="0" collapsed="false">
      <c r="A1306" s="92" t="str">
        <f aca="false">Gov_Map!$H517&amp;""</f>
        <v>—</v>
      </c>
      <c r="B1306" s="65" t="s">
        <v>10484</v>
      </c>
      <c r="C1306" s="61" t="n">
        <v>517</v>
      </c>
      <c r="D1306" s="61" t="s">
        <v>10485</v>
      </c>
      <c r="E1306" s="61" t="s">
        <v>10485</v>
      </c>
      <c r="F1306" s="62" t="s">
        <v>809</v>
      </c>
    </row>
    <row r="1307" customFormat="false" ht="15" hidden="false" customHeight="false" outlineLevel="0" collapsed="false">
      <c r="A1307" s="92" t="str">
        <f aca="false">Gov_Map!$H518&amp;""</f>
        <v>—</v>
      </c>
      <c r="B1307" s="65" t="s">
        <v>10484</v>
      </c>
      <c r="C1307" s="61" t="n">
        <v>518</v>
      </c>
      <c r="D1307" s="61" t="s">
        <v>10485</v>
      </c>
      <c r="E1307" s="61" t="s">
        <v>10485</v>
      </c>
      <c r="F1307" s="62" t="s">
        <v>809</v>
      </c>
    </row>
    <row r="1308" customFormat="false" ht="15" hidden="false" customHeight="false" outlineLevel="0" collapsed="false">
      <c r="A1308" s="92" t="str">
        <f aca="false">Gov_Map!$H519&amp;""</f>
        <v>—</v>
      </c>
      <c r="B1308" s="65" t="s">
        <v>10484</v>
      </c>
      <c r="C1308" s="61" t="n">
        <v>519</v>
      </c>
      <c r="D1308" s="61" t="s">
        <v>10485</v>
      </c>
      <c r="E1308" s="61" t="s">
        <v>10485</v>
      </c>
      <c r="F1308" s="62" t="s">
        <v>809</v>
      </c>
    </row>
    <row r="1309" customFormat="false" ht="15" hidden="false" customHeight="false" outlineLevel="0" collapsed="false">
      <c r="A1309" s="92" t="str">
        <f aca="false">Gov_Map!$H520&amp;""</f>
        <v>—</v>
      </c>
      <c r="B1309" s="65" t="s">
        <v>10484</v>
      </c>
      <c r="C1309" s="61" t="n">
        <v>520</v>
      </c>
      <c r="D1309" s="61" t="s">
        <v>10485</v>
      </c>
      <c r="E1309" s="61" t="s">
        <v>10485</v>
      </c>
      <c r="F1309" s="62" t="s">
        <v>809</v>
      </c>
    </row>
    <row r="1310" customFormat="false" ht="15" hidden="false" customHeight="false" outlineLevel="0" collapsed="false">
      <c r="A1310" s="92" t="str">
        <f aca="false">Gov_Map!$H521&amp;""</f>
        <v>—</v>
      </c>
      <c r="B1310" s="65" t="s">
        <v>10484</v>
      </c>
      <c r="C1310" s="61" t="n">
        <v>521</v>
      </c>
      <c r="D1310" s="61" t="s">
        <v>10485</v>
      </c>
      <c r="E1310" s="61" t="s">
        <v>10485</v>
      </c>
      <c r="F1310" s="62" t="s">
        <v>809</v>
      </c>
    </row>
    <row r="1311" customFormat="false" ht="15" hidden="false" customHeight="false" outlineLevel="0" collapsed="false">
      <c r="A1311" s="92" t="str">
        <f aca="false">Gov_Map!$H522&amp;""</f>
        <v>—</v>
      </c>
      <c r="B1311" s="65" t="s">
        <v>10484</v>
      </c>
      <c r="C1311" s="61" t="n">
        <v>522</v>
      </c>
      <c r="D1311" s="61" t="s">
        <v>10485</v>
      </c>
      <c r="E1311" s="61" t="s">
        <v>10485</v>
      </c>
      <c r="F1311" s="62" t="s">
        <v>809</v>
      </c>
    </row>
    <row r="1312" customFormat="false" ht="15" hidden="false" customHeight="false" outlineLevel="0" collapsed="false">
      <c r="A1312" s="92" t="str">
        <f aca="false">Gov_Map!$H523&amp;""</f>
        <v>SRC_PERF_036</v>
      </c>
      <c r="B1312" s="65" t="s">
        <v>10484</v>
      </c>
      <c r="C1312" s="61" t="n">
        <v>523</v>
      </c>
      <c r="D1312" s="61" t="s">
        <v>10485</v>
      </c>
      <c r="E1312" s="61" t="s">
        <v>10485</v>
      </c>
      <c r="F1312" s="62" t="s">
        <v>809</v>
      </c>
    </row>
    <row r="1313" customFormat="false" ht="15" hidden="false" customHeight="false" outlineLevel="0" collapsed="false">
      <c r="A1313" s="92" t="str">
        <f aca="false">Gov_Map!$H524&amp;""</f>
        <v>SRC_PERF_037</v>
      </c>
      <c r="B1313" s="65" t="s">
        <v>10484</v>
      </c>
      <c r="C1313" s="61" t="n">
        <v>524</v>
      </c>
      <c r="D1313" s="61" t="s">
        <v>10485</v>
      </c>
      <c r="E1313" s="61" t="s">
        <v>10485</v>
      </c>
      <c r="F1313" s="62" t="s">
        <v>809</v>
      </c>
    </row>
    <row r="1314" customFormat="false" ht="15" hidden="false" customHeight="false" outlineLevel="0" collapsed="false">
      <c r="A1314" s="92" t="str">
        <f aca="false">Gov_Map!$H525&amp;""</f>
        <v>—</v>
      </c>
      <c r="B1314" s="65" t="s">
        <v>10484</v>
      </c>
      <c r="C1314" s="61" t="n">
        <v>525</v>
      </c>
      <c r="D1314" s="61" t="s">
        <v>10485</v>
      </c>
      <c r="E1314" s="61" t="s">
        <v>10485</v>
      </c>
      <c r="F1314" s="62" t="s">
        <v>809</v>
      </c>
    </row>
    <row r="1315" customFormat="false" ht="15" hidden="false" customHeight="false" outlineLevel="0" collapsed="false">
      <c r="A1315" s="92" t="str">
        <f aca="false">Gov_Map!$H526&amp;""</f>
        <v>—</v>
      </c>
      <c r="B1315" s="65" t="s">
        <v>10484</v>
      </c>
      <c r="C1315" s="61" t="n">
        <v>526</v>
      </c>
      <c r="D1315" s="61" t="s">
        <v>10485</v>
      </c>
      <c r="E1315" s="61" t="s">
        <v>10485</v>
      </c>
      <c r="F1315" s="62" t="s">
        <v>809</v>
      </c>
    </row>
    <row r="1316" customFormat="false" ht="15" hidden="false" customHeight="false" outlineLevel="0" collapsed="false">
      <c r="A1316" s="92" t="str">
        <f aca="false">Gov_Map!$H527&amp;""</f>
        <v>—</v>
      </c>
      <c r="B1316" s="65" t="s">
        <v>10484</v>
      </c>
      <c r="C1316" s="61" t="n">
        <v>527</v>
      </c>
      <c r="D1316" s="61" t="s">
        <v>10485</v>
      </c>
      <c r="E1316" s="61" t="s">
        <v>10485</v>
      </c>
      <c r="F1316" s="62" t="s">
        <v>809</v>
      </c>
    </row>
    <row r="1317" customFormat="false" ht="15" hidden="false" customHeight="false" outlineLevel="0" collapsed="false">
      <c r="A1317" s="92" t="str">
        <f aca="false">Gov_Map!$H528&amp;""</f>
        <v>SRC_MOD_046</v>
      </c>
      <c r="B1317" s="65" t="s">
        <v>10484</v>
      </c>
      <c r="C1317" s="61" t="n">
        <v>528</v>
      </c>
      <c r="D1317" s="61" t="s">
        <v>10485</v>
      </c>
      <c r="E1317" s="61" t="s">
        <v>10485</v>
      </c>
      <c r="F1317" s="62" t="s">
        <v>809</v>
      </c>
    </row>
    <row r="1318" customFormat="false" ht="15" hidden="false" customHeight="false" outlineLevel="0" collapsed="false">
      <c r="A1318" s="92" t="str">
        <f aca="false">Gov_Map!$H529&amp;""</f>
        <v>—</v>
      </c>
      <c r="B1318" s="65" t="s">
        <v>10484</v>
      </c>
      <c r="C1318" s="61" t="n">
        <v>529</v>
      </c>
      <c r="D1318" s="61" t="s">
        <v>10485</v>
      </c>
      <c r="E1318" s="61" t="s">
        <v>10485</v>
      </c>
      <c r="F1318" s="62" t="s">
        <v>809</v>
      </c>
    </row>
    <row r="1319" customFormat="false" ht="15" hidden="false" customHeight="false" outlineLevel="0" collapsed="false">
      <c r="A1319" s="92" t="str">
        <f aca="false">Gov_Map!$H530&amp;""</f>
        <v>SRC_DEM_001</v>
      </c>
      <c r="B1319" s="65" t="s">
        <v>10484</v>
      </c>
      <c r="C1319" s="61" t="n">
        <v>530</v>
      </c>
      <c r="D1319" s="61" t="s">
        <v>10485</v>
      </c>
      <c r="E1319" s="61" t="s">
        <v>10485</v>
      </c>
      <c r="F1319" s="62" t="s">
        <v>809</v>
      </c>
    </row>
    <row r="1320" customFormat="false" ht="15" hidden="false" customHeight="false" outlineLevel="0" collapsed="false">
      <c r="A1320" s="92" t="str">
        <f aca="false">Gov_Map!$H531&amp;""</f>
        <v>—</v>
      </c>
      <c r="B1320" s="65" t="s">
        <v>10484</v>
      </c>
      <c r="C1320" s="61" t="n">
        <v>531</v>
      </c>
      <c r="D1320" s="61" t="s">
        <v>10485</v>
      </c>
      <c r="E1320" s="61" t="s">
        <v>10485</v>
      </c>
      <c r="F1320" s="62" t="s">
        <v>809</v>
      </c>
    </row>
    <row r="1321" customFormat="false" ht="15" hidden="false" customHeight="false" outlineLevel="0" collapsed="false">
      <c r="A1321" s="92" t="str">
        <f aca="false">Gov_Map!$H532&amp;""</f>
        <v>—</v>
      </c>
      <c r="B1321" s="65" t="s">
        <v>10484</v>
      </c>
      <c r="C1321" s="61" t="n">
        <v>532</v>
      </c>
      <c r="D1321" s="61" t="s">
        <v>10485</v>
      </c>
      <c r="E1321" s="61" t="s">
        <v>10485</v>
      </c>
      <c r="F1321" s="62" t="s">
        <v>809</v>
      </c>
    </row>
    <row r="1322" customFormat="false" ht="15" hidden="false" customHeight="false" outlineLevel="0" collapsed="false">
      <c r="A1322" s="92" t="str">
        <f aca="false">Gov_Map!$H533&amp;""</f>
        <v>—</v>
      </c>
      <c r="B1322" s="65" t="s">
        <v>10484</v>
      </c>
      <c r="C1322" s="61" t="n">
        <v>533</v>
      </c>
      <c r="D1322" s="61" t="s">
        <v>10485</v>
      </c>
      <c r="E1322" s="61" t="s">
        <v>10485</v>
      </c>
      <c r="F1322" s="62" t="s">
        <v>809</v>
      </c>
    </row>
    <row r="1323" customFormat="false" ht="15" hidden="false" customHeight="false" outlineLevel="0" collapsed="false">
      <c r="A1323" s="92" t="str">
        <f aca="false">Gov_Map!$H534&amp;""</f>
        <v>—</v>
      </c>
      <c r="B1323" s="65" t="s">
        <v>10484</v>
      </c>
      <c r="C1323" s="61" t="n">
        <v>534</v>
      </c>
      <c r="D1323" s="61" t="s">
        <v>10485</v>
      </c>
      <c r="E1323" s="61" t="s">
        <v>10485</v>
      </c>
      <c r="F1323" s="62" t="s">
        <v>809</v>
      </c>
    </row>
    <row r="1324" customFormat="false" ht="15" hidden="false" customHeight="false" outlineLevel="0" collapsed="false">
      <c r="A1324" s="92" t="str">
        <f aca="false">Gov_Map!$H535&amp;""</f>
        <v>—</v>
      </c>
      <c r="B1324" s="65" t="s">
        <v>10484</v>
      </c>
      <c r="C1324" s="61" t="n">
        <v>535</v>
      </c>
      <c r="D1324" s="61" t="s">
        <v>10485</v>
      </c>
      <c r="E1324" s="61" t="s">
        <v>10485</v>
      </c>
      <c r="F1324" s="62" t="s">
        <v>809</v>
      </c>
    </row>
    <row r="1325" customFormat="false" ht="15" hidden="false" customHeight="false" outlineLevel="0" collapsed="false">
      <c r="A1325" s="92" t="str">
        <f aca="false">Gov_Map!$H536&amp;""</f>
        <v>SRC_MOD_031</v>
      </c>
      <c r="B1325" s="65" t="s">
        <v>10484</v>
      </c>
      <c r="C1325" s="61" t="n">
        <v>536</v>
      </c>
      <c r="D1325" s="61" t="s">
        <v>10485</v>
      </c>
      <c r="E1325" s="61" t="s">
        <v>10485</v>
      </c>
      <c r="F1325" s="62" t="s">
        <v>809</v>
      </c>
    </row>
    <row r="1326" customFormat="false" ht="15" hidden="false" customHeight="false" outlineLevel="0" collapsed="false">
      <c r="A1326" s="92" t="str">
        <f aca="false">Gov_Map!$H537&amp;""</f>
        <v>—</v>
      </c>
      <c r="B1326" s="65" t="s">
        <v>10484</v>
      </c>
      <c r="C1326" s="61" t="n">
        <v>537</v>
      </c>
      <c r="D1326" s="61" t="s">
        <v>10485</v>
      </c>
      <c r="E1326" s="61" t="s">
        <v>10485</v>
      </c>
      <c r="F1326" s="62" t="s">
        <v>809</v>
      </c>
    </row>
    <row r="1327" customFormat="false" ht="15" hidden="false" customHeight="false" outlineLevel="0" collapsed="false">
      <c r="A1327" s="92" t="str">
        <f aca="false">Gov_Map!$H538&amp;""</f>
        <v>—</v>
      </c>
      <c r="B1327" s="65" t="s">
        <v>10484</v>
      </c>
      <c r="C1327" s="61" t="n">
        <v>538</v>
      </c>
      <c r="D1327" s="61" t="s">
        <v>10485</v>
      </c>
      <c r="E1327" s="61" t="s">
        <v>10485</v>
      </c>
      <c r="F1327" s="62" t="s">
        <v>809</v>
      </c>
    </row>
    <row r="1328" customFormat="false" ht="15" hidden="false" customHeight="false" outlineLevel="0" collapsed="false">
      <c r="A1328" s="92" t="str">
        <f aca="false">Gov_Map!$H539&amp;""</f>
        <v>—</v>
      </c>
      <c r="B1328" s="65" t="s">
        <v>10484</v>
      </c>
      <c r="C1328" s="61" t="n">
        <v>539</v>
      </c>
      <c r="D1328" s="61" t="s">
        <v>10485</v>
      </c>
      <c r="E1328" s="61" t="s">
        <v>10485</v>
      </c>
      <c r="F1328" s="62" t="s">
        <v>809</v>
      </c>
    </row>
    <row r="1329" customFormat="false" ht="15" hidden="false" customHeight="false" outlineLevel="0" collapsed="false">
      <c r="A1329" s="92" t="str">
        <f aca="false">Gov_Map!$H540&amp;""</f>
        <v>—</v>
      </c>
      <c r="B1329" s="65" t="s">
        <v>10484</v>
      </c>
      <c r="C1329" s="61" t="n">
        <v>540</v>
      </c>
      <c r="D1329" s="61" t="s">
        <v>10485</v>
      </c>
      <c r="E1329" s="61" t="s">
        <v>10485</v>
      </c>
      <c r="F1329" s="62" t="s">
        <v>809</v>
      </c>
    </row>
    <row r="1330" customFormat="false" ht="15" hidden="false" customHeight="false" outlineLevel="0" collapsed="false">
      <c r="A1330" s="92" t="str">
        <f aca="false">Gov_Map!$H541&amp;""</f>
        <v>—</v>
      </c>
      <c r="B1330" s="65" t="s">
        <v>10484</v>
      </c>
      <c r="C1330" s="61" t="n">
        <v>541</v>
      </c>
      <c r="D1330" s="61" t="s">
        <v>10485</v>
      </c>
      <c r="E1330" s="61" t="s">
        <v>10485</v>
      </c>
      <c r="F1330" s="62" t="s">
        <v>809</v>
      </c>
    </row>
    <row r="1331" customFormat="false" ht="15" hidden="false" customHeight="false" outlineLevel="0" collapsed="false">
      <c r="A1331" s="92" t="str">
        <f aca="false">Gov_Map!$H542&amp;""</f>
        <v>—</v>
      </c>
      <c r="B1331" s="65" t="s">
        <v>10484</v>
      </c>
      <c r="C1331" s="61" t="n">
        <v>542</v>
      </c>
      <c r="D1331" s="61" t="s">
        <v>10485</v>
      </c>
      <c r="E1331" s="61" t="s">
        <v>10485</v>
      </c>
      <c r="F1331" s="62" t="s">
        <v>809</v>
      </c>
    </row>
    <row r="1332" customFormat="false" ht="15" hidden="false" customHeight="false" outlineLevel="0" collapsed="false">
      <c r="A1332" s="92" t="str">
        <f aca="false">Gov_Map!$H543&amp;""</f>
        <v>—</v>
      </c>
      <c r="B1332" s="65" t="s">
        <v>10484</v>
      </c>
      <c r="C1332" s="61" t="n">
        <v>543</v>
      </c>
      <c r="D1332" s="61" t="s">
        <v>10485</v>
      </c>
      <c r="E1332" s="61" t="s">
        <v>10485</v>
      </c>
      <c r="F1332" s="62" t="s">
        <v>809</v>
      </c>
    </row>
    <row r="1333" customFormat="false" ht="15" hidden="false" customHeight="false" outlineLevel="0" collapsed="false">
      <c r="A1333" s="92" t="str">
        <f aca="false">Gov_Map!$H544&amp;""</f>
        <v>—</v>
      </c>
      <c r="B1333" s="65" t="s">
        <v>10484</v>
      </c>
      <c r="C1333" s="61" t="n">
        <v>544</v>
      </c>
      <c r="D1333" s="61" t="s">
        <v>10485</v>
      </c>
      <c r="E1333" s="61" t="s">
        <v>10485</v>
      </c>
      <c r="F1333" s="62" t="s">
        <v>809</v>
      </c>
    </row>
    <row r="1334" customFormat="false" ht="15" hidden="false" customHeight="false" outlineLevel="0" collapsed="false">
      <c r="A1334" s="92" t="str">
        <f aca="false">Gov_Map!$H545&amp;""</f>
        <v>—</v>
      </c>
      <c r="B1334" s="65" t="s">
        <v>10484</v>
      </c>
      <c r="C1334" s="61" t="n">
        <v>545</v>
      </c>
      <c r="D1334" s="61" t="s">
        <v>10485</v>
      </c>
      <c r="E1334" s="61" t="s">
        <v>10485</v>
      </c>
      <c r="F1334" s="62" t="s">
        <v>809</v>
      </c>
    </row>
    <row r="1335" customFormat="false" ht="15" hidden="false" customHeight="false" outlineLevel="0" collapsed="false">
      <c r="A1335" s="92" t="str">
        <f aca="false">Gov_Map!$H546&amp;""</f>
        <v>—</v>
      </c>
      <c r="B1335" s="65" t="s">
        <v>10484</v>
      </c>
      <c r="C1335" s="61" t="n">
        <v>546</v>
      </c>
      <c r="D1335" s="61" t="s">
        <v>10485</v>
      </c>
      <c r="E1335" s="61" t="s">
        <v>10485</v>
      </c>
      <c r="F1335" s="62" t="s">
        <v>809</v>
      </c>
    </row>
    <row r="1336" customFormat="false" ht="15" hidden="false" customHeight="false" outlineLevel="0" collapsed="false">
      <c r="A1336" s="92" t="str">
        <f aca="false">Gov_Map!$H547&amp;""</f>
        <v>—</v>
      </c>
      <c r="B1336" s="65" t="s">
        <v>10484</v>
      </c>
      <c r="C1336" s="61" t="n">
        <v>547</v>
      </c>
      <c r="D1336" s="61" t="s">
        <v>10485</v>
      </c>
      <c r="E1336" s="61" t="s">
        <v>10485</v>
      </c>
      <c r="F1336" s="62" t="s">
        <v>809</v>
      </c>
    </row>
    <row r="1337" customFormat="false" ht="15" hidden="false" customHeight="false" outlineLevel="0" collapsed="false">
      <c r="A1337" s="92" t="str">
        <f aca="false">Gov_Map!$H548&amp;""</f>
        <v>—</v>
      </c>
      <c r="B1337" s="65" t="s">
        <v>10484</v>
      </c>
      <c r="C1337" s="61" t="n">
        <v>548</v>
      </c>
      <c r="D1337" s="61" t="s">
        <v>10485</v>
      </c>
      <c r="E1337" s="61" t="s">
        <v>10485</v>
      </c>
      <c r="F1337" s="62" t="s">
        <v>809</v>
      </c>
    </row>
    <row r="1338" customFormat="false" ht="15" hidden="false" customHeight="false" outlineLevel="0" collapsed="false">
      <c r="A1338" s="92" t="str">
        <f aca="false">Gov_Map!$H549&amp;""</f>
        <v>SRC_MOD_034</v>
      </c>
      <c r="B1338" s="65" t="s">
        <v>10484</v>
      </c>
      <c r="C1338" s="61" t="n">
        <v>549</v>
      </c>
      <c r="D1338" s="61" t="s">
        <v>10485</v>
      </c>
      <c r="E1338" s="61" t="s">
        <v>10485</v>
      </c>
      <c r="F1338" s="62" t="s">
        <v>809</v>
      </c>
    </row>
    <row r="1339" customFormat="false" ht="15" hidden="false" customHeight="false" outlineLevel="0" collapsed="false">
      <c r="A1339" s="92" t="str">
        <f aca="false">Gov_Map!$H550&amp;""</f>
        <v>SRC_MOD_033</v>
      </c>
      <c r="B1339" s="65" t="s">
        <v>10484</v>
      </c>
      <c r="C1339" s="61" t="n">
        <v>550</v>
      </c>
      <c r="D1339" s="61" t="s">
        <v>10485</v>
      </c>
      <c r="E1339" s="61" t="s">
        <v>10485</v>
      </c>
      <c r="F1339" s="62" t="s">
        <v>809</v>
      </c>
    </row>
    <row r="1340" customFormat="false" ht="15" hidden="false" customHeight="false" outlineLevel="0" collapsed="false">
      <c r="A1340" s="92" t="str">
        <f aca="false">Gov_Map!$H551&amp;""</f>
        <v>SRC_MOD_033</v>
      </c>
      <c r="B1340" s="65" t="s">
        <v>10484</v>
      </c>
      <c r="C1340" s="61" t="n">
        <v>551</v>
      </c>
      <c r="D1340" s="61" t="s">
        <v>10485</v>
      </c>
      <c r="E1340" s="61" t="s">
        <v>10485</v>
      </c>
      <c r="F1340" s="62" t="s">
        <v>809</v>
      </c>
    </row>
    <row r="1341" customFormat="false" ht="15" hidden="false" customHeight="false" outlineLevel="0" collapsed="false">
      <c r="A1341" s="92" t="str">
        <f aca="false">Gov_Map!$H552&amp;""</f>
        <v>SRC_MOD_033</v>
      </c>
      <c r="B1341" s="65" t="s">
        <v>10484</v>
      </c>
      <c r="C1341" s="61" t="n">
        <v>552</v>
      </c>
      <c r="D1341" s="61" t="s">
        <v>10485</v>
      </c>
      <c r="E1341" s="61" t="s">
        <v>10485</v>
      </c>
      <c r="F1341" s="62" t="s">
        <v>809</v>
      </c>
    </row>
    <row r="1342" customFormat="false" ht="15" hidden="false" customHeight="false" outlineLevel="0" collapsed="false">
      <c r="A1342" s="92" t="str">
        <f aca="false">Gov_Map!$H553&amp;""</f>
        <v>—</v>
      </c>
      <c r="B1342" s="65" t="s">
        <v>10484</v>
      </c>
      <c r="C1342" s="61" t="n">
        <v>553</v>
      </c>
      <c r="D1342" s="61" t="s">
        <v>10485</v>
      </c>
      <c r="E1342" s="61" t="s">
        <v>10485</v>
      </c>
      <c r="F1342" s="62" t="s">
        <v>809</v>
      </c>
    </row>
    <row r="1343" customFormat="false" ht="15" hidden="false" customHeight="false" outlineLevel="0" collapsed="false">
      <c r="A1343" s="92" t="str">
        <f aca="false">Gov_Map!$H554&amp;""</f>
        <v>—</v>
      </c>
      <c r="B1343" s="65" t="s">
        <v>10484</v>
      </c>
      <c r="C1343" s="61" t="n">
        <v>554</v>
      </c>
      <c r="D1343" s="61" t="s">
        <v>10485</v>
      </c>
      <c r="E1343" s="61" t="s">
        <v>10485</v>
      </c>
      <c r="F1343" s="62" t="s">
        <v>809</v>
      </c>
    </row>
    <row r="1344" customFormat="false" ht="15" hidden="false" customHeight="false" outlineLevel="0" collapsed="false">
      <c r="A1344" s="92" t="str">
        <f aca="false">Gov_Map!$H555&amp;""</f>
        <v>—</v>
      </c>
      <c r="B1344" s="65" t="s">
        <v>10484</v>
      </c>
      <c r="C1344" s="61" t="n">
        <v>555</v>
      </c>
      <c r="D1344" s="61" t="s">
        <v>10485</v>
      </c>
      <c r="E1344" s="61" t="s">
        <v>10485</v>
      </c>
      <c r="F1344" s="62" t="s">
        <v>809</v>
      </c>
    </row>
    <row r="1345" customFormat="false" ht="15" hidden="false" customHeight="false" outlineLevel="0" collapsed="false">
      <c r="A1345" s="92" t="str">
        <f aca="false">Gov_Map!$H556&amp;""</f>
        <v>—</v>
      </c>
      <c r="B1345" s="65" t="s">
        <v>10484</v>
      </c>
      <c r="C1345" s="61" t="n">
        <v>556</v>
      </c>
      <c r="D1345" s="61" t="s">
        <v>10485</v>
      </c>
      <c r="E1345" s="61" t="s">
        <v>10485</v>
      </c>
      <c r="F1345" s="62" t="s">
        <v>809</v>
      </c>
    </row>
    <row r="1346" customFormat="false" ht="15" hidden="false" customHeight="false" outlineLevel="0" collapsed="false">
      <c r="A1346" s="92" t="str">
        <f aca="false">Gov_Map!$H557&amp;""</f>
        <v>—</v>
      </c>
      <c r="B1346" s="65" t="s">
        <v>10484</v>
      </c>
      <c r="C1346" s="61" t="n">
        <v>557</v>
      </c>
      <c r="D1346" s="61" t="s">
        <v>10485</v>
      </c>
      <c r="E1346" s="61" t="s">
        <v>10485</v>
      </c>
      <c r="F1346" s="62" t="s">
        <v>809</v>
      </c>
    </row>
    <row r="1347" customFormat="false" ht="15" hidden="false" customHeight="false" outlineLevel="0" collapsed="false">
      <c r="A1347" s="92" t="str">
        <f aca="false">Gov_Map!$H558&amp;""</f>
        <v>—</v>
      </c>
      <c r="B1347" s="65" t="s">
        <v>10484</v>
      </c>
      <c r="C1347" s="61" t="n">
        <v>558</v>
      </c>
      <c r="D1347" s="61" t="s">
        <v>10485</v>
      </c>
      <c r="E1347" s="61" t="s">
        <v>10485</v>
      </c>
      <c r="F1347" s="62" t="s">
        <v>809</v>
      </c>
    </row>
    <row r="1348" customFormat="false" ht="15" hidden="false" customHeight="false" outlineLevel="0" collapsed="false">
      <c r="A1348" s="92" t="str">
        <f aca="false">Gov_Map!$H559&amp;""</f>
        <v>—</v>
      </c>
      <c r="B1348" s="65" t="s">
        <v>10484</v>
      </c>
      <c r="C1348" s="61" t="n">
        <v>559</v>
      </c>
      <c r="D1348" s="61" t="s">
        <v>10485</v>
      </c>
      <c r="E1348" s="61" t="s">
        <v>10485</v>
      </c>
      <c r="F1348" s="62" t="s">
        <v>809</v>
      </c>
    </row>
    <row r="1349" customFormat="false" ht="15" hidden="false" customHeight="false" outlineLevel="0" collapsed="false">
      <c r="A1349" s="92" t="str">
        <f aca="false">Gov_Map!$H560&amp;""</f>
        <v>—</v>
      </c>
      <c r="B1349" s="65" t="s">
        <v>10484</v>
      </c>
      <c r="C1349" s="61" t="n">
        <v>560</v>
      </c>
      <c r="D1349" s="61" t="s">
        <v>10485</v>
      </c>
      <c r="E1349" s="61" t="s">
        <v>10485</v>
      </c>
      <c r="F1349" s="62" t="s">
        <v>809</v>
      </c>
    </row>
    <row r="1350" customFormat="false" ht="15" hidden="false" customHeight="false" outlineLevel="0" collapsed="false">
      <c r="A1350" s="92" t="str">
        <f aca="false">Gov_Map!$H561&amp;""</f>
        <v>—</v>
      </c>
      <c r="B1350" s="65" t="s">
        <v>10484</v>
      </c>
      <c r="C1350" s="61" t="n">
        <v>561</v>
      </c>
      <c r="D1350" s="61" t="s">
        <v>10485</v>
      </c>
      <c r="E1350" s="61" t="s">
        <v>10485</v>
      </c>
      <c r="F1350" s="62" t="s">
        <v>809</v>
      </c>
    </row>
    <row r="1351" customFormat="false" ht="15" hidden="false" customHeight="false" outlineLevel="0" collapsed="false">
      <c r="A1351" s="92" t="str">
        <f aca="false">Gov_Map!$H562&amp;""</f>
        <v>—</v>
      </c>
      <c r="B1351" s="65" t="s">
        <v>10484</v>
      </c>
      <c r="C1351" s="61" t="n">
        <v>562</v>
      </c>
      <c r="D1351" s="61" t="s">
        <v>10485</v>
      </c>
      <c r="E1351" s="61" t="s">
        <v>10485</v>
      </c>
      <c r="F1351" s="62" t="s">
        <v>809</v>
      </c>
    </row>
    <row r="1352" customFormat="false" ht="15" hidden="false" customHeight="false" outlineLevel="0" collapsed="false">
      <c r="A1352" s="92" t="str">
        <f aca="false">Gov_Map!$H563&amp;""</f>
        <v>—</v>
      </c>
      <c r="B1352" s="65" t="s">
        <v>10484</v>
      </c>
      <c r="C1352" s="61" t="n">
        <v>563</v>
      </c>
      <c r="D1352" s="61" t="s">
        <v>10485</v>
      </c>
      <c r="E1352" s="61" t="s">
        <v>10485</v>
      </c>
      <c r="F1352" s="62" t="s">
        <v>809</v>
      </c>
    </row>
    <row r="1353" customFormat="false" ht="15" hidden="false" customHeight="false" outlineLevel="0" collapsed="false">
      <c r="A1353" s="92" t="str">
        <f aca="false">Gov_Map!$H564&amp;""</f>
        <v>—</v>
      </c>
      <c r="B1353" s="65" t="s">
        <v>10484</v>
      </c>
      <c r="C1353" s="61" t="n">
        <v>564</v>
      </c>
      <c r="D1353" s="61" t="s">
        <v>10485</v>
      </c>
      <c r="E1353" s="61" t="s">
        <v>10485</v>
      </c>
      <c r="F1353" s="62" t="s">
        <v>809</v>
      </c>
    </row>
    <row r="1354" customFormat="false" ht="15" hidden="false" customHeight="false" outlineLevel="0" collapsed="false">
      <c r="A1354" s="92" t="str">
        <f aca="false">Gov_Map!$H565&amp;""</f>
        <v>—</v>
      </c>
      <c r="B1354" s="65" t="s">
        <v>10484</v>
      </c>
      <c r="C1354" s="61" t="n">
        <v>565</v>
      </c>
      <c r="D1354" s="61" t="s">
        <v>10485</v>
      </c>
      <c r="E1354" s="61" t="s">
        <v>10485</v>
      </c>
      <c r="F1354" s="62" t="s">
        <v>809</v>
      </c>
    </row>
    <row r="1355" customFormat="false" ht="15" hidden="false" customHeight="false" outlineLevel="0" collapsed="false">
      <c r="A1355" s="92" t="str">
        <f aca="false">Gov_Map!$H566&amp;""</f>
        <v>—</v>
      </c>
      <c r="B1355" s="65" t="s">
        <v>10484</v>
      </c>
      <c r="C1355" s="61" t="n">
        <v>566</v>
      </c>
      <c r="D1355" s="61" t="s">
        <v>10485</v>
      </c>
      <c r="E1355" s="61" t="s">
        <v>10485</v>
      </c>
      <c r="F1355" s="62" t="s">
        <v>809</v>
      </c>
    </row>
    <row r="1356" customFormat="false" ht="15" hidden="false" customHeight="false" outlineLevel="0" collapsed="false">
      <c r="A1356" s="92" t="str">
        <f aca="false">Gov_Map!$H567&amp;""</f>
        <v>—</v>
      </c>
      <c r="B1356" s="65" t="s">
        <v>10484</v>
      </c>
      <c r="C1356" s="61" t="n">
        <v>567</v>
      </c>
      <c r="D1356" s="61" t="s">
        <v>10485</v>
      </c>
      <c r="E1356" s="61" t="s">
        <v>10485</v>
      </c>
      <c r="F1356" s="62" t="s">
        <v>809</v>
      </c>
    </row>
    <row r="1357" customFormat="false" ht="15" hidden="false" customHeight="false" outlineLevel="0" collapsed="false">
      <c r="A1357" s="92" t="str">
        <f aca="false">Gov_Map!$H568&amp;""</f>
        <v>—</v>
      </c>
      <c r="B1357" s="65" t="s">
        <v>10484</v>
      </c>
      <c r="C1357" s="61" t="n">
        <v>568</v>
      </c>
      <c r="D1357" s="61" t="s">
        <v>10485</v>
      </c>
      <c r="E1357" s="61" t="s">
        <v>10485</v>
      </c>
      <c r="F1357" s="62" t="s">
        <v>809</v>
      </c>
    </row>
    <row r="1358" customFormat="false" ht="15" hidden="false" customHeight="false" outlineLevel="0" collapsed="false">
      <c r="A1358" s="92" t="str">
        <f aca="false">Gov_Map!$H569&amp;""</f>
        <v>—</v>
      </c>
      <c r="B1358" s="65" t="s">
        <v>10484</v>
      </c>
      <c r="C1358" s="61" t="n">
        <v>569</v>
      </c>
      <c r="D1358" s="61" t="s">
        <v>10485</v>
      </c>
      <c r="E1358" s="61" t="s">
        <v>10485</v>
      </c>
      <c r="F1358" s="62" t="s">
        <v>809</v>
      </c>
    </row>
    <row r="1359" customFormat="false" ht="15" hidden="false" customHeight="false" outlineLevel="0" collapsed="false">
      <c r="A1359" s="92" t="str">
        <f aca="false">Gov_Map!$H570&amp;""</f>
        <v>—</v>
      </c>
      <c r="B1359" s="65" t="s">
        <v>10484</v>
      </c>
      <c r="C1359" s="61" t="n">
        <v>570</v>
      </c>
      <c r="D1359" s="61" t="s">
        <v>10485</v>
      </c>
      <c r="E1359" s="61" t="s">
        <v>10485</v>
      </c>
      <c r="F1359" s="62" t="s">
        <v>809</v>
      </c>
    </row>
    <row r="1360" customFormat="false" ht="15" hidden="false" customHeight="false" outlineLevel="0" collapsed="false">
      <c r="A1360" s="92" t="str">
        <f aca="false">Gov_Map!$H571&amp;""</f>
        <v>—</v>
      </c>
      <c r="B1360" s="65" t="s">
        <v>10484</v>
      </c>
      <c r="C1360" s="61" t="n">
        <v>571</v>
      </c>
      <c r="D1360" s="61" t="s">
        <v>10485</v>
      </c>
      <c r="E1360" s="61" t="s">
        <v>10485</v>
      </c>
      <c r="F1360" s="62" t="s">
        <v>809</v>
      </c>
    </row>
    <row r="1361" customFormat="false" ht="15" hidden="false" customHeight="false" outlineLevel="0" collapsed="false">
      <c r="A1361" s="92" t="str">
        <f aca="false">Gov_Map!$H572&amp;""</f>
        <v>—</v>
      </c>
      <c r="B1361" s="65" t="s">
        <v>10484</v>
      </c>
      <c r="C1361" s="61" t="n">
        <v>572</v>
      </c>
      <c r="D1361" s="61" t="s">
        <v>10485</v>
      </c>
      <c r="E1361" s="61" t="s">
        <v>10485</v>
      </c>
      <c r="F1361" s="62" t="s">
        <v>809</v>
      </c>
    </row>
    <row r="1362" customFormat="false" ht="15" hidden="false" customHeight="false" outlineLevel="0" collapsed="false">
      <c r="A1362" s="92" t="str">
        <f aca="false">Gov_Map!$H573&amp;""</f>
        <v>—</v>
      </c>
      <c r="B1362" s="65" t="s">
        <v>10484</v>
      </c>
      <c r="C1362" s="61" t="n">
        <v>573</v>
      </c>
      <c r="D1362" s="61" t="s">
        <v>10485</v>
      </c>
      <c r="E1362" s="61" t="s">
        <v>10485</v>
      </c>
      <c r="F1362" s="62" t="s">
        <v>809</v>
      </c>
    </row>
    <row r="1363" customFormat="false" ht="15" hidden="false" customHeight="false" outlineLevel="0" collapsed="false">
      <c r="A1363" s="92" t="str">
        <f aca="false">Gov_Map!$H574&amp;""</f>
        <v>SRC_MOD_009</v>
      </c>
      <c r="B1363" s="65" t="s">
        <v>10484</v>
      </c>
      <c r="C1363" s="61" t="n">
        <v>574</v>
      </c>
      <c r="D1363" s="61" t="s">
        <v>10485</v>
      </c>
      <c r="E1363" s="61" t="s">
        <v>10485</v>
      </c>
      <c r="F1363" s="62" t="s">
        <v>809</v>
      </c>
    </row>
    <row r="1364" customFormat="false" ht="15" hidden="false" customHeight="false" outlineLevel="0" collapsed="false">
      <c r="A1364" s="92" t="str">
        <f aca="false">Gov_Map!$H575&amp;""</f>
        <v>SRC_MOD_028</v>
      </c>
      <c r="B1364" s="65" t="s">
        <v>10484</v>
      </c>
      <c r="C1364" s="61" t="n">
        <v>575</v>
      </c>
      <c r="D1364" s="61" t="s">
        <v>10485</v>
      </c>
      <c r="E1364" s="61" t="s">
        <v>10485</v>
      </c>
      <c r="F1364" s="62" t="s">
        <v>809</v>
      </c>
    </row>
    <row r="1365" customFormat="false" ht="15" hidden="false" customHeight="false" outlineLevel="0" collapsed="false">
      <c r="A1365" s="92" t="str">
        <f aca="false">Gov_Map!$H576&amp;""</f>
        <v>—</v>
      </c>
      <c r="B1365" s="65" t="s">
        <v>10484</v>
      </c>
      <c r="C1365" s="61" t="n">
        <v>576</v>
      </c>
      <c r="D1365" s="61" t="s">
        <v>10485</v>
      </c>
      <c r="E1365" s="61" t="s">
        <v>10485</v>
      </c>
      <c r="F1365" s="62" t="s">
        <v>809</v>
      </c>
    </row>
    <row r="1366" customFormat="false" ht="15" hidden="false" customHeight="false" outlineLevel="0" collapsed="false">
      <c r="A1366" s="92" t="str">
        <f aca="false">Gov_Map!$H577&amp;""</f>
        <v>—</v>
      </c>
      <c r="B1366" s="65" t="s">
        <v>10484</v>
      </c>
      <c r="C1366" s="61" t="n">
        <v>577</v>
      </c>
      <c r="D1366" s="61" t="s">
        <v>10485</v>
      </c>
      <c r="E1366" s="61" t="s">
        <v>10485</v>
      </c>
      <c r="F1366" s="62" t="s">
        <v>809</v>
      </c>
    </row>
    <row r="1367" customFormat="false" ht="15" hidden="false" customHeight="false" outlineLevel="0" collapsed="false">
      <c r="A1367" s="92" t="str">
        <f aca="false">Gov_Map!$H578&amp;""</f>
        <v>SRC_HW_055</v>
      </c>
      <c r="B1367" s="65" t="s">
        <v>10484</v>
      </c>
      <c r="C1367" s="61" t="n">
        <v>578</v>
      </c>
      <c r="D1367" s="61" t="s">
        <v>10485</v>
      </c>
      <c r="E1367" s="61" t="s">
        <v>10485</v>
      </c>
      <c r="F1367" s="62" t="s">
        <v>809</v>
      </c>
    </row>
    <row r="1368" customFormat="false" ht="15" hidden="false" customHeight="false" outlineLevel="0" collapsed="false">
      <c r="A1368" s="92" t="str">
        <f aca="false">Gov_Map!$H579&amp;""</f>
        <v>—</v>
      </c>
      <c r="B1368" s="65" t="s">
        <v>10484</v>
      </c>
      <c r="C1368" s="61" t="n">
        <v>579</v>
      </c>
      <c r="D1368" s="61" t="s">
        <v>10485</v>
      </c>
      <c r="E1368" s="61" t="s">
        <v>10485</v>
      </c>
      <c r="F1368" s="62" t="s">
        <v>809</v>
      </c>
    </row>
    <row r="1369" customFormat="false" ht="15" hidden="false" customHeight="false" outlineLevel="0" collapsed="false">
      <c r="A1369" s="92" t="str">
        <f aca="false">Gov_Map!$H580&amp;""</f>
        <v>—</v>
      </c>
      <c r="B1369" s="65" t="s">
        <v>10484</v>
      </c>
      <c r="C1369" s="61" t="n">
        <v>580</v>
      </c>
      <c r="D1369" s="61" t="s">
        <v>10485</v>
      </c>
      <c r="E1369" s="61" t="s">
        <v>10485</v>
      </c>
      <c r="F1369" s="62" t="s">
        <v>809</v>
      </c>
    </row>
    <row r="1370" customFormat="false" ht="15" hidden="false" customHeight="false" outlineLevel="0" collapsed="false">
      <c r="A1370" s="92" t="str">
        <f aca="false">Gov_Map!$H581&amp;""</f>
        <v>—</v>
      </c>
      <c r="B1370" s="65" t="s">
        <v>10484</v>
      </c>
      <c r="C1370" s="61" t="n">
        <v>581</v>
      </c>
      <c r="D1370" s="61" t="s">
        <v>10485</v>
      </c>
      <c r="E1370" s="61" t="s">
        <v>10485</v>
      </c>
      <c r="F1370" s="62" t="s">
        <v>809</v>
      </c>
    </row>
    <row r="1371" customFormat="false" ht="15" hidden="false" customHeight="false" outlineLevel="0" collapsed="false">
      <c r="A1371" s="92" t="str">
        <f aca="false">Gov_Map!$H582&amp;""</f>
        <v>—</v>
      </c>
      <c r="B1371" s="65" t="s">
        <v>10484</v>
      </c>
      <c r="C1371" s="61" t="n">
        <v>582</v>
      </c>
      <c r="D1371" s="61" t="s">
        <v>10485</v>
      </c>
      <c r="E1371" s="61" t="s">
        <v>10485</v>
      </c>
      <c r="F1371" s="62" t="s">
        <v>809</v>
      </c>
    </row>
    <row r="1372" customFormat="false" ht="15" hidden="false" customHeight="false" outlineLevel="0" collapsed="false">
      <c r="A1372" s="92" t="str">
        <f aca="false">Gov_Map!$H583&amp;""</f>
        <v>—</v>
      </c>
      <c r="B1372" s="65" t="s">
        <v>10484</v>
      </c>
      <c r="C1372" s="61" t="n">
        <v>583</v>
      </c>
      <c r="D1372" s="61" t="s">
        <v>10485</v>
      </c>
      <c r="E1372" s="61" t="s">
        <v>10485</v>
      </c>
      <c r="F1372" s="62" t="s">
        <v>809</v>
      </c>
    </row>
    <row r="1373" customFormat="false" ht="15" hidden="false" customHeight="false" outlineLevel="0" collapsed="false">
      <c r="A1373" s="92" t="str">
        <f aca="false">Gov_Map!$H584&amp;""</f>
        <v>—</v>
      </c>
      <c r="B1373" s="65" t="s">
        <v>10484</v>
      </c>
      <c r="C1373" s="61" t="n">
        <v>584</v>
      </c>
      <c r="D1373" s="61" t="s">
        <v>10485</v>
      </c>
      <c r="E1373" s="61" t="s">
        <v>10485</v>
      </c>
      <c r="F1373" s="62" t="s">
        <v>809</v>
      </c>
    </row>
    <row r="1374" customFormat="false" ht="15" hidden="false" customHeight="false" outlineLevel="0" collapsed="false">
      <c r="A1374" s="92" t="str">
        <f aca="false">Gov_Map!$H585&amp;""</f>
        <v>—</v>
      </c>
      <c r="B1374" s="65" t="s">
        <v>10484</v>
      </c>
      <c r="C1374" s="61" t="n">
        <v>585</v>
      </c>
      <c r="D1374" s="61" t="s">
        <v>10485</v>
      </c>
      <c r="E1374" s="61" t="s">
        <v>10485</v>
      </c>
      <c r="F1374" s="62" t="s">
        <v>809</v>
      </c>
    </row>
    <row r="1375" customFormat="false" ht="15" hidden="false" customHeight="false" outlineLevel="0" collapsed="false">
      <c r="A1375" s="92" t="str">
        <f aca="false">Gov_Map!$H586&amp;""</f>
        <v>—</v>
      </c>
      <c r="B1375" s="65" t="s">
        <v>10484</v>
      </c>
      <c r="C1375" s="61" t="n">
        <v>586</v>
      </c>
      <c r="D1375" s="61" t="s">
        <v>10485</v>
      </c>
      <c r="E1375" s="61" t="s">
        <v>10485</v>
      </c>
      <c r="F1375" s="62" t="s">
        <v>809</v>
      </c>
    </row>
    <row r="1376" customFormat="false" ht="15" hidden="false" customHeight="false" outlineLevel="0" collapsed="false">
      <c r="A1376" s="92" t="str">
        <f aca="false">Gov_Map!$H587&amp;""</f>
        <v>—</v>
      </c>
      <c r="B1376" s="65" t="s">
        <v>10484</v>
      </c>
      <c r="C1376" s="61" t="n">
        <v>587</v>
      </c>
      <c r="D1376" s="61" t="s">
        <v>10485</v>
      </c>
      <c r="E1376" s="61" t="s">
        <v>10485</v>
      </c>
      <c r="F1376" s="62" t="s">
        <v>809</v>
      </c>
    </row>
    <row r="1377" customFormat="false" ht="15" hidden="false" customHeight="false" outlineLevel="0" collapsed="false">
      <c r="A1377" s="92" t="str">
        <f aca="false">Gov_Map!$H588&amp;""</f>
        <v>SRC_DEM_010</v>
      </c>
      <c r="B1377" s="65" t="s">
        <v>10484</v>
      </c>
      <c r="C1377" s="61" t="n">
        <v>588</v>
      </c>
      <c r="D1377" s="61" t="s">
        <v>10485</v>
      </c>
      <c r="E1377" s="61" t="s">
        <v>10485</v>
      </c>
      <c r="F1377" s="62" t="s">
        <v>809</v>
      </c>
    </row>
    <row r="1378" customFormat="false" ht="15" hidden="false" customHeight="false" outlineLevel="0" collapsed="false">
      <c r="A1378" s="92" t="str">
        <f aca="false">Gov_Map!$H589&amp;""</f>
        <v>—</v>
      </c>
      <c r="B1378" s="65" t="s">
        <v>10484</v>
      </c>
      <c r="C1378" s="61" t="n">
        <v>589</v>
      </c>
      <c r="D1378" s="61" t="s">
        <v>10485</v>
      </c>
      <c r="E1378" s="61" t="s">
        <v>10485</v>
      </c>
      <c r="F1378" s="62" t="s">
        <v>809</v>
      </c>
    </row>
    <row r="1379" customFormat="false" ht="15" hidden="false" customHeight="false" outlineLevel="0" collapsed="false">
      <c r="A1379" s="92" t="str">
        <f aca="false">Gov_Map!$H590&amp;""</f>
        <v>SRC_DEM_012</v>
      </c>
      <c r="B1379" s="65" t="s">
        <v>10484</v>
      </c>
      <c r="C1379" s="61" t="n">
        <v>590</v>
      </c>
      <c r="D1379" s="61" t="s">
        <v>10485</v>
      </c>
      <c r="E1379" s="61" t="s">
        <v>10485</v>
      </c>
      <c r="F1379" s="62" t="s">
        <v>809</v>
      </c>
    </row>
    <row r="1380" customFormat="false" ht="15" hidden="false" customHeight="false" outlineLevel="0" collapsed="false">
      <c r="A1380" s="92" t="str">
        <f aca="false">Gov_Map!$H591&amp;""</f>
        <v>—</v>
      </c>
      <c r="B1380" s="65" t="s">
        <v>10484</v>
      </c>
      <c r="C1380" s="61" t="n">
        <v>591</v>
      </c>
      <c r="D1380" s="61" t="s">
        <v>10485</v>
      </c>
      <c r="E1380" s="61" t="s">
        <v>10485</v>
      </c>
      <c r="F1380" s="62" t="s">
        <v>809</v>
      </c>
    </row>
    <row r="1381" customFormat="false" ht="15" hidden="false" customHeight="false" outlineLevel="0" collapsed="false">
      <c r="A1381" s="92" t="str">
        <f aca="false">Gov_Map!$H592&amp;""</f>
        <v>SRC_DEM_005</v>
      </c>
      <c r="B1381" s="65" t="s">
        <v>10484</v>
      </c>
      <c r="C1381" s="61" t="n">
        <v>592</v>
      </c>
      <c r="D1381" s="61" t="s">
        <v>10485</v>
      </c>
      <c r="E1381" s="61" t="s">
        <v>10485</v>
      </c>
      <c r="F1381" s="62" t="s">
        <v>809</v>
      </c>
    </row>
    <row r="1382" customFormat="false" ht="15" hidden="false" customHeight="false" outlineLevel="0" collapsed="false">
      <c r="A1382" s="92" t="str">
        <f aca="false">Gov_Map!$H593&amp;""</f>
        <v>—</v>
      </c>
      <c r="B1382" s="65" t="s">
        <v>10484</v>
      </c>
      <c r="C1382" s="61" t="n">
        <v>593</v>
      </c>
      <c r="D1382" s="61" t="s">
        <v>10485</v>
      </c>
      <c r="E1382" s="61" t="s">
        <v>10485</v>
      </c>
      <c r="F1382" s="62" t="s">
        <v>809</v>
      </c>
    </row>
    <row r="1383" customFormat="false" ht="15" hidden="false" customHeight="false" outlineLevel="0" collapsed="false">
      <c r="A1383" s="92" t="str">
        <f aca="false">Gov_Map!$H594&amp;""</f>
        <v>—</v>
      </c>
      <c r="B1383" s="65" t="s">
        <v>10484</v>
      </c>
      <c r="C1383" s="61" t="n">
        <v>594</v>
      </c>
      <c r="D1383" s="61" t="s">
        <v>10485</v>
      </c>
      <c r="E1383" s="61" t="s">
        <v>10485</v>
      </c>
      <c r="F1383" s="62" t="s">
        <v>809</v>
      </c>
    </row>
    <row r="1384" customFormat="false" ht="15" hidden="false" customHeight="false" outlineLevel="0" collapsed="false">
      <c r="A1384" s="92" t="str">
        <f aca="false">Gov_Map!$H595&amp;""</f>
        <v>—</v>
      </c>
      <c r="B1384" s="65" t="s">
        <v>10484</v>
      </c>
      <c r="C1384" s="61" t="n">
        <v>595</v>
      </c>
      <c r="D1384" s="61" t="s">
        <v>10485</v>
      </c>
      <c r="E1384" s="61" t="s">
        <v>10485</v>
      </c>
      <c r="F1384" s="62" t="s">
        <v>809</v>
      </c>
    </row>
    <row r="1385" customFormat="false" ht="15" hidden="false" customHeight="false" outlineLevel="0" collapsed="false">
      <c r="A1385" s="92" t="str">
        <f aca="false">Gov_Map!$H596&amp;""</f>
        <v>—</v>
      </c>
      <c r="B1385" s="65" t="s">
        <v>10484</v>
      </c>
      <c r="C1385" s="61" t="n">
        <v>596</v>
      </c>
      <c r="D1385" s="61" t="s">
        <v>10485</v>
      </c>
      <c r="E1385" s="61" t="s">
        <v>10485</v>
      </c>
      <c r="F1385" s="62" t="s">
        <v>809</v>
      </c>
    </row>
    <row r="1386" customFormat="false" ht="15" hidden="false" customHeight="false" outlineLevel="0" collapsed="false">
      <c r="A1386" s="92" t="str">
        <f aca="false">Gov_Map!$H597&amp;""</f>
        <v>—</v>
      </c>
      <c r="B1386" s="65" t="s">
        <v>10484</v>
      </c>
      <c r="C1386" s="61" t="n">
        <v>597</v>
      </c>
      <c r="D1386" s="61" t="s">
        <v>10485</v>
      </c>
      <c r="E1386" s="61" t="s">
        <v>10485</v>
      </c>
      <c r="F1386" s="62" t="s">
        <v>809</v>
      </c>
    </row>
    <row r="1387" customFormat="false" ht="15" hidden="false" customHeight="false" outlineLevel="0" collapsed="false">
      <c r="A1387" s="92" t="str">
        <f aca="false">Gov_Map!$H598&amp;""</f>
        <v>—</v>
      </c>
      <c r="B1387" s="65" t="s">
        <v>10484</v>
      </c>
      <c r="C1387" s="61" t="n">
        <v>598</v>
      </c>
      <c r="D1387" s="61" t="s">
        <v>10485</v>
      </c>
      <c r="E1387" s="61" t="s">
        <v>10485</v>
      </c>
      <c r="F1387" s="62" t="s">
        <v>809</v>
      </c>
    </row>
    <row r="1388" customFormat="false" ht="15" hidden="false" customHeight="false" outlineLevel="0" collapsed="false">
      <c r="A1388" s="92" t="str">
        <f aca="false">Gov_Map!$H599&amp;""</f>
        <v>SRC_PERF_056</v>
      </c>
      <c r="B1388" s="65" t="s">
        <v>10484</v>
      </c>
      <c r="C1388" s="61" t="n">
        <v>599</v>
      </c>
      <c r="D1388" s="61" t="s">
        <v>10485</v>
      </c>
      <c r="E1388" s="61" t="s">
        <v>10485</v>
      </c>
      <c r="F1388" s="62" t="s">
        <v>809</v>
      </c>
    </row>
    <row r="1389" customFormat="false" ht="15" hidden="false" customHeight="false" outlineLevel="0" collapsed="false">
      <c r="A1389" s="92" t="str">
        <f aca="false">Gov_Map!$H600&amp;""</f>
        <v>—</v>
      </c>
      <c r="B1389" s="65" t="s">
        <v>10484</v>
      </c>
      <c r="C1389" s="61" t="n">
        <v>600</v>
      </c>
      <c r="D1389" s="61" t="s">
        <v>10485</v>
      </c>
      <c r="E1389" s="61" t="s">
        <v>10485</v>
      </c>
      <c r="F1389" s="62" t="s">
        <v>809</v>
      </c>
    </row>
    <row r="1390" customFormat="false" ht="15" hidden="false" customHeight="false" outlineLevel="0" collapsed="false">
      <c r="A1390" s="92" t="str">
        <f aca="false">Gov_Map!$H601&amp;""</f>
        <v>—</v>
      </c>
      <c r="B1390" s="65" t="s">
        <v>10484</v>
      </c>
      <c r="C1390" s="61" t="n">
        <v>601</v>
      </c>
      <c r="D1390" s="61" t="s">
        <v>10485</v>
      </c>
      <c r="E1390" s="61" t="s">
        <v>10485</v>
      </c>
      <c r="F1390" s="62" t="s">
        <v>809</v>
      </c>
    </row>
    <row r="1391" customFormat="false" ht="15" hidden="false" customHeight="false" outlineLevel="0" collapsed="false">
      <c r="A1391" s="92" t="str">
        <f aca="false">Gov_Map!$H602&amp;""</f>
        <v>—</v>
      </c>
      <c r="B1391" s="65" t="s">
        <v>10484</v>
      </c>
      <c r="C1391" s="61" t="n">
        <v>602</v>
      </c>
      <c r="D1391" s="61" t="s">
        <v>10485</v>
      </c>
      <c r="E1391" s="61" t="s">
        <v>10485</v>
      </c>
      <c r="F1391" s="62" t="s">
        <v>809</v>
      </c>
    </row>
    <row r="1392" customFormat="false" ht="15" hidden="false" customHeight="false" outlineLevel="0" collapsed="false">
      <c r="A1392" s="92" t="str">
        <f aca="false">Gov_Map!$H603&amp;""</f>
        <v>—</v>
      </c>
      <c r="B1392" s="65" t="s">
        <v>10484</v>
      </c>
      <c r="C1392" s="61" t="n">
        <v>603</v>
      </c>
      <c r="D1392" s="61" t="s">
        <v>10485</v>
      </c>
      <c r="E1392" s="61" t="s">
        <v>10485</v>
      </c>
      <c r="F1392" s="62" t="s">
        <v>809</v>
      </c>
    </row>
    <row r="1393" customFormat="false" ht="15" hidden="false" customHeight="false" outlineLevel="0" collapsed="false">
      <c r="A1393" s="92" t="str">
        <f aca="false">Gov_Map!$H604&amp;""</f>
        <v>—</v>
      </c>
      <c r="B1393" s="65" t="s">
        <v>10484</v>
      </c>
      <c r="C1393" s="61" t="n">
        <v>604</v>
      </c>
      <c r="D1393" s="61" t="s">
        <v>10485</v>
      </c>
      <c r="E1393" s="61" t="s">
        <v>10485</v>
      </c>
      <c r="F1393" s="62" t="s">
        <v>809</v>
      </c>
    </row>
    <row r="1394" customFormat="false" ht="15" hidden="false" customHeight="false" outlineLevel="0" collapsed="false">
      <c r="A1394" s="92" t="str">
        <f aca="false">Gov_Map!$H605&amp;""</f>
        <v>SRC_DC_015</v>
      </c>
      <c r="B1394" s="65" t="s">
        <v>10484</v>
      </c>
      <c r="C1394" s="61" t="n">
        <v>605</v>
      </c>
      <c r="D1394" s="61" t="s">
        <v>10485</v>
      </c>
      <c r="E1394" s="61" t="s">
        <v>10485</v>
      </c>
      <c r="F1394" s="62" t="s">
        <v>809</v>
      </c>
    </row>
    <row r="1395" customFormat="false" ht="15" hidden="false" customHeight="false" outlineLevel="0" collapsed="false">
      <c r="A1395" s="92" t="str">
        <f aca="false">Gov_Map!$H606&amp;""</f>
        <v>SRC_DC_015</v>
      </c>
      <c r="B1395" s="65" t="s">
        <v>10484</v>
      </c>
      <c r="C1395" s="61" t="n">
        <v>606</v>
      </c>
      <c r="D1395" s="61" t="s">
        <v>10485</v>
      </c>
      <c r="E1395" s="61" t="s">
        <v>10485</v>
      </c>
      <c r="F1395" s="62" t="s">
        <v>809</v>
      </c>
    </row>
    <row r="1396" customFormat="false" ht="15" hidden="false" customHeight="false" outlineLevel="0" collapsed="false">
      <c r="A1396" s="92" t="str">
        <f aca="false">Gov_Map!$H607&amp;""</f>
        <v>SRC_DC_015</v>
      </c>
      <c r="B1396" s="65" t="s">
        <v>10484</v>
      </c>
      <c r="C1396" s="61" t="n">
        <v>607</v>
      </c>
      <c r="D1396" s="61" t="s">
        <v>10485</v>
      </c>
      <c r="E1396" s="61" t="s">
        <v>10485</v>
      </c>
      <c r="F1396" s="62" t="s">
        <v>809</v>
      </c>
    </row>
    <row r="1397" customFormat="false" ht="15" hidden="false" customHeight="false" outlineLevel="0" collapsed="false">
      <c r="A1397" s="92" t="str">
        <f aca="false">Gov_Map!$H608&amp;""</f>
        <v>SRC_DC_015</v>
      </c>
      <c r="B1397" s="65" t="s">
        <v>10484</v>
      </c>
      <c r="C1397" s="61" t="n">
        <v>608</v>
      </c>
      <c r="D1397" s="61" t="s">
        <v>10485</v>
      </c>
      <c r="E1397" s="61" t="s">
        <v>10485</v>
      </c>
      <c r="F1397" s="62" t="s">
        <v>809</v>
      </c>
    </row>
    <row r="1398" customFormat="false" ht="15" hidden="false" customHeight="false" outlineLevel="0" collapsed="false">
      <c r="A1398" s="92" t="str">
        <f aca="false">Gov_Map!$H609&amp;""</f>
        <v>SRC_DC_017</v>
      </c>
      <c r="B1398" s="65" t="s">
        <v>10484</v>
      </c>
      <c r="C1398" s="61" t="n">
        <v>609</v>
      </c>
      <c r="D1398" s="61" t="s">
        <v>10485</v>
      </c>
      <c r="E1398" s="61" t="s">
        <v>10485</v>
      </c>
      <c r="F1398" s="62" t="s">
        <v>809</v>
      </c>
    </row>
    <row r="1399" customFormat="false" ht="15" hidden="false" customHeight="false" outlineLevel="0" collapsed="false">
      <c r="A1399" s="92" t="str">
        <f aca="false">Gov_Map!$H610&amp;""</f>
        <v>SRC_DC_017</v>
      </c>
      <c r="B1399" s="65" t="s">
        <v>10484</v>
      </c>
      <c r="C1399" s="61" t="n">
        <v>610</v>
      </c>
      <c r="D1399" s="61" t="s">
        <v>10485</v>
      </c>
      <c r="E1399" s="61" t="s">
        <v>10485</v>
      </c>
      <c r="F1399" s="62" t="s">
        <v>809</v>
      </c>
    </row>
    <row r="1400" customFormat="false" ht="15" hidden="false" customHeight="false" outlineLevel="0" collapsed="false">
      <c r="A1400" s="92" t="str">
        <f aca="false">Gov_Map!$H611&amp;""</f>
        <v>SRC_DC_017</v>
      </c>
      <c r="B1400" s="65" t="s">
        <v>10484</v>
      </c>
      <c r="C1400" s="61" t="n">
        <v>611</v>
      </c>
      <c r="D1400" s="61" t="s">
        <v>10485</v>
      </c>
      <c r="E1400" s="61" t="s">
        <v>10485</v>
      </c>
      <c r="F1400" s="62" t="s">
        <v>809</v>
      </c>
    </row>
    <row r="1401" customFormat="false" ht="15" hidden="false" customHeight="false" outlineLevel="0" collapsed="false">
      <c r="A1401" s="92" t="str">
        <f aca="false">Gov_Map!$H612&amp;""</f>
        <v>SRC_DEM_039</v>
      </c>
      <c r="B1401" s="65" t="s">
        <v>10484</v>
      </c>
      <c r="C1401" s="61" t="n">
        <v>612</v>
      </c>
      <c r="D1401" s="61" t="s">
        <v>10485</v>
      </c>
      <c r="E1401" s="61" t="s">
        <v>10485</v>
      </c>
      <c r="F1401" s="62" t="s">
        <v>809</v>
      </c>
    </row>
    <row r="1402" customFormat="false" ht="15" hidden="false" customHeight="false" outlineLevel="0" collapsed="false">
      <c r="A1402" s="92" t="str">
        <f aca="false">Gov_Map!$H613&amp;""</f>
        <v>—</v>
      </c>
      <c r="B1402" s="65" t="s">
        <v>10484</v>
      </c>
      <c r="C1402" s="61" t="n">
        <v>613</v>
      </c>
      <c r="D1402" s="61" t="s">
        <v>10485</v>
      </c>
      <c r="E1402" s="61" t="s">
        <v>10485</v>
      </c>
      <c r="F1402" s="62" t="s">
        <v>809</v>
      </c>
    </row>
    <row r="1403" customFormat="false" ht="15" hidden="false" customHeight="false" outlineLevel="0" collapsed="false">
      <c r="A1403" s="92" t="str">
        <f aca="false">Gov_Map!$H614&amp;""</f>
        <v>—</v>
      </c>
      <c r="B1403" s="65" t="s">
        <v>10484</v>
      </c>
      <c r="C1403" s="61" t="n">
        <v>614</v>
      </c>
      <c r="D1403" s="61" t="s">
        <v>10485</v>
      </c>
      <c r="E1403" s="61" t="s">
        <v>10485</v>
      </c>
      <c r="F1403" s="62" t="s">
        <v>809</v>
      </c>
    </row>
    <row r="1404" customFormat="false" ht="15" hidden="false" customHeight="false" outlineLevel="0" collapsed="false">
      <c r="A1404" s="92" t="str">
        <f aca="false">Gov_Map!$H615&amp;""</f>
        <v>—</v>
      </c>
      <c r="B1404" s="65" t="s">
        <v>10484</v>
      </c>
      <c r="C1404" s="61" t="n">
        <v>615</v>
      </c>
      <c r="D1404" s="61" t="s">
        <v>10485</v>
      </c>
      <c r="E1404" s="61" t="s">
        <v>10485</v>
      </c>
      <c r="F1404" s="62" t="s">
        <v>809</v>
      </c>
    </row>
    <row r="1405" customFormat="false" ht="15" hidden="false" customHeight="false" outlineLevel="0" collapsed="false">
      <c r="A1405" s="92" t="str">
        <f aca="false">Gov_Map!$H616&amp;""</f>
        <v>SRC_DEM_051</v>
      </c>
      <c r="B1405" s="65" t="s">
        <v>10484</v>
      </c>
      <c r="C1405" s="61" t="n">
        <v>616</v>
      </c>
      <c r="D1405" s="61" t="s">
        <v>10485</v>
      </c>
      <c r="E1405" s="61" t="s">
        <v>10485</v>
      </c>
      <c r="F1405" s="62" t="s">
        <v>809</v>
      </c>
    </row>
    <row r="1406" customFormat="false" ht="15" hidden="false" customHeight="false" outlineLevel="0" collapsed="false">
      <c r="A1406" s="92" t="str">
        <f aca="false">Gov_Map!$H617&amp;""</f>
        <v>—</v>
      </c>
      <c r="B1406" s="65" t="s">
        <v>10484</v>
      </c>
      <c r="C1406" s="61" t="n">
        <v>617</v>
      </c>
      <c r="D1406" s="61" t="s">
        <v>10485</v>
      </c>
      <c r="E1406" s="61" t="s">
        <v>10485</v>
      </c>
      <c r="F1406" s="62" t="s">
        <v>809</v>
      </c>
    </row>
    <row r="1407" customFormat="false" ht="15" hidden="false" customHeight="false" outlineLevel="0" collapsed="false">
      <c r="A1407" s="92" t="str">
        <f aca="false">Gov_Map!$H618&amp;""</f>
        <v>SRC_DEM_071</v>
      </c>
      <c r="B1407" s="65" t="s">
        <v>10484</v>
      </c>
      <c r="C1407" s="61" t="n">
        <v>618</v>
      </c>
      <c r="D1407" s="61" t="s">
        <v>10485</v>
      </c>
      <c r="E1407" s="61" t="s">
        <v>10485</v>
      </c>
      <c r="F1407" s="62" t="s">
        <v>809</v>
      </c>
    </row>
    <row r="1408" customFormat="false" ht="15" hidden="false" customHeight="false" outlineLevel="0" collapsed="false">
      <c r="A1408" s="92" t="str">
        <f aca="false">Gov_Map!$H619&amp;""</f>
        <v>—</v>
      </c>
      <c r="B1408" s="65" t="s">
        <v>10484</v>
      </c>
      <c r="C1408" s="61" t="n">
        <v>619</v>
      </c>
      <c r="D1408" s="61" t="s">
        <v>10485</v>
      </c>
      <c r="E1408" s="61" t="s">
        <v>10485</v>
      </c>
      <c r="F1408" s="62" t="s">
        <v>809</v>
      </c>
    </row>
    <row r="1409" customFormat="false" ht="15" hidden="false" customHeight="false" outlineLevel="0" collapsed="false">
      <c r="A1409" s="92" t="str">
        <f aca="false">Gov_Map!$H620&amp;""</f>
        <v>—</v>
      </c>
      <c r="B1409" s="65" t="s">
        <v>10484</v>
      </c>
      <c r="C1409" s="61" t="n">
        <v>620</v>
      </c>
      <c r="D1409" s="61" t="s">
        <v>10485</v>
      </c>
      <c r="E1409" s="61" t="s">
        <v>10485</v>
      </c>
      <c r="F1409" s="62" t="s">
        <v>809</v>
      </c>
    </row>
    <row r="1410" customFormat="false" ht="15" hidden="false" customHeight="false" outlineLevel="0" collapsed="false">
      <c r="A1410" s="92" t="str">
        <f aca="false">Gov_Map!$H621&amp;""</f>
        <v>—</v>
      </c>
      <c r="B1410" s="65" t="s">
        <v>10484</v>
      </c>
      <c r="C1410" s="61" t="n">
        <v>621</v>
      </c>
      <c r="D1410" s="61" t="s">
        <v>10485</v>
      </c>
      <c r="E1410" s="61" t="s">
        <v>10485</v>
      </c>
      <c r="F1410" s="62" t="s">
        <v>809</v>
      </c>
    </row>
    <row r="1411" customFormat="false" ht="15" hidden="false" customHeight="false" outlineLevel="0" collapsed="false">
      <c r="A1411" s="92" t="str">
        <f aca="false">Gov_Map!$H622&amp;""</f>
        <v>—</v>
      </c>
      <c r="B1411" s="65" t="s">
        <v>10484</v>
      </c>
      <c r="C1411" s="61" t="n">
        <v>622</v>
      </c>
      <c r="D1411" s="61" t="s">
        <v>10485</v>
      </c>
      <c r="E1411" s="61" t="s">
        <v>10485</v>
      </c>
      <c r="F1411" s="62" t="s">
        <v>809</v>
      </c>
    </row>
    <row r="1412" customFormat="false" ht="15" hidden="false" customHeight="false" outlineLevel="0" collapsed="false">
      <c r="A1412" s="92" t="str">
        <f aca="false">Gov_Map!$H623&amp;""</f>
        <v>—</v>
      </c>
      <c r="B1412" s="65" t="s">
        <v>10484</v>
      </c>
      <c r="C1412" s="61" t="n">
        <v>623</v>
      </c>
      <c r="D1412" s="61" t="s">
        <v>10485</v>
      </c>
      <c r="E1412" s="61" t="s">
        <v>10485</v>
      </c>
      <c r="F1412" s="62" t="s">
        <v>809</v>
      </c>
    </row>
    <row r="1413" customFormat="false" ht="15" hidden="false" customHeight="false" outlineLevel="0" collapsed="false">
      <c r="A1413" s="92" t="str">
        <f aca="false">Gov_Map!$H624&amp;""</f>
        <v>—</v>
      </c>
      <c r="B1413" s="65" t="s">
        <v>10484</v>
      </c>
      <c r="C1413" s="61" t="n">
        <v>624</v>
      </c>
      <c r="D1413" s="61" t="s">
        <v>10485</v>
      </c>
      <c r="E1413" s="61" t="s">
        <v>10485</v>
      </c>
      <c r="F1413" s="62" t="s">
        <v>809</v>
      </c>
    </row>
    <row r="1414" customFormat="false" ht="15" hidden="false" customHeight="false" outlineLevel="0" collapsed="false">
      <c r="A1414" s="92" t="str">
        <f aca="false">Gov_Map!$H625&amp;""</f>
        <v>—</v>
      </c>
      <c r="B1414" s="65" t="s">
        <v>10484</v>
      </c>
      <c r="C1414" s="61" t="n">
        <v>625</v>
      </c>
      <c r="D1414" s="61" t="s">
        <v>10485</v>
      </c>
      <c r="E1414" s="61" t="s">
        <v>10485</v>
      </c>
      <c r="F1414" s="62" t="s">
        <v>809</v>
      </c>
    </row>
    <row r="1415" customFormat="false" ht="15" hidden="false" customHeight="false" outlineLevel="0" collapsed="false">
      <c r="A1415" s="92" t="str">
        <f aca="false">Gov_Map!$H626&amp;""</f>
        <v>—</v>
      </c>
      <c r="B1415" s="65" t="s">
        <v>10484</v>
      </c>
      <c r="C1415" s="61" t="n">
        <v>626</v>
      </c>
      <c r="D1415" s="61" t="s">
        <v>10485</v>
      </c>
      <c r="E1415" s="61" t="s">
        <v>10485</v>
      </c>
      <c r="F1415" s="62" t="s">
        <v>809</v>
      </c>
    </row>
    <row r="1416" customFormat="false" ht="15" hidden="false" customHeight="false" outlineLevel="0" collapsed="false">
      <c r="A1416" s="92" t="str">
        <f aca="false">Gov_Map!$H627&amp;""</f>
        <v>—</v>
      </c>
      <c r="B1416" s="65" t="s">
        <v>10484</v>
      </c>
      <c r="C1416" s="61" t="n">
        <v>627</v>
      </c>
      <c r="D1416" s="61" t="s">
        <v>10485</v>
      </c>
      <c r="E1416" s="61" t="s">
        <v>10485</v>
      </c>
      <c r="F1416" s="62" t="s">
        <v>809</v>
      </c>
    </row>
    <row r="1417" customFormat="false" ht="15" hidden="false" customHeight="false" outlineLevel="0" collapsed="false">
      <c r="A1417" s="92" t="str">
        <f aca="false">Gov_Map!$H628&amp;""</f>
        <v>SRC_DEM_042</v>
      </c>
      <c r="B1417" s="65" t="s">
        <v>10484</v>
      </c>
      <c r="C1417" s="61" t="n">
        <v>628</v>
      </c>
      <c r="D1417" s="61" t="s">
        <v>10485</v>
      </c>
      <c r="E1417" s="61" t="s">
        <v>10485</v>
      </c>
      <c r="F1417" s="62" t="s">
        <v>809</v>
      </c>
    </row>
    <row r="1418" customFormat="false" ht="15" hidden="false" customHeight="false" outlineLevel="0" collapsed="false">
      <c r="A1418" s="92" t="str">
        <f aca="false">Gov_Map!$H629&amp;""</f>
        <v>SRC_DEM_023</v>
      </c>
      <c r="B1418" s="65" t="s">
        <v>10484</v>
      </c>
      <c r="C1418" s="61" t="n">
        <v>629</v>
      </c>
      <c r="D1418" s="61" t="s">
        <v>10485</v>
      </c>
      <c r="E1418" s="61" t="s">
        <v>10485</v>
      </c>
      <c r="F1418" s="62" t="s">
        <v>809</v>
      </c>
    </row>
    <row r="1419" customFormat="false" ht="15" hidden="false" customHeight="false" outlineLevel="0" collapsed="false">
      <c r="A1419" s="92" t="str">
        <f aca="false">Gov_Map!$H630&amp;""</f>
        <v>SRC_DEM_071</v>
      </c>
      <c r="B1419" s="65" t="s">
        <v>10484</v>
      </c>
      <c r="C1419" s="61" t="n">
        <v>630</v>
      </c>
      <c r="D1419" s="61" t="s">
        <v>10485</v>
      </c>
      <c r="E1419" s="61" t="s">
        <v>10485</v>
      </c>
      <c r="F1419" s="62" t="s">
        <v>809</v>
      </c>
    </row>
    <row r="1420" customFormat="false" ht="15" hidden="false" customHeight="false" outlineLevel="0" collapsed="false">
      <c r="A1420" s="92" t="str">
        <f aca="false">Gov_Map!$H631&amp;""</f>
        <v>SRC_DEM_011</v>
      </c>
      <c r="B1420" s="65" t="s">
        <v>10484</v>
      </c>
      <c r="C1420" s="61" t="n">
        <v>631</v>
      </c>
      <c r="D1420" s="61" t="s">
        <v>10485</v>
      </c>
      <c r="E1420" s="61" t="s">
        <v>10485</v>
      </c>
      <c r="F1420" s="62" t="s">
        <v>809</v>
      </c>
    </row>
    <row r="1421" customFormat="false" ht="15" hidden="false" customHeight="false" outlineLevel="0" collapsed="false">
      <c r="A1421" s="92" t="str">
        <f aca="false">Gov_Map!$H632&amp;""</f>
        <v>SRC_DEM_012</v>
      </c>
      <c r="B1421" s="65" t="s">
        <v>10484</v>
      </c>
      <c r="C1421" s="61" t="n">
        <v>632</v>
      </c>
      <c r="D1421" s="61" t="s">
        <v>10485</v>
      </c>
      <c r="E1421" s="61" t="s">
        <v>10485</v>
      </c>
      <c r="F1421" s="62" t="s">
        <v>809</v>
      </c>
    </row>
    <row r="1422" customFormat="false" ht="15" hidden="false" customHeight="false" outlineLevel="0" collapsed="false">
      <c r="A1422" s="92" t="str">
        <f aca="false">Gov_Map!$H633&amp;""</f>
        <v>—</v>
      </c>
      <c r="B1422" s="65" t="s">
        <v>10484</v>
      </c>
      <c r="C1422" s="61" t="n">
        <v>633</v>
      </c>
      <c r="D1422" s="61" t="s">
        <v>10485</v>
      </c>
      <c r="E1422" s="61" t="s">
        <v>10485</v>
      </c>
      <c r="F1422" s="62" t="s">
        <v>809</v>
      </c>
    </row>
    <row r="1423" customFormat="false" ht="15" hidden="false" customHeight="false" outlineLevel="0" collapsed="false">
      <c r="A1423" s="92" t="str">
        <f aca="false">Gov_Map!$H634&amp;""</f>
        <v>—</v>
      </c>
      <c r="B1423" s="65" t="s">
        <v>10484</v>
      </c>
      <c r="C1423" s="61" t="n">
        <v>634</v>
      </c>
      <c r="D1423" s="61" t="s">
        <v>10485</v>
      </c>
      <c r="E1423" s="61" t="s">
        <v>10485</v>
      </c>
      <c r="F1423" s="62" t="s">
        <v>809</v>
      </c>
    </row>
    <row r="1424" customFormat="false" ht="15" hidden="false" customHeight="false" outlineLevel="0" collapsed="false">
      <c r="A1424" s="92" t="str">
        <f aca="false">Gov_Map!$H635&amp;""</f>
        <v>—</v>
      </c>
      <c r="B1424" s="65" t="s">
        <v>10484</v>
      </c>
      <c r="C1424" s="61" t="n">
        <v>635</v>
      </c>
      <c r="D1424" s="61" t="s">
        <v>10485</v>
      </c>
      <c r="E1424" s="61" t="s">
        <v>10485</v>
      </c>
      <c r="F1424" s="62" t="s">
        <v>809</v>
      </c>
    </row>
    <row r="1425" customFormat="false" ht="15" hidden="false" customHeight="false" outlineLevel="0" collapsed="false">
      <c r="A1425" s="92" t="str">
        <f aca="false">Gov_Map!$H636&amp;""</f>
        <v>—</v>
      </c>
      <c r="B1425" s="65" t="s">
        <v>10484</v>
      </c>
      <c r="C1425" s="61" t="n">
        <v>636</v>
      </c>
      <c r="D1425" s="61" t="s">
        <v>10485</v>
      </c>
      <c r="E1425" s="61" t="s">
        <v>10485</v>
      </c>
      <c r="F1425" s="62" t="s">
        <v>809</v>
      </c>
    </row>
    <row r="1426" customFormat="false" ht="15" hidden="false" customHeight="false" outlineLevel="0" collapsed="false">
      <c r="A1426" s="92" t="str">
        <f aca="false">Gov_Map!$H637&amp;""</f>
        <v>—</v>
      </c>
      <c r="B1426" s="65" t="s">
        <v>10484</v>
      </c>
      <c r="C1426" s="61" t="n">
        <v>637</v>
      </c>
      <c r="D1426" s="61" t="s">
        <v>10485</v>
      </c>
      <c r="E1426" s="61" t="s">
        <v>10485</v>
      </c>
      <c r="F1426" s="62" t="s">
        <v>809</v>
      </c>
    </row>
    <row r="1427" customFormat="false" ht="15" hidden="false" customHeight="false" outlineLevel="0" collapsed="false">
      <c r="A1427" s="92" t="str">
        <f aca="false">Gov_Map!$H638&amp;""</f>
        <v>—</v>
      </c>
      <c r="B1427" s="65" t="s">
        <v>10484</v>
      </c>
      <c r="C1427" s="61" t="n">
        <v>638</v>
      </c>
      <c r="D1427" s="61" t="s">
        <v>10485</v>
      </c>
      <c r="E1427" s="61" t="s">
        <v>10485</v>
      </c>
      <c r="F1427" s="62" t="s">
        <v>809</v>
      </c>
    </row>
    <row r="1428" customFormat="false" ht="15" hidden="false" customHeight="false" outlineLevel="0" collapsed="false">
      <c r="A1428" s="92" t="str">
        <f aca="false">Gov_Map!$H639&amp;""</f>
        <v>—</v>
      </c>
      <c r="B1428" s="65" t="s">
        <v>10484</v>
      </c>
      <c r="C1428" s="61" t="n">
        <v>639</v>
      </c>
      <c r="D1428" s="61" t="s">
        <v>10485</v>
      </c>
      <c r="E1428" s="61" t="s">
        <v>10485</v>
      </c>
      <c r="F1428" s="62" t="s">
        <v>809</v>
      </c>
    </row>
    <row r="1429" customFormat="false" ht="15" hidden="false" customHeight="false" outlineLevel="0" collapsed="false">
      <c r="A1429" s="92" t="str">
        <f aca="false">Gov_Map!$H640&amp;""</f>
        <v>—</v>
      </c>
      <c r="B1429" s="65" t="s">
        <v>10484</v>
      </c>
      <c r="C1429" s="61" t="n">
        <v>640</v>
      </c>
      <c r="D1429" s="61" t="s">
        <v>10485</v>
      </c>
      <c r="E1429" s="61" t="s">
        <v>10485</v>
      </c>
      <c r="F1429" s="62" t="s">
        <v>809</v>
      </c>
    </row>
    <row r="1430" customFormat="false" ht="15" hidden="false" customHeight="false" outlineLevel="0" collapsed="false">
      <c r="A1430" s="92" t="str">
        <f aca="false">Gov_Map!$H641&amp;""</f>
        <v>—</v>
      </c>
      <c r="B1430" s="65" t="s">
        <v>10484</v>
      </c>
      <c r="C1430" s="61" t="n">
        <v>641</v>
      </c>
      <c r="D1430" s="61" t="s">
        <v>10485</v>
      </c>
      <c r="E1430" s="61" t="s">
        <v>10485</v>
      </c>
      <c r="F1430" s="62" t="s">
        <v>809</v>
      </c>
    </row>
    <row r="1431" customFormat="false" ht="15" hidden="false" customHeight="false" outlineLevel="0" collapsed="false">
      <c r="A1431" s="92" t="str">
        <f aca="false">Gov_Map!$H642&amp;""</f>
        <v>—</v>
      </c>
      <c r="B1431" s="65" t="s">
        <v>10484</v>
      </c>
      <c r="C1431" s="61" t="n">
        <v>642</v>
      </c>
      <c r="D1431" s="61" t="s">
        <v>10485</v>
      </c>
      <c r="E1431" s="61" t="s">
        <v>10485</v>
      </c>
      <c r="F1431" s="62" t="s">
        <v>809</v>
      </c>
    </row>
    <row r="1432" customFormat="false" ht="15" hidden="false" customHeight="false" outlineLevel="0" collapsed="false">
      <c r="A1432" s="92" t="str">
        <f aca="false">Gov_Map!$H643&amp;""</f>
        <v>—</v>
      </c>
      <c r="B1432" s="65" t="s">
        <v>10484</v>
      </c>
      <c r="C1432" s="61" t="n">
        <v>643</v>
      </c>
      <c r="D1432" s="61" t="s">
        <v>10485</v>
      </c>
      <c r="E1432" s="61" t="s">
        <v>10485</v>
      </c>
      <c r="F1432" s="62" t="s">
        <v>809</v>
      </c>
    </row>
    <row r="1433" customFormat="false" ht="15" hidden="false" customHeight="false" outlineLevel="0" collapsed="false">
      <c r="A1433" s="92" t="str">
        <f aca="false">Gov_Map!$H644&amp;""</f>
        <v>SRC_DEM_072</v>
      </c>
      <c r="B1433" s="65" t="s">
        <v>10484</v>
      </c>
      <c r="C1433" s="61" t="n">
        <v>644</v>
      </c>
      <c r="D1433" s="61" t="s">
        <v>10485</v>
      </c>
      <c r="E1433" s="61" t="s">
        <v>10485</v>
      </c>
      <c r="F1433" s="62" t="s">
        <v>809</v>
      </c>
    </row>
    <row r="1434" customFormat="false" ht="15" hidden="false" customHeight="false" outlineLevel="0" collapsed="false">
      <c r="A1434" s="92" t="str">
        <f aca="false">Gov_Map!$H645&amp;""</f>
        <v>SRC_DEM_072</v>
      </c>
      <c r="B1434" s="65" t="s">
        <v>10484</v>
      </c>
      <c r="C1434" s="61" t="n">
        <v>645</v>
      </c>
      <c r="D1434" s="61" t="s">
        <v>10485</v>
      </c>
      <c r="E1434" s="61" t="s">
        <v>10485</v>
      </c>
      <c r="F1434" s="62" t="s">
        <v>809</v>
      </c>
    </row>
    <row r="1435" customFormat="false" ht="15" hidden="false" customHeight="false" outlineLevel="0" collapsed="false">
      <c r="A1435" s="92" t="str">
        <f aca="false">Gov_Map!$H646&amp;""</f>
        <v>SRC_DEM_072</v>
      </c>
      <c r="B1435" s="65" t="s">
        <v>10484</v>
      </c>
      <c r="C1435" s="61" t="n">
        <v>646</v>
      </c>
      <c r="D1435" s="61" t="s">
        <v>10485</v>
      </c>
      <c r="E1435" s="61" t="s">
        <v>10485</v>
      </c>
      <c r="F1435" s="62" t="s">
        <v>809</v>
      </c>
    </row>
    <row r="1436" customFormat="false" ht="15" hidden="false" customHeight="false" outlineLevel="0" collapsed="false">
      <c r="A1436" s="92" t="str">
        <f aca="false">Gov_Map!$H647&amp;""</f>
        <v>—</v>
      </c>
      <c r="B1436" s="65" t="s">
        <v>10484</v>
      </c>
      <c r="C1436" s="61" t="n">
        <v>647</v>
      </c>
      <c r="D1436" s="61" t="s">
        <v>10485</v>
      </c>
      <c r="E1436" s="61" t="s">
        <v>10485</v>
      </c>
      <c r="F1436" s="62" t="s">
        <v>809</v>
      </c>
    </row>
    <row r="1437" customFormat="false" ht="15" hidden="false" customHeight="false" outlineLevel="0" collapsed="false">
      <c r="A1437" s="92" t="str">
        <f aca="false">Gov_Map!$H648&amp;""</f>
        <v>—</v>
      </c>
      <c r="B1437" s="65" t="s">
        <v>10484</v>
      </c>
      <c r="C1437" s="61" t="n">
        <v>648</v>
      </c>
      <c r="D1437" s="61" t="s">
        <v>10485</v>
      </c>
      <c r="E1437" s="61" t="s">
        <v>10485</v>
      </c>
      <c r="F1437" s="62" t="s">
        <v>809</v>
      </c>
    </row>
    <row r="1438" customFormat="false" ht="15" hidden="false" customHeight="false" outlineLevel="0" collapsed="false">
      <c r="A1438" s="92" t="str">
        <f aca="false">Gov_Map!$H649&amp;""</f>
        <v>—</v>
      </c>
      <c r="B1438" s="65" t="s">
        <v>10484</v>
      </c>
      <c r="C1438" s="61" t="n">
        <v>649</v>
      </c>
      <c r="D1438" s="61" t="s">
        <v>10485</v>
      </c>
      <c r="E1438" s="61" t="s">
        <v>10485</v>
      </c>
      <c r="F1438" s="62" t="s">
        <v>809</v>
      </c>
    </row>
    <row r="1439" customFormat="false" ht="15" hidden="false" customHeight="false" outlineLevel="0" collapsed="false">
      <c r="A1439" s="92" t="str">
        <f aca="false">Gov_Map!$H650&amp;""</f>
        <v>—</v>
      </c>
      <c r="B1439" s="65" t="s">
        <v>10484</v>
      </c>
      <c r="C1439" s="61" t="n">
        <v>650</v>
      </c>
      <c r="D1439" s="61" t="s">
        <v>10485</v>
      </c>
      <c r="E1439" s="61" t="s">
        <v>10485</v>
      </c>
      <c r="F1439" s="62" t="s">
        <v>809</v>
      </c>
    </row>
    <row r="1440" customFormat="false" ht="15" hidden="false" customHeight="false" outlineLevel="0" collapsed="false">
      <c r="A1440" s="92" t="str">
        <f aca="false">Gov_Map!$H651&amp;""</f>
        <v>—</v>
      </c>
      <c r="B1440" s="65" t="s">
        <v>10484</v>
      </c>
      <c r="C1440" s="61" t="n">
        <v>651</v>
      </c>
      <c r="D1440" s="61" t="s">
        <v>10485</v>
      </c>
      <c r="E1440" s="61" t="s">
        <v>10485</v>
      </c>
      <c r="F1440" s="62" t="s">
        <v>809</v>
      </c>
    </row>
    <row r="1441" customFormat="false" ht="15" hidden="false" customHeight="false" outlineLevel="0" collapsed="false">
      <c r="A1441" s="92" t="str">
        <f aca="false">Gov_Map!$H652&amp;""</f>
        <v>—</v>
      </c>
      <c r="B1441" s="65" t="s">
        <v>10484</v>
      </c>
      <c r="C1441" s="61" t="n">
        <v>652</v>
      </c>
      <c r="D1441" s="61" t="s">
        <v>10485</v>
      </c>
      <c r="E1441" s="61" t="s">
        <v>10485</v>
      </c>
      <c r="F1441" s="62" t="s">
        <v>809</v>
      </c>
    </row>
    <row r="1442" customFormat="false" ht="15" hidden="false" customHeight="false" outlineLevel="0" collapsed="false">
      <c r="A1442" s="92" t="str">
        <f aca="false">Gov_Map!$H653&amp;""</f>
        <v>—</v>
      </c>
      <c r="B1442" s="65" t="s">
        <v>10484</v>
      </c>
      <c r="C1442" s="61" t="n">
        <v>653</v>
      </c>
      <c r="D1442" s="61" t="s">
        <v>10485</v>
      </c>
      <c r="E1442" s="61" t="s">
        <v>10485</v>
      </c>
      <c r="F1442" s="62" t="s">
        <v>809</v>
      </c>
    </row>
    <row r="1443" customFormat="false" ht="15" hidden="false" customHeight="false" outlineLevel="0" collapsed="false">
      <c r="A1443" s="92" t="str">
        <f aca="false">Gov_Map!$H654&amp;""</f>
        <v>—</v>
      </c>
      <c r="B1443" s="65" t="s">
        <v>10484</v>
      </c>
      <c r="C1443" s="61" t="n">
        <v>654</v>
      </c>
      <c r="D1443" s="61" t="s">
        <v>10485</v>
      </c>
      <c r="E1443" s="61" t="s">
        <v>10485</v>
      </c>
      <c r="F1443" s="62" t="s">
        <v>809</v>
      </c>
    </row>
    <row r="1444" customFormat="false" ht="15" hidden="false" customHeight="false" outlineLevel="0" collapsed="false">
      <c r="A1444" s="92" t="str">
        <f aca="false">Gov_Map!$H655&amp;""</f>
        <v>—</v>
      </c>
      <c r="B1444" s="65" t="s">
        <v>10484</v>
      </c>
      <c r="C1444" s="61" t="n">
        <v>655</v>
      </c>
      <c r="D1444" s="61" t="s">
        <v>10485</v>
      </c>
      <c r="E1444" s="61" t="s">
        <v>10485</v>
      </c>
      <c r="F1444" s="62" t="s">
        <v>809</v>
      </c>
    </row>
    <row r="1445" customFormat="false" ht="15" hidden="false" customHeight="false" outlineLevel="0" collapsed="false">
      <c r="A1445" s="92" t="str">
        <f aca="false">Gov_Map!$H656&amp;""</f>
        <v>—</v>
      </c>
      <c r="B1445" s="65" t="s">
        <v>10484</v>
      </c>
      <c r="C1445" s="61" t="n">
        <v>656</v>
      </c>
      <c r="D1445" s="61" t="s">
        <v>10485</v>
      </c>
      <c r="E1445" s="61" t="s">
        <v>10485</v>
      </c>
      <c r="F1445" s="62" t="s">
        <v>809</v>
      </c>
    </row>
    <row r="1446" customFormat="false" ht="15" hidden="false" customHeight="false" outlineLevel="0" collapsed="false">
      <c r="A1446" s="92" t="str">
        <f aca="false">Gov_Map!$H657&amp;""</f>
        <v>—</v>
      </c>
      <c r="B1446" s="65" t="s">
        <v>10484</v>
      </c>
      <c r="C1446" s="61" t="n">
        <v>657</v>
      </c>
      <c r="D1446" s="61" t="s">
        <v>10485</v>
      </c>
      <c r="E1446" s="61" t="s">
        <v>10485</v>
      </c>
      <c r="F1446" s="62" t="s">
        <v>809</v>
      </c>
    </row>
    <row r="1447" customFormat="false" ht="15" hidden="false" customHeight="false" outlineLevel="0" collapsed="false">
      <c r="A1447" s="92" t="str">
        <f aca="false">Gov_Map!$H658&amp;""</f>
        <v>—</v>
      </c>
      <c r="B1447" s="65" t="s">
        <v>10484</v>
      </c>
      <c r="C1447" s="61" t="n">
        <v>658</v>
      </c>
      <c r="D1447" s="61" t="s">
        <v>10485</v>
      </c>
      <c r="E1447" s="61" t="s">
        <v>10485</v>
      </c>
      <c r="F1447" s="62" t="s">
        <v>809</v>
      </c>
    </row>
    <row r="1448" customFormat="false" ht="15" hidden="false" customHeight="false" outlineLevel="0" collapsed="false">
      <c r="A1448" s="92" t="str">
        <f aca="false">Gov_Map!$H659&amp;""</f>
        <v>—</v>
      </c>
      <c r="B1448" s="65" t="s">
        <v>10484</v>
      </c>
      <c r="C1448" s="61" t="n">
        <v>659</v>
      </c>
      <c r="D1448" s="61" t="s">
        <v>10485</v>
      </c>
      <c r="E1448" s="61" t="s">
        <v>10485</v>
      </c>
      <c r="F1448" s="62" t="s">
        <v>809</v>
      </c>
    </row>
    <row r="1449" customFormat="false" ht="15" hidden="false" customHeight="false" outlineLevel="0" collapsed="false">
      <c r="A1449" s="92" t="str">
        <f aca="false">Gov_Map!$H660&amp;""</f>
        <v>—</v>
      </c>
      <c r="B1449" s="65" t="s">
        <v>10484</v>
      </c>
      <c r="C1449" s="61" t="n">
        <v>660</v>
      </c>
      <c r="D1449" s="61" t="s">
        <v>10485</v>
      </c>
      <c r="E1449" s="61" t="s">
        <v>10485</v>
      </c>
      <c r="F1449" s="62" t="s">
        <v>809</v>
      </c>
    </row>
    <row r="1450" customFormat="false" ht="15" hidden="false" customHeight="false" outlineLevel="0" collapsed="false">
      <c r="A1450" s="92" t="str">
        <f aca="false">Gov_Map!$H661&amp;""</f>
        <v>—</v>
      </c>
      <c r="B1450" s="65" t="s">
        <v>10484</v>
      </c>
      <c r="C1450" s="61" t="n">
        <v>661</v>
      </c>
      <c r="D1450" s="61" t="s">
        <v>10485</v>
      </c>
      <c r="E1450" s="61" t="s">
        <v>10485</v>
      </c>
      <c r="F1450" s="62" t="s">
        <v>809</v>
      </c>
    </row>
    <row r="1451" customFormat="false" ht="15" hidden="false" customHeight="false" outlineLevel="0" collapsed="false">
      <c r="A1451" s="92" t="str">
        <f aca="false">Gov_Map!$H662&amp;""</f>
        <v>—</v>
      </c>
      <c r="B1451" s="65" t="s">
        <v>10484</v>
      </c>
      <c r="C1451" s="61" t="n">
        <v>662</v>
      </c>
      <c r="D1451" s="61" t="s">
        <v>10485</v>
      </c>
      <c r="E1451" s="61" t="s">
        <v>10485</v>
      </c>
      <c r="F1451" s="62" t="s">
        <v>809</v>
      </c>
    </row>
    <row r="1452" customFormat="false" ht="15" hidden="false" customHeight="false" outlineLevel="0" collapsed="false">
      <c r="A1452" s="92" t="str">
        <f aca="false">Gov_Map!$H663&amp;""</f>
        <v>—</v>
      </c>
      <c r="B1452" s="65" t="s">
        <v>10484</v>
      </c>
      <c r="C1452" s="61" t="n">
        <v>663</v>
      </c>
      <c r="D1452" s="61" t="s">
        <v>10485</v>
      </c>
      <c r="E1452" s="61" t="s">
        <v>10485</v>
      </c>
      <c r="F1452" s="62" t="s">
        <v>809</v>
      </c>
    </row>
    <row r="1453" customFormat="false" ht="15" hidden="false" customHeight="false" outlineLevel="0" collapsed="false">
      <c r="A1453" s="92" t="str">
        <f aca="false">Gov_Map!$H664&amp;""</f>
        <v>—</v>
      </c>
      <c r="B1453" s="65" t="s">
        <v>10484</v>
      </c>
      <c r="C1453" s="61" t="n">
        <v>664</v>
      </c>
      <c r="D1453" s="61" t="s">
        <v>10485</v>
      </c>
      <c r="E1453" s="61" t="s">
        <v>10485</v>
      </c>
      <c r="F1453" s="62" t="s">
        <v>809</v>
      </c>
    </row>
    <row r="1454" customFormat="false" ht="15" hidden="false" customHeight="false" outlineLevel="0" collapsed="false">
      <c r="A1454" s="92" t="str">
        <f aca="false">Gov_Map!$H665&amp;""</f>
        <v>—</v>
      </c>
      <c r="B1454" s="65" t="s">
        <v>10484</v>
      </c>
      <c r="C1454" s="61" t="n">
        <v>665</v>
      </c>
      <c r="D1454" s="61" t="s">
        <v>10485</v>
      </c>
      <c r="E1454" s="61" t="s">
        <v>10485</v>
      </c>
      <c r="F1454" s="62" t="s">
        <v>809</v>
      </c>
    </row>
    <row r="1455" customFormat="false" ht="15" hidden="false" customHeight="false" outlineLevel="0" collapsed="false">
      <c r="A1455" s="92" t="str">
        <f aca="false">Gov_Map!$H666&amp;""</f>
        <v>—</v>
      </c>
      <c r="B1455" s="65" t="s">
        <v>10484</v>
      </c>
      <c r="C1455" s="61" t="n">
        <v>666</v>
      </c>
      <c r="D1455" s="61" t="s">
        <v>10485</v>
      </c>
      <c r="E1455" s="61" t="s">
        <v>10485</v>
      </c>
      <c r="F1455" s="62" t="s">
        <v>809</v>
      </c>
    </row>
    <row r="1456" customFormat="false" ht="15" hidden="false" customHeight="false" outlineLevel="0" collapsed="false">
      <c r="A1456" s="92" t="str">
        <f aca="false">Gov_Map!$H667&amp;""</f>
        <v>—</v>
      </c>
      <c r="B1456" s="65" t="s">
        <v>10484</v>
      </c>
      <c r="C1456" s="61" t="n">
        <v>667</v>
      </c>
      <c r="D1456" s="61" t="s">
        <v>10485</v>
      </c>
      <c r="E1456" s="61" t="s">
        <v>10485</v>
      </c>
      <c r="F1456" s="62" t="s">
        <v>809</v>
      </c>
    </row>
    <row r="1457" customFormat="false" ht="15" hidden="false" customHeight="false" outlineLevel="0" collapsed="false">
      <c r="A1457" s="92" t="str">
        <f aca="false">Gov_Map!$H668&amp;""</f>
        <v>—</v>
      </c>
      <c r="B1457" s="65" t="s">
        <v>10484</v>
      </c>
      <c r="C1457" s="61" t="n">
        <v>668</v>
      </c>
      <c r="D1457" s="61" t="s">
        <v>10485</v>
      </c>
      <c r="E1457" s="61" t="s">
        <v>10485</v>
      </c>
      <c r="F1457" s="62" t="s">
        <v>809</v>
      </c>
    </row>
    <row r="1458" customFormat="false" ht="15" hidden="false" customHeight="false" outlineLevel="0" collapsed="false">
      <c r="A1458" s="92" t="str">
        <f aca="false">Gov_Map!$H669&amp;""</f>
        <v>—</v>
      </c>
      <c r="B1458" s="65" t="s">
        <v>10484</v>
      </c>
      <c r="C1458" s="61" t="n">
        <v>669</v>
      </c>
      <c r="D1458" s="61" t="s">
        <v>10485</v>
      </c>
      <c r="E1458" s="61" t="s">
        <v>10485</v>
      </c>
      <c r="F1458" s="62" t="s">
        <v>809</v>
      </c>
    </row>
    <row r="1459" customFormat="false" ht="15" hidden="false" customHeight="false" outlineLevel="0" collapsed="false">
      <c r="A1459" s="92" t="str">
        <f aca="false">Gov_Map!$H670&amp;""</f>
        <v>—</v>
      </c>
      <c r="B1459" s="65" t="s">
        <v>10484</v>
      </c>
      <c r="C1459" s="61" t="n">
        <v>670</v>
      </c>
      <c r="D1459" s="61" t="s">
        <v>10485</v>
      </c>
      <c r="E1459" s="61" t="s">
        <v>10485</v>
      </c>
      <c r="F1459" s="62" t="s">
        <v>809</v>
      </c>
    </row>
    <row r="1460" customFormat="false" ht="15" hidden="false" customHeight="false" outlineLevel="0" collapsed="false">
      <c r="A1460" s="92" t="str">
        <f aca="false">Gov_Map!$H671&amp;""</f>
        <v>—</v>
      </c>
      <c r="B1460" s="65" t="s">
        <v>10484</v>
      </c>
      <c r="C1460" s="61" t="n">
        <v>671</v>
      </c>
      <c r="D1460" s="61" t="s">
        <v>10485</v>
      </c>
      <c r="E1460" s="61" t="s">
        <v>10485</v>
      </c>
      <c r="F1460" s="62" t="s">
        <v>809</v>
      </c>
    </row>
    <row r="1461" customFormat="false" ht="15" hidden="false" customHeight="false" outlineLevel="0" collapsed="false">
      <c r="A1461" s="92" t="str">
        <f aca="false">Gov_Map!$H672&amp;""</f>
        <v>—</v>
      </c>
      <c r="B1461" s="65" t="s">
        <v>10484</v>
      </c>
      <c r="C1461" s="61" t="n">
        <v>672</v>
      </c>
      <c r="D1461" s="61" t="s">
        <v>10485</v>
      </c>
      <c r="E1461" s="61" t="s">
        <v>10485</v>
      </c>
      <c r="F1461" s="62" t="s">
        <v>809</v>
      </c>
    </row>
    <row r="1462" customFormat="false" ht="15" hidden="false" customHeight="false" outlineLevel="0" collapsed="false">
      <c r="A1462" s="92" t="str">
        <f aca="false">Gov_Map!$H673&amp;""</f>
        <v>—</v>
      </c>
      <c r="B1462" s="65" t="s">
        <v>10484</v>
      </c>
      <c r="C1462" s="61" t="n">
        <v>673</v>
      </c>
      <c r="D1462" s="61" t="s">
        <v>10485</v>
      </c>
      <c r="E1462" s="61" t="s">
        <v>10485</v>
      </c>
      <c r="F1462" s="62" t="s">
        <v>809</v>
      </c>
    </row>
    <row r="1463" customFormat="false" ht="15" hidden="false" customHeight="false" outlineLevel="0" collapsed="false">
      <c r="A1463" s="92" t="str">
        <f aca="false">Gov_Map!$H674&amp;""</f>
        <v>—</v>
      </c>
      <c r="B1463" s="65" t="s">
        <v>10484</v>
      </c>
      <c r="C1463" s="61" t="n">
        <v>674</v>
      </c>
      <c r="D1463" s="61" t="s">
        <v>10485</v>
      </c>
      <c r="E1463" s="61" t="s">
        <v>10485</v>
      </c>
      <c r="F1463" s="62" t="s">
        <v>809</v>
      </c>
    </row>
    <row r="1464" customFormat="false" ht="15" hidden="false" customHeight="false" outlineLevel="0" collapsed="false">
      <c r="A1464" s="92" t="str">
        <f aca="false">Gov_Map!$H675&amp;""</f>
        <v>—</v>
      </c>
      <c r="B1464" s="65" t="s">
        <v>10484</v>
      </c>
      <c r="C1464" s="61" t="n">
        <v>675</v>
      </c>
      <c r="D1464" s="61" t="s">
        <v>10485</v>
      </c>
      <c r="E1464" s="61" t="s">
        <v>10485</v>
      </c>
      <c r="F1464" s="62" t="s">
        <v>809</v>
      </c>
    </row>
    <row r="1465" customFormat="false" ht="15" hidden="false" customHeight="false" outlineLevel="0" collapsed="false">
      <c r="A1465" s="92" t="str">
        <f aca="false">Gov_Map!$H676&amp;""</f>
        <v>—</v>
      </c>
      <c r="B1465" s="65" t="s">
        <v>10484</v>
      </c>
      <c r="C1465" s="61" t="n">
        <v>676</v>
      </c>
      <c r="D1465" s="61" t="s">
        <v>10485</v>
      </c>
      <c r="E1465" s="61" t="s">
        <v>10485</v>
      </c>
      <c r="F1465" s="62" t="s">
        <v>809</v>
      </c>
    </row>
    <row r="1466" customFormat="false" ht="15" hidden="false" customHeight="false" outlineLevel="0" collapsed="false">
      <c r="A1466" s="92" t="str">
        <f aca="false">Gov_Map!$H677&amp;""</f>
        <v>—</v>
      </c>
      <c r="B1466" s="65" t="s">
        <v>10484</v>
      </c>
      <c r="C1466" s="61" t="n">
        <v>677</v>
      </c>
      <c r="D1466" s="61" t="s">
        <v>10485</v>
      </c>
      <c r="E1466" s="61" t="s">
        <v>10485</v>
      </c>
      <c r="F1466" s="62" t="s">
        <v>809</v>
      </c>
    </row>
    <row r="1467" customFormat="false" ht="15" hidden="false" customHeight="false" outlineLevel="0" collapsed="false">
      <c r="A1467" s="92" t="str">
        <f aca="false">Gov_Map!$H678&amp;""</f>
        <v>—</v>
      </c>
      <c r="B1467" s="65" t="s">
        <v>10484</v>
      </c>
      <c r="C1467" s="61" t="n">
        <v>678</v>
      </c>
      <c r="D1467" s="61" t="s">
        <v>10485</v>
      </c>
      <c r="E1467" s="61" t="s">
        <v>10485</v>
      </c>
      <c r="F1467" s="62" t="s">
        <v>809</v>
      </c>
    </row>
    <row r="1468" customFormat="false" ht="15" hidden="false" customHeight="false" outlineLevel="0" collapsed="false">
      <c r="A1468" s="92" t="str">
        <f aca="false">Gov_Map!$H679&amp;""</f>
        <v>—</v>
      </c>
      <c r="B1468" s="65" t="s">
        <v>10484</v>
      </c>
      <c r="C1468" s="61" t="n">
        <v>679</v>
      </c>
      <c r="D1468" s="61" t="s">
        <v>10485</v>
      </c>
      <c r="E1468" s="61" t="s">
        <v>10485</v>
      </c>
      <c r="F1468" s="62" t="s">
        <v>809</v>
      </c>
    </row>
    <row r="1469" customFormat="false" ht="15" hidden="false" customHeight="false" outlineLevel="0" collapsed="false">
      <c r="A1469" s="92" t="str">
        <f aca="false">Gov_Map!$H680&amp;""</f>
        <v>—</v>
      </c>
      <c r="B1469" s="65" t="s">
        <v>10484</v>
      </c>
      <c r="C1469" s="61" t="n">
        <v>680</v>
      </c>
      <c r="D1469" s="61" t="s">
        <v>10485</v>
      </c>
      <c r="E1469" s="61" t="s">
        <v>10485</v>
      </c>
      <c r="F1469" s="62" t="s">
        <v>809</v>
      </c>
    </row>
    <row r="1470" customFormat="false" ht="15" hidden="false" customHeight="false" outlineLevel="0" collapsed="false">
      <c r="A1470" s="92" t="str">
        <f aca="false">Gov_Map!$H681&amp;""</f>
        <v>—</v>
      </c>
      <c r="B1470" s="65" t="s">
        <v>10484</v>
      </c>
      <c r="C1470" s="61" t="n">
        <v>681</v>
      </c>
      <c r="D1470" s="61" t="s">
        <v>10485</v>
      </c>
      <c r="E1470" s="61" t="s">
        <v>10485</v>
      </c>
      <c r="F1470" s="62" t="s">
        <v>809</v>
      </c>
    </row>
    <row r="1471" customFormat="false" ht="15" hidden="false" customHeight="false" outlineLevel="0" collapsed="false">
      <c r="A1471" s="92" t="str">
        <f aca="false">Gov_Map!$H682&amp;""</f>
        <v>—</v>
      </c>
      <c r="B1471" s="65" t="s">
        <v>10484</v>
      </c>
      <c r="C1471" s="61" t="n">
        <v>682</v>
      </c>
      <c r="D1471" s="61" t="s">
        <v>10485</v>
      </c>
      <c r="E1471" s="61" t="s">
        <v>10485</v>
      </c>
      <c r="F1471" s="62" t="s">
        <v>809</v>
      </c>
    </row>
    <row r="1472" customFormat="false" ht="15" hidden="false" customHeight="false" outlineLevel="0" collapsed="false">
      <c r="A1472" s="92" t="str">
        <f aca="false">Gov_Map!$H683&amp;""</f>
        <v>—</v>
      </c>
      <c r="B1472" s="65" t="s">
        <v>10484</v>
      </c>
      <c r="C1472" s="61" t="n">
        <v>683</v>
      </c>
      <c r="D1472" s="61" t="s">
        <v>10485</v>
      </c>
      <c r="E1472" s="61" t="s">
        <v>10485</v>
      </c>
      <c r="F1472" s="62" t="s">
        <v>809</v>
      </c>
    </row>
    <row r="1473" customFormat="false" ht="15" hidden="false" customHeight="false" outlineLevel="0" collapsed="false">
      <c r="A1473" s="92" t="str">
        <f aca="false">Gov_Map!$H684&amp;""</f>
        <v>—</v>
      </c>
      <c r="B1473" s="65" t="s">
        <v>10484</v>
      </c>
      <c r="C1473" s="61" t="n">
        <v>684</v>
      </c>
      <c r="D1473" s="61" t="s">
        <v>10485</v>
      </c>
      <c r="E1473" s="61" t="s">
        <v>10485</v>
      </c>
      <c r="F1473" s="62" t="s">
        <v>809</v>
      </c>
    </row>
    <row r="1474" customFormat="false" ht="15" hidden="false" customHeight="false" outlineLevel="0" collapsed="false">
      <c r="A1474" s="92" t="str">
        <f aca="false">Gov_Map!$H685&amp;""</f>
        <v/>
      </c>
      <c r="B1474" s="65" t="s">
        <v>10484</v>
      </c>
      <c r="C1474" s="61" t="n">
        <v>685</v>
      </c>
      <c r="D1474" s="61" t="s">
        <v>10485</v>
      </c>
      <c r="E1474" s="61" t="s">
        <v>10485</v>
      </c>
      <c r="F1474" s="62" t="s">
        <v>809</v>
      </c>
    </row>
    <row r="1475" customFormat="false" ht="15" hidden="false" customHeight="false" outlineLevel="0" collapsed="false">
      <c r="A1475" s="92" t="str">
        <f aca="false">Gov_Map!$H686&amp;""</f>
        <v>—</v>
      </c>
      <c r="B1475" s="65" t="s">
        <v>10484</v>
      </c>
      <c r="C1475" s="61" t="n">
        <v>686</v>
      </c>
      <c r="D1475" s="61" t="s">
        <v>10485</v>
      </c>
      <c r="E1475" s="61" t="s">
        <v>10485</v>
      </c>
      <c r="F1475" s="62" t="s">
        <v>809</v>
      </c>
    </row>
    <row r="1476" customFormat="false" ht="15" hidden="false" customHeight="false" outlineLevel="0" collapsed="false">
      <c r="A1476" s="92" t="str">
        <f aca="false">Gov_Map!$H687&amp;""</f>
        <v>—</v>
      </c>
      <c r="B1476" s="65" t="s">
        <v>10484</v>
      </c>
      <c r="C1476" s="61" t="n">
        <v>687</v>
      </c>
      <c r="D1476" s="61" t="s">
        <v>10485</v>
      </c>
      <c r="E1476" s="61" t="s">
        <v>10485</v>
      </c>
      <c r="F1476" s="62" t="s">
        <v>809</v>
      </c>
    </row>
    <row r="1477" customFormat="false" ht="15" hidden="false" customHeight="false" outlineLevel="0" collapsed="false">
      <c r="A1477" s="92" t="str">
        <f aca="false">Gov_Map!$H688&amp;""</f>
        <v>—</v>
      </c>
      <c r="B1477" s="65" t="s">
        <v>10484</v>
      </c>
      <c r="C1477" s="61" t="n">
        <v>688</v>
      </c>
      <c r="D1477" s="61" t="s">
        <v>10485</v>
      </c>
      <c r="E1477" s="61" t="s">
        <v>10485</v>
      </c>
      <c r="F1477" s="62" t="s">
        <v>809</v>
      </c>
    </row>
    <row r="1478" customFormat="false" ht="15" hidden="false" customHeight="false" outlineLevel="0" collapsed="false">
      <c r="A1478" s="92" t="str">
        <f aca="false">Gov_Map!$H689&amp;""</f>
        <v>SRC_PERF_074</v>
      </c>
      <c r="B1478" s="65" t="s">
        <v>10484</v>
      </c>
      <c r="C1478" s="61" t="n">
        <v>689</v>
      </c>
      <c r="D1478" s="61" t="s">
        <v>10485</v>
      </c>
      <c r="E1478" s="61" t="s">
        <v>10485</v>
      </c>
      <c r="F1478" s="62" t="s">
        <v>809</v>
      </c>
    </row>
    <row r="1479" customFormat="false" ht="15" hidden="false" customHeight="false" outlineLevel="0" collapsed="false">
      <c r="A1479" s="92" t="str">
        <f aca="false">Gov_Map!$H690&amp;""</f>
        <v>—</v>
      </c>
      <c r="B1479" s="65" t="s">
        <v>10484</v>
      </c>
      <c r="C1479" s="61" t="n">
        <v>690</v>
      </c>
      <c r="D1479" s="61" t="s">
        <v>10485</v>
      </c>
      <c r="E1479" s="61" t="s">
        <v>10485</v>
      </c>
      <c r="F1479" s="62" t="s">
        <v>809</v>
      </c>
    </row>
    <row r="1480" customFormat="false" ht="15" hidden="false" customHeight="false" outlineLevel="0" collapsed="false">
      <c r="A1480" s="92" t="str">
        <f aca="false">Gov_Map!$H691&amp;""</f>
        <v>—</v>
      </c>
      <c r="B1480" s="65" t="s">
        <v>10484</v>
      </c>
      <c r="C1480" s="61" t="n">
        <v>691</v>
      </c>
      <c r="D1480" s="61" t="s">
        <v>10485</v>
      </c>
      <c r="E1480" s="61" t="s">
        <v>10485</v>
      </c>
      <c r="F1480" s="62" t="s">
        <v>809</v>
      </c>
    </row>
    <row r="1481" customFormat="false" ht="15" hidden="false" customHeight="false" outlineLevel="0" collapsed="false">
      <c r="A1481" s="92" t="str">
        <f aca="false">Gov_Map!$H692&amp;""</f>
        <v/>
      </c>
      <c r="B1481" s="65" t="s">
        <v>10484</v>
      </c>
      <c r="C1481" s="61" t="n">
        <v>692</v>
      </c>
      <c r="D1481" s="61" t="s">
        <v>10485</v>
      </c>
      <c r="E1481" s="61" t="s">
        <v>10485</v>
      </c>
      <c r="F1481" s="62" t="s">
        <v>809</v>
      </c>
    </row>
    <row r="1482" customFormat="false" ht="15" hidden="false" customHeight="false" outlineLevel="0" collapsed="false">
      <c r="A1482" s="92" t="str">
        <f aca="false">Gov_Map!$H693&amp;""</f>
        <v/>
      </c>
      <c r="B1482" s="65" t="s">
        <v>10484</v>
      </c>
      <c r="C1482" s="61" t="n">
        <v>693</v>
      </c>
      <c r="D1482" s="61" t="s">
        <v>10485</v>
      </c>
      <c r="E1482" s="61" t="s">
        <v>10485</v>
      </c>
      <c r="F1482" s="62" t="s">
        <v>809</v>
      </c>
    </row>
    <row r="1483" customFormat="false" ht="15" hidden="false" customHeight="false" outlineLevel="0" collapsed="false">
      <c r="A1483" s="92" t="str">
        <f aca="false">Gov_Map!$H694&amp;""</f>
        <v/>
      </c>
      <c r="B1483" s="65" t="s">
        <v>10484</v>
      </c>
      <c r="C1483" s="61" t="n">
        <v>694</v>
      </c>
      <c r="D1483" s="61" t="s">
        <v>10485</v>
      </c>
      <c r="E1483" s="61" t="s">
        <v>10485</v>
      </c>
      <c r="F1483" s="62" t="s">
        <v>809</v>
      </c>
    </row>
    <row r="1484" customFormat="false" ht="15" hidden="false" customHeight="false" outlineLevel="0" collapsed="false">
      <c r="A1484" s="92" t="str">
        <f aca="false">Gov_Map!$H695&amp;""</f>
        <v/>
      </c>
      <c r="B1484" s="65" t="s">
        <v>10484</v>
      </c>
      <c r="C1484" s="61" t="n">
        <v>695</v>
      </c>
      <c r="D1484" s="61" t="s">
        <v>10485</v>
      </c>
      <c r="E1484" s="61" t="s">
        <v>10485</v>
      </c>
      <c r="F1484" s="62" t="s">
        <v>809</v>
      </c>
    </row>
    <row r="1485" customFormat="false" ht="15" hidden="false" customHeight="false" outlineLevel="0" collapsed="false">
      <c r="A1485" s="92" t="str">
        <f aca="false">Gov_Map!$H696&amp;""</f>
        <v/>
      </c>
      <c r="B1485" s="65" t="s">
        <v>10484</v>
      </c>
      <c r="C1485" s="61" t="n">
        <v>696</v>
      </c>
      <c r="D1485" s="61" t="s">
        <v>10485</v>
      </c>
      <c r="E1485" s="61" t="s">
        <v>10485</v>
      </c>
      <c r="F1485" s="62" t="s">
        <v>809</v>
      </c>
    </row>
    <row r="1486" customFormat="false" ht="15" hidden="false" customHeight="false" outlineLevel="0" collapsed="false">
      <c r="A1486" s="92" t="str">
        <f aca="false">Gov_Map!$H697&amp;""</f>
        <v/>
      </c>
      <c r="B1486" s="65" t="s">
        <v>10484</v>
      </c>
      <c r="C1486" s="61" t="n">
        <v>697</v>
      </c>
      <c r="D1486" s="61" t="s">
        <v>10485</v>
      </c>
      <c r="E1486" s="61" t="s">
        <v>10485</v>
      </c>
      <c r="F1486" s="62" t="s">
        <v>809</v>
      </c>
    </row>
    <row r="1487" customFormat="false" ht="15" hidden="false" customHeight="false" outlineLevel="0" collapsed="false">
      <c r="A1487" s="92" t="str">
        <f aca="false">Gov_Map!$H698&amp;""</f>
        <v/>
      </c>
      <c r="B1487" s="65" t="s">
        <v>10484</v>
      </c>
      <c r="C1487" s="61" t="n">
        <v>698</v>
      </c>
      <c r="D1487" s="61" t="s">
        <v>10485</v>
      </c>
      <c r="E1487" s="61" t="s">
        <v>10485</v>
      </c>
      <c r="F1487" s="62" t="s">
        <v>809</v>
      </c>
    </row>
    <row r="1488" customFormat="false" ht="15" hidden="false" customHeight="false" outlineLevel="0" collapsed="false">
      <c r="A1488" s="92" t="str">
        <f aca="false">Gov_Map!$H699&amp;""</f>
        <v/>
      </c>
      <c r="B1488" s="65" t="s">
        <v>10484</v>
      </c>
      <c r="C1488" s="61" t="n">
        <v>699</v>
      </c>
      <c r="D1488" s="61" t="s">
        <v>10485</v>
      </c>
      <c r="E1488" s="61" t="s">
        <v>10485</v>
      </c>
      <c r="F1488" s="62" t="s">
        <v>809</v>
      </c>
    </row>
    <row r="1489" customFormat="false" ht="15" hidden="false" customHeight="false" outlineLevel="0" collapsed="false">
      <c r="A1489" s="92" t="str">
        <f aca="false">Gov_Map!$H700&amp;""</f>
        <v/>
      </c>
      <c r="B1489" s="65" t="s">
        <v>10484</v>
      </c>
      <c r="C1489" s="61" t="n">
        <v>700</v>
      </c>
      <c r="D1489" s="61" t="s">
        <v>10485</v>
      </c>
      <c r="E1489" s="61" t="s">
        <v>10485</v>
      </c>
      <c r="F1489" s="62" t="s">
        <v>809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10486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62" t="s">
        <v>788</v>
      </c>
      <c r="B3" s="12" t="s">
        <v>411</v>
      </c>
      <c r="C3" s="12" t="s">
        <v>10487</v>
      </c>
      <c r="D3" s="12" t="s">
        <v>113</v>
      </c>
      <c r="E3" s="12" t="s">
        <v>7176</v>
      </c>
      <c r="F3" s="12" t="s">
        <v>512</v>
      </c>
      <c r="G3" s="12" t="s">
        <v>10488</v>
      </c>
    </row>
    <row r="4" customFormat="false" ht="29.25" hidden="false" customHeight="true" outlineLevel="0" collapsed="false">
      <c r="A4" s="16" t="s">
        <v>7462</v>
      </c>
      <c r="B4" s="16" t="s">
        <v>10489</v>
      </c>
      <c r="C4" s="20" t="s">
        <v>10490</v>
      </c>
      <c r="D4" s="16" t="s">
        <v>164</v>
      </c>
      <c r="E4" s="16" t="s">
        <v>8371</v>
      </c>
      <c r="F4" s="6" t="s">
        <v>8372</v>
      </c>
      <c r="G4" s="22" t="s">
        <v>10491</v>
      </c>
    </row>
    <row r="5" customFormat="false" ht="15" hidden="false" customHeight="true" outlineLevel="0" collapsed="false">
      <c r="A5" s="16" t="s">
        <v>7471</v>
      </c>
      <c r="B5" s="16" t="s">
        <v>10492</v>
      </c>
      <c r="C5" s="20" t="s">
        <v>10493</v>
      </c>
      <c r="D5" s="16" t="s">
        <v>133</v>
      </c>
      <c r="E5" s="16" t="s">
        <v>8383</v>
      </c>
      <c r="F5" s="6" t="s">
        <v>8384</v>
      </c>
      <c r="G5" s="22" t="s">
        <v>10491</v>
      </c>
    </row>
    <row r="6" customFormat="false" ht="15" hidden="false" customHeight="true" outlineLevel="0" collapsed="false">
      <c r="A6" s="16" t="s">
        <v>8401</v>
      </c>
      <c r="B6" s="16" t="s">
        <v>10494</v>
      </c>
      <c r="C6" s="6" t="s">
        <v>10495</v>
      </c>
      <c r="D6" s="16" t="s">
        <v>241</v>
      </c>
      <c r="E6" s="16" t="s">
        <v>8397</v>
      </c>
      <c r="F6" s="6" t="s">
        <v>8406</v>
      </c>
      <c r="G6" s="22" t="s">
        <v>10491</v>
      </c>
    </row>
    <row r="7" customFormat="false" ht="15" hidden="false" customHeight="true" outlineLevel="0" collapsed="false">
      <c r="A7" s="16" t="s">
        <v>8417</v>
      </c>
      <c r="B7" s="16" t="s">
        <v>10496</v>
      </c>
      <c r="C7" s="6" t="s">
        <v>10497</v>
      </c>
      <c r="D7" s="16" t="s">
        <v>241</v>
      </c>
      <c r="E7" s="16" t="s">
        <v>8413</v>
      </c>
      <c r="F7" s="6" t="s">
        <v>8414</v>
      </c>
      <c r="G7" s="22" t="s">
        <v>10491</v>
      </c>
    </row>
    <row r="8" customFormat="false" ht="15" hidden="false" customHeight="true" outlineLevel="0" collapsed="false">
      <c r="A8" s="16" t="s">
        <v>8436</v>
      </c>
      <c r="B8" s="16" t="s">
        <v>10498</v>
      </c>
      <c r="C8" s="6" t="s">
        <v>10499</v>
      </c>
      <c r="D8" s="16" t="s">
        <v>241</v>
      </c>
      <c r="E8" s="16" t="s">
        <v>1514</v>
      </c>
      <c r="F8" s="6" t="s">
        <v>8433</v>
      </c>
      <c r="G8" s="22" t="s">
        <v>10491</v>
      </c>
    </row>
    <row r="9" customFormat="false" ht="15" hidden="false" customHeight="true" outlineLevel="0" collapsed="false">
      <c r="A9" s="16" t="s">
        <v>8443</v>
      </c>
      <c r="B9" s="16" t="s">
        <v>10500</v>
      </c>
      <c r="C9" s="6" t="s">
        <v>10501</v>
      </c>
      <c r="D9" s="16" t="s">
        <v>241</v>
      </c>
      <c r="E9" s="16" t="s">
        <v>1514</v>
      </c>
      <c r="F9" s="6" t="s">
        <v>10502</v>
      </c>
      <c r="G9" s="22" t="s">
        <v>10491</v>
      </c>
    </row>
    <row r="10" customFormat="false" ht="29.25" hidden="false" customHeight="true" outlineLevel="0" collapsed="false">
      <c r="A10" s="16" t="s">
        <v>8451</v>
      </c>
      <c r="B10" s="16" t="s">
        <v>10503</v>
      </c>
      <c r="C10" s="6" t="s">
        <v>10504</v>
      </c>
      <c r="D10" s="16" t="s">
        <v>241</v>
      </c>
      <c r="E10" s="16" t="s">
        <v>8383</v>
      </c>
      <c r="F10" s="6" t="s">
        <v>8456</v>
      </c>
      <c r="G10" s="22" t="s">
        <v>10491</v>
      </c>
    </row>
    <row r="11" customFormat="false" ht="15" hidden="false" customHeight="true" outlineLevel="0" collapsed="false">
      <c r="A11" s="16" t="s">
        <v>8473</v>
      </c>
      <c r="B11" s="16" t="s">
        <v>8467</v>
      </c>
      <c r="C11" s="6" t="s">
        <v>10505</v>
      </c>
      <c r="D11" s="16" t="s">
        <v>241</v>
      </c>
      <c r="E11" s="16" t="s">
        <v>1511</v>
      </c>
      <c r="F11" s="6" t="s">
        <v>10506</v>
      </c>
      <c r="G11" s="22" t="s">
        <v>10491</v>
      </c>
    </row>
    <row r="12" customFormat="false" ht="15" hidden="false" customHeight="true" outlineLevel="0" collapsed="false">
      <c r="A12" s="16" t="s">
        <v>8483</v>
      </c>
      <c r="B12" s="16" t="s">
        <v>10507</v>
      </c>
      <c r="C12" s="6" t="s">
        <v>10508</v>
      </c>
      <c r="D12" s="16" t="s">
        <v>241</v>
      </c>
      <c r="E12" s="16" t="s">
        <v>10509</v>
      </c>
      <c r="F12" s="6" t="s">
        <v>8479</v>
      </c>
      <c r="G12" s="22" t="s">
        <v>10491</v>
      </c>
    </row>
    <row r="13" customFormat="false" ht="15" hidden="false" customHeight="true" outlineLevel="0" collapsed="false">
      <c r="A13" s="16" t="s">
        <v>8768</v>
      </c>
      <c r="B13" s="22" t="s">
        <v>10510</v>
      </c>
      <c r="C13" s="6" t="s">
        <v>10511</v>
      </c>
      <c r="D13" s="16" t="s">
        <v>133</v>
      </c>
      <c r="E13" s="16" t="s">
        <v>8383</v>
      </c>
      <c r="F13" s="6" t="s">
        <v>8765</v>
      </c>
      <c r="G13" s="22" t="s">
        <v>10491</v>
      </c>
    </row>
    <row r="14" customFormat="false" ht="15" hidden="false" customHeight="true" outlineLevel="0" collapsed="false">
      <c r="A14" s="16" t="s">
        <v>8504</v>
      </c>
      <c r="B14" s="16" t="s">
        <v>10512</v>
      </c>
      <c r="C14" s="20" t="s">
        <v>10513</v>
      </c>
      <c r="D14" s="16" t="s">
        <v>241</v>
      </c>
      <c r="E14" s="16" t="s">
        <v>8383</v>
      </c>
      <c r="F14" s="6" t="s">
        <v>8501</v>
      </c>
      <c r="G14" s="22" t="s">
        <v>10514</v>
      </c>
    </row>
    <row r="15" customFormat="false" ht="29.25" hidden="false" customHeight="true" outlineLevel="0" collapsed="false">
      <c r="A15" s="16" t="s">
        <v>8780</v>
      </c>
      <c r="B15" s="22" t="s">
        <v>10515</v>
      </c>
      <c r="C15" s="6" t="s">
        <v>10516</v>
      </c>
      <c r="D15" s="16" t="s">
        <v>133</v>
      </c>
      <c r="E15" s="16" t="s">
        <v>8383</v>
      </c>
      <c r="F15" s="6" t="s">
        <v>8778</v>
      </c>
      <c r="G15" s="22" t="s">
        <v>10491</v>
      </c>
    </row>
    <row r="16" customFormat="false" ht="26.25" hidden="false" customHeight="true" outlineLevel="0" collapsed="false">
      <c r="A16" s="16" t="s">
        <v>8793</v>
      </c>
      <c r="B16" s="22" t="s">
        <v>10517</v>
      </c>
      <c r="C16" s="6" t="s">
        <v>10518</v>
      </c>
      <c r="D16" s="16" t="s">
        <v>164</v>
      </c>
      <c r="E16" s="16" t="s">
        <v>8478</v>
      </c>
      <c r="F16" s="6" t="s">
        <v>8790</v>
      </c>
      <c r="G16" s="22" t="s">
        <v>10519</v>
      </c>
    </row>
    <row r="17" customFormat="false" ht="15" hidden="false" customHeight="true" outlineLevel="0" collapsed="false">
      <c r="A17" s="16" t="s">
        <v>10520</v>
      </c>
      <c r="B17" s="16" t="s">
        <v>131</v>
      </c>
      <c r="C17" s="20" t="s">
        <v>10521</v>
      </c>
      <c r="D17" s="16" t="s">
        <v>133</v>
      </c>
      <c r="E17" s="16" t="s">
        <v>809</v>
      </c>
      <c r="F17" s="6" t="s">
        <v>10522</v>
      </c>
      <c r="G17" s="22" t="s">
        <v>10491</v>
      </c>
    </row>
    <row r="18" customFormat="false" ht="29.25" hidden="false" customHeight="true" outlineLevel="0" collapsed="false">
      <c r="A18" s="16" t="s">
        <v>8802</v>
      </c>
      <c r="B18" s="16" t="s">
        <v>10523</v>
      </c>
      <c r="C18" s="6" t="s">
        <v>10524</v>
      </c>
      <c r="D18" s="16" t="s">
        <v>164</v>
      </c>
      <c r="E18" s="16" t="s">
        <v>8508</v>
      </c>
      <c r="F18" s="6" t="s">
        <v>8800</v>
      </c>
      <c r="G18" s="22" t="s">
        <v>10525</v>
      </c>
    </row>
    <row r="19" customFormat="false" ht="15" hidden="false" customHeight="true" outlineLevel="0" collapsed="false">
      <c r="A19" s="16" t="s">
        <v>8817</v>
      </c>
      <c r="B19" s="22" t="s">
        <v>10526</v>
      </c>
      <c r="C19" s="20" t="s">
        <v>10527</v>
      </c>
      <c r="D19" s="16" t="s">
        <v>241</v>
      </c>
      <c r="E19" s="16" t="s">
        <v>8813</v>
      </c>
      <c r="F19" s="6" t="s">
        <v>8814</v>
      </c>
      <c r="G19" s="22" t="s">
        <v>10528</v>
      </c>
    </row>
    <row r="20" customFormat="false" ht="15" hidden="false" customHeight="true" outlineLevel="0" collapsed="false">
      <c r="A20" s="16" t="s">
        <v>8827</v>
      </c>
      <c r="B20" s="16" t="s">
        <v>10529</v>
      </c>
      <c r="C20" s="6" t="s">
        <v>10530</v>
      </c>
      <c r="D20" s="16" t="s">
        <v>241</v>
      </c>
      <c r="E20" s="16" t="s">
        <v>8478</v>
      </c>
      <c r="F20" s="6" t="s">
        <v>8823</v>
      </c>
      <c r="G20" s="22" t="s">
        <v>8822</v>
      </c>
    </row>
    <row r="21" customFormat="false" ht="15" hidden="false" customHeight="true" outlineLevel="0" collapsed="false">
      <c r="A21" s="16" t="s">
        <v>9645</v>
      </c>
      <c r="B21" s="16" t="s">
        <v>10531</v>
      </c>
      <c r="C21" s="6" t="s">
        <v>10532</v>
      </c>
      <c r="D21" s="16" t="s">
        <v>164</v>
      </c>
      <c r="E21" s="16" t="s">
        <v>8478</v>
      </c>
      <c r="F21" s="6" t="s">
        <v>9642</v>
      </c>
      <c r="G21" s="22" t="s">
        <v>10491</v>
      </c>
    </row>
    <row r="22" customFormat="false" ht="15" hidden="false" customHeight="true" outlineLevel="0" collapsed="false">
      <c r="A22" s="16" t="s">
        <v>9655</v>
      </c>
      <c r="B22" s="22" t="s">
        <v>10533</v>
      </c>
      <c r="C22" s="6" t="s">
        <v>10534</v>
      </c>
      <c r="D22" s="16" t="s">
        <v>176</v>
      </c>
      <c r="E22" s="16" t="s">
        <v>1511</v>
      </c>
      <c r="F22" s="6" t="s">
        <v>9651</v>
      </c>
      <c r="G22" s="22" t="s">
        <v>9650</v>
      </c>
    </row>
    <row r="23" customFormat="false" ht="54.75" hidden="false" customHeight="true" outlineLevel="0" collapsed="false">
      <c r="A23" s="6" t="s">
        <v>515</v>
      </c>
      <c r="B23" s="6" t="s">
        <v>10535</v>
      </c>
      <c r="C23" s="6" t="s">
        <v>10536</v>
      </c>
      <c r="D23" s="6" t="s">
        <v>10537</v>
      </c>
      <c r="E23" s="6" t="s">
        <v>8478</v>
      </c>
      <c r="F23" s="6" t="s">
        <v>9174</v>
      </c>
      <c r="G23" s="5" t="s">
        <v>10538</v>
      </c>
    </row>
    <row r="24" customFormat="false" ht="43.5" hidden="false" customHeight="true" outlineLevel="0" collapsed="false">
      <c r="A24" s="6" t="s">
        <v>514</v>
      </c>
      <c r="B24" s="6" t="s">
        <v>10539</v>
      </c>
      <c r="C24" s="6" t="s">
        <v>10540</v>
      </c>
      <c r="D24" s="6" t="s">
        <v>10541</v>
      </c>
      <c r="E24" s="6" t="s">
        <v>9188</v>
      </c>
      <c r="F24" s="6" t="s">
        <v>9189</v>
      </c>
      <c r="G24" s="5" t="s">
        <v>10542</v>
      </c>
    </row>
    <row r="25" customFormat="false" ht="29.25" hidden="false" customHeight="true" outlineLevel="0" collapsed="false">
      <c r="A25" s="6" t="s">
        <v>513</v>
      </c>
      <c r="B25" s="6" t="s">
        <v>10543</v>
      </c>
      <c r="C25" s="6" t="s">
        <v>10544</v>
      </c>
      <c r="D25" s="6" t="s">
        <v>10545</v>
      </c>
      <c r="E25" s="5" t="s">
        <v>10546</v>
      </c>
      <c r="F25" s="6" t="s">
        <v>9212</v>
      </c>
      <c r="G25" s="5" t="s">
        <v>10547</v>
      </c>
    </row>
    <row r="26" customFormat="false" ht="29.25" hidden="false" customHeight="true" outlineLevel="0" collapsed="false">
      <c r="A26" s="6" t="s">
        <v>516</v>
      </c>
      <c r="B26" s="6" t="s">
        <v>10548</v>
      </c>
      <c r="C26" s="6" t="s">
        <v>10549</v>
      </c>
      <c r="D26" s="6" t="s">
        <v>10550</v>
      </c>
      <c r="E26" s="6" t="s">
        <v>9234</v>
      </c>
      <c r="F26" s="6" t="s">
        <v>9235</v>
      </c>
      <c r="G26" s="5" t="s">
        <v>10551</v>
      </c>
    </row>
    <row r="27" customFormat="false" ht="29.25" hidden="false" customHeight="true" outlineLevel="0" collapsed="false">
      <c r="A27" s="6" t="s">
        <v>9248</v>
      </c>
      <c r="B27" s="6" t="s">
        <v>10552</v>
      </c>
      <c r="C27" s="6" t="s">
        <v>10553</v>
      </c>
      <c r="D27" s="6" t="s">
        <v>10550</v>
      </c>
      <c r="E27" s="6" t="s">
        <v>1514</v>
      </c>
      <c r="F27" s="6" t="s">
        <v>9245</v>
      </c>
      <c r="G27" s="5" t="s">
        <v>10554</v>
      </c>
    </row>
    <row r="28" customFormat="false" ht="29.25" hidden="false" customHeight="true" outlineLevel="0" collapsed="false">
      <c r="A28" s="6" t="s">
        <v>9923</v>
      </c>
      <c r="B28" s="6" t="s">
        <v>10555</v>
      </c>
      <c r="C28" s="6" t="s">
        <v>10556</v>
      </c>
      <c r="D28" s="6" t="s">
        <v>10557</v>
      </c>
      <c r="E28" s="6" t="s">
        <v>9008</v>
      </c>
      <c r="F28" s="6" t="s">
        <v>9920</v>
      </c>
      <c r="G28" s="5" t="s">
        <v>10558</v>
      </c>
    </row>
    <row r="29" customFormat="false" ht="54.75" hidden="false" customHeight="true" outlineLevel="0" collapsed="false">
      <c r="A29" s="6" t="s">
        <v>9260</v>
      </c>
      <c r="B29" s="6" t="s">
        <v>10559</v>
      </c>
      <c r="C29" s="6" t="s">
        <v>10560</v>
      </c>
      <c r="D29" s="6" t="s">
        <v>10561</v>
      </c>
      <c r="E29" s="6" t="s">
        <v>1511</v>
      </c>
      <c r="F29" s="6" t="s">
        <v>9257</v>
      </c>
      <c r="G29" s="5" t="s">
        <v>10562</v>
      </c>
    </row>
    <row r="30" customFormat="false" ht="29.25" hidden="false" customHeight="true" outlineLevel="0" collapsed="false">
      <c r="A30" s="6" t="s">
        <v>4867</v>
      </c>
      <c r="B30" s="6" t="s">
        <v>10563</v>
      </c>
      <c r="C30" s="6" t="s">
        <v>10564</v>
      </c>
      <c r="D30" s="6" t="s">
        <v>164</v>
      </c>
      <c r="E30" s="6" t="s">
        <v>8383</v>
      </c>
      <c r="F30" s="6" t="s">
        <v>8888</v>
      </c>
      <c r="G30" s="5" t="s">
        <v>10565</v>
      </c>
    </row>
    <row r="31" customFormat="false" ht="43.5" hidden="false" customHeight="true" outlineLevel="0" collapsed="false">
      <c r="A31" s="6" t="s">
        <v>8513</v>
      </c>
      <c r="B31" s="6" t="s">
        <v>10566</v>
      </c>
      <c r="C31" s="6" t="s">
        <v>10567</v>
      </c>
      <c r="D31" s="6" t="s">
        <v>10568</v>
      </c>
      <c r="E31" s="6" t="s">
        <v>8508</v>
      </c>
      <c r="F31" s="5" t="s">
        <v>8509</v>
      </c>
      <c r="G31" s="5" t="s">
        <v>10569</v>
      </c>
    </row>
    <row r="32" customFormat="false" ht="15" hidden="false" customHeight="true" outlineLevel="0" collapsed="false">
      <c r="A32" s="6" t="s">
        <v>8562</v>
      </c>
      <c r="B32" s="5" t="s">
        <v>10570</v>
      </c>
      <c r="C32" s="6" t="s">
        <v>10571</v>
      </c>
      <c r="D32" s="6" t="s">
        <v>133</v>
      </c>
      <c r="E32" s="6" t="s">
        <v>809</v>
      </c>
      <c r="F32" s="5" t="s">
        <v>8559</v>
      </c>
      <c r="G32" s="5" t="s">
        <v>10491</v>
      </c>
    </row>
    <row r="33" customFormat="false" ht="29.25" hidden="false" customHeight="true" outlineLevel="0" collapsed="false">
      <c r="A33" s="6" t="s">
        <v>9296</v>
      </c>
      <c r="B33" s="6" t="s">
        <v>10572</v>
      </c>
      <c r="C33" s="6" t="s">
        <v>10573</v>
      </c>
      <c r="D33" s="6" t="s">
        <v>10574</v>
      </c>
      <c r="E33" s="6" t="s">
        <v>9291</v>
      </c>
      <c r="F33" s="6" t="s">
        <v>9292</v>
      </c>
      <c r="G33" s="5" t="s">
        <v>10558</v>
      </c>
    </row>
    <row r="34" customFormat="false" ht="69" hidden="false" customHeight="true" outlineLevel="0" collapsed="false">
      <c r="A34" s="6" t="s">
        <v>4853</v>
      </c>
      <c r="B34" s="6" t="s">
        <v>10575</v>
      </c>
      <c r="C34" s="6" t="s">
        <v>10576</v>
      </c>
      <c r="D34" s="6" t="s">
        <v>10577</v>
      </c>
      <c r="E34" s="6" t="s">
        <v>9308</v>
      </c>
      <c r="F34" s="6" t="s">
        <v>10578</v>
      </c>
      <c r="G34" s="5" t="s">
        <v>10579</v>
      </c>
    </row>
    <row r="35" customFormat="false" ht="29.25" hidden="false" customHeight="true" outlineLevel="0" collapsed="false">
      <c r="A35" s="6" t="s">
        <v>9324</v>
      </c>
      <c r="B35" s="6" t="s">
        <v>10580</v>
      </c>
      <c r="C35" s="5" t="s">
        <v>10581</v>
      </c>
      <c r="D35" s="6" t="s">
        <v>164</v>
      </c>
      <c r="E35" s="6" t="s">
        <v>10582</v>
      </c>
      <c r="F35" s="6" t="s">
        <v>9321</v>
      </c>
      <c r="G35" s="5" t="s">
        <v>10562</v>
      </c>
    </row>
    <row r="36" customFormat="false" ht="29.25" hidden="false" customHeight="true" outlineLevel="0" collapsed="false">
      <c r="A36" s="6" t="s">
        <v>10583</v>
      </c>
      <c r="B36" s="6" t="s">
        <v>10584</v>
      </c>
      <c r="C36" s="6" t="s">
        <v>10585</v>
      </c>
      <c r="D36" s="6" t="s">
        <v>10586</v>
      </c>
      <c r="E36" s="6" t="s">
        <v>8413</v>
      </c>
      <c r="F36" s="6" t="s">
        <v>10587</v>
      </c>
      <c r="G36" s="5" t="s">
        <v>10588</v>
      </c>
    </row>
    <row r="37" customFormat="false" ht="29.25" hidden="false" customHeight="true" outlineLevel="0" collapsed="false">
      <c r="A37" s="6" t="s">
        <v>8995</v>
      </c>
      <c r="B37" s="6" t="s">
        <v>10589</v>
      </c>
      <c r="C37" s="6" t="s">
        <v>10590</v>
      </c>
      <c r="D37" s="6" t="s">
        <v>10591</v>
      </c>
      <c r="E37" s="6" t="s">
        <v>8397</v>
      </c>
      <c r="F37" s="6" t="s">
        <v>8991</v>
      </c>
      <c r="G37" s="5" t="s">
        <v>10592</v>
      </c>
    </row>
    <row r="38" customFormat="false" ht="29.25" hidden="false" customHeight="true" outlineLevel="0" collapsed="false">
      <c r="A38" s="6" t="s">
        <v>8581</v>
      </c>
      <c r="B38" s="6" t="s">
        <v>10593</v>
      </c>
      <c r="C38" s="6" t="s">
        <v>10594</v>
      </c>
      <c r="D38" s="6" t="s">
        <v>10568</v>
      </c>
      <c r="E38" s="6" t="s">
        <v>8383</v>
      </c>
      <c r="F38" s="6" t="s">
        <v>8577</v>
      </c>
      <c r="G38" s="5" t="s">
        <v>10595</v>
      </c>
    </row>
    <row r="39" customFormat="false" ht="29.25" hidden="false" customHeight="true" outlineLevel="0" collapsed="false">
      <c r="A39" s="6" t="s">
        <v>9350</v>
      </c>
      <c r="B39" s="6" t="s">
        <v>10596</v>
      </c>
      <c r="C39" s="6" t="s">
        <v>10597</v>
      </c>
      <c r="D39" s="6" t="s">
        <v>10598</v>
      </c>
      <c r="E39" s="6" t="s">
        <v>9346</v>
      </c>
      <c r="F39" s="6" t="s">
        <v>9347</v>
      </c>
      <c r="G39" s="5" t="s">
        <v>10491</v>
      </c>
    </row>
    <row r="40" customFormat="false" ht="57.75" hidden="false" customHeight="true" outlineLevel="0" collapsed="false">
      <c r="A40" s="6" t="s">
        <v>9997</v>
      </c>
      <c r="B40" s="6" t="s">
        <v>10599</v>
      </c>
      <c r="C40" s="5" t="s">
        <v>10600</v>
      </c>
      <c r="D40" s="6" t="s">
        <v>10601</v>
      </c>
      <c r="E40" s="6" t="s">
        <v>8413</v>
      </c>
      <c r="F40" s="6" t="s">
        <v>9994</v>
      </c>
      <c r="G40" s="5" t="s">
        <v>10562</v>
      </c>
    </row>
    <row r="41" customFormat="false" ht="29.25" hidden="false" customHeight="true" outlineLevel="0" collapsed="false">
      <c r="A41" s="6" t="s">
        <v>9013</v>
      </c>
      <c r="B41" s="6" t="s">
        <v>10602</v>
      </c>
      <c r="C41" s="6" t="s">
        <v>10603</v>
      </c>
      <c r="D41" s="6" t="s">
        <v>10604</v>
      </c>
      <c r="E41" s="6" t="s">
        <v>9008</v>
      </c>
      <c r="F41" s="6" t="s">
        <v>9009</v>
      </c>
      <c r="G41" s="5" t="s">
        <v>10562</v>
      </c>
    </row>
    <row r="42" customFormat="false" ht="43.5" hidden="false" customHeight="true" outlineLevel="0" collapsed="false">
      <c r="A42" s="6" t="s">
        <v>9024</v>
      </c>
      <c r="B42" s="6" t="s">
        <v>10605</v>
      </c>
      <c r="C42" s="6" t="s">
        <v>10606</v>
      </c>
      <c r="D42" s="6" t="s">
        <v>10607</v>
      </c>
      <c r="E42" s="6" t="s">
        <v>10608</v>
      </c>
      <c r="F42" s="6" t="s">
        <v>9021</v>
      </c>
      <c r="G42" s="5" t="s">
        <v>10609</v>
      </c>
    </row>
    <row r="43" customFormat="false" ht="29.25" hidden="false" customHeight="true" outlineLevel="0" collapsed="false">
      <c r="A43" s="6" t="s">
        <v>9036</v>
      </c>
      <c r="B43" s="6" t="s">
        <v>10610</v>
      </c>
      <c r="C43" s="6" t="s">
        <v>10611</v>
      </c>
      <c r="D43" s="6" t="s">
        <v>10612</v>
      </c>
      <c r="E43" s="6" t="s">
        <v>9032</v>
      </c>
      <c r="F43" s="6" t="s">
        <v>9033</v>
      </c>
      <c r="G43" s="5" t="s">
        <v>10562</v>
      </c>
    </row>
    <row r="44" customFormat="false" ht="40.5" hidden="false" customHeight="true" outlineLevel="0" collapsed="false">
      <c r="A44" s="6" t="s">
        <v>9044</v>
      </c>
      <c r="B44" s="6" t="s">
        <v>10613</v>
      </c>
      <c r="C44" s="5" t="s">
        <v>10614</v>
      </c>
      <c r="D44" s="6" t="s">
        <v>10615</v>
      </c>
      <c r="E44" s="6" t="s">
        <v>9040</v>
      </c>
      <c r="F44" s="6" t="s">
        <v>9041</v>
      </c>
      <c r="G44" s="5" t="s">
        <v>10616</v>
      </c>
    </row>
    <row r="45" customFormat="false" ht="29.25" hidden="false" customHeight="true" outlineLevel="0" collapsed="false">
      <c r="A45" s="6" t="s">
        <v>10617</v>
      </c>
      <c r="B45" s="6" t="s">
        <v>10618</v>
      </c>
      <c r="C45" s="6" t="s">
        <v>10619</v>
      </c>
      <c r="D45" s="6" t="s">
        <v>10620</v>
      </c>
      <c r="E45" s="6" t="s">
        <v>8383</v>
      </c>
      <c r="F45" s="6" t="s">
        <v>10621</v>
      </c>
      <c r="G45" s="5" t="s">
        <v>10622</v>
      </c>
    </row>
    <row r="46" customFormat="false" ht="29.25" hidden="false" customHeight="true" outlineLevel="0" collapsed="false">
      <c r="A46" s="6" t="s">
        <v>1206</v>
      </c>
      <c r="B46" s="6" t="s">
        <v>10623</v>
      </c>
      <c r="C46" s="5" t="s">
        <v>10624</v>
      </c>
      <c r="D46" s="6" t="s">
        <v>10591</v>
      </c>
      <c r="E46" s="6" t="s">
        <v>9054</v>
      </c>
      <c r="F46" s="6" t="s">
        <v>9055</v>
      </c>
      <c r="G46" s="6" t="s">
        <v>10625</v>
      </c>
    </row>
    <row r="47" customFormat="false" ht="29.25" hidden="false" customHeight="true" outlineLevel="0" collapsed="false">
      <c r="A47" s="6" t="s">
        <v>9073</v>
      </c>
      <c r="B47" s="6" t="s">
        <v>10626</v>
      </c>
      <c r="C47" s="5" t="s">
        <v>10627</v>
      </c>
      <c r="D47" s="6" t="s">
        <v>10591</v>
      </c>
      <c r="E47" s="6" t="s">
        <v>1511</v>
      </c>
      <c r="F47" s="6" t="s">
        <v>9071</v>
      </c>
      <c r="G47" s="5" t="s">
        <v>10592</v>
      </c>
    </row>
    <row r="48" customFormat="false" ht="29.25" hidden="false" customHeight="true" outlineLevel="0" collapsed="false">
      <c r="A48" s="6" t="s">
        <v>9083</v>
      </c>
      <c r="B48" s="6" t="s">
        <v>10628</v>
      </c>
      <c r="C48" s="5" t="s">
        <v>10629</v>
      </c>
      <c r="D48" s="6" t="s">
        <v>10630</v>
      </c>
      <c r="E48" s="6" t="s">
        <v>9079</v>
      </c>
      <c r="F48" s="6" t="s">
        <v>9080</v>
      </c>
      <c r="G48" s="5" t="s">
        <v>10592</v>
      </c>
    </row>
    <row r="49" customFormat="false" ht="29.25" hidden="false" customHeight="true" outlineLevel="0" collapsed="false">
      <c r="A49" s="6" t="s">
        <v>9088</v>
      </c>
      <c r="B49" s="6" t="s">
        <v>10631</v>
      </c>
      <c r="C49" s="5" t="s">
        <v>10632</v>
      </c>
      <c r="D49" s="6" t="s">
        <v>10633</v>
      </c>
      <c r="E49" s="6" t="s">
        <v>9020</v>
      </c>
      <c r="F49" s="6" t="s">
        <v>9086</v>
      </c>
      <c r="G49" s="5" t="s">
        <v>10609</v>
      </c>
    </row>
    <row r="50" customFormat="false" ht="29.25" hidden="false" customHeight="true" outlineLevel="0" collapsed="false">
      <c r="A50" s="6" t="s">
        <v>9097</v>
      </c>
      <c r="B50" s="6" t="s">
        <v>10634</v>
      </c>
      <c r="C50" s="6" t="s">
        <v>10635</v>
      </c>
      <c r="D50" s="6" t="s">
        <v>10598</v>
      </c>
      <c r="E50" s="6" t="s">
        <v>9040</v>
      </c>
      <c r="F50" s="6" t="s">
        <v>9094</v>
      </c>
      <c r="G50" s="5" t="s">
        <v>10562</v>
      </c>
    </row>
    <row r="51" customFormat="false" ht="29.25" hidden="false" customHeight="true" outlineLevel="0" collapsed="false">
      <c r="A51" s="6" t="s">
        <v>9364</v>
      </c>
      <c r="B51" s="6" t="s">
        <v>10636</v>
      </c>
      <c r="C51" s="6" t="s">
        <v>10637</v>
      </c>
      <c r="D51" s="6" t="s">
        <v>10638</v>
      </c>
      <c r="E51" s="6" t="s">
        <v>10639</v>
      </c>
      <c r="F51" s="6" t="s">
        <v>9361</v>
      </c>
      <c r="G51" s="5" t="s">
        <v>10640</v>
      </c>
    </row>
    <row r="52" customFormat="false" ht="29.25" hidden="false" customHeight="true" outlineLevel="0" collapsed="false">
      <c r="A52" s="6" t="s">
        <v>9285</v>
      </c>
      <c r="B52" s="6" t="s">
        <v>10641</v>
      </c>
      <c r="C52" s="6" t="s">
        <v>10642</v>
      </c>
      <c r="D52" s="6" t="s">
        <v>10591</v>
      </c>
      <c r="E52" s="6" t="s">
        <v>9281</v>
      </c>
      <c r="F52" s="6" t="s">
        <v>9282</v>
      </c>
      <c r="G52" s="5" t="s">
        <v>10491</v>
      </c>
    </row>
    <row r="53" customFormat="false" ht="29.25" hidden="false" customHeight="true" outlineLevel="0" collapsed="false">
      <c r="A53" s="6" t="s">
        <v>9664</v>
      </c>
      <c r="B53" s="6" t="s">
        <v>10643</v>
      </c>
      <c r="C53" s="6" t="s">
        <v>10644</v>
      </c>
      <c r="D53" s="6" t="s">
        <v>164</v>
      </c>
      <c r="E53" s="6" t="s">
        <v>1502</v>
      </c>
      <c r="F53" s="6" t="s">
        <v>9661</v>
      </c>
      <c r="G53" s="5" t="s">
        <v>10562</v>
      </c>
    </row>
    <row r="54" customFormat="false" ht="72" hidden="false" customHeight="true" outlineLevel="0" collapsed="false">
      <c r="A54" s="6" t="s">
        <v>9695</v>
      </c>
      <c r="B54" s="6" t="s">
        <v>10645</v>
      </c>
      <c r="C54" s="6" t="s">
        <v>10646</v>
      </c>
      <c r="D54" s="6" t="s">
        <v>10647</v>
      </c>
      <c r="E54" s="6" t="s">
        <v>10648</v>
      </c>
      <c r="F54" s="6" t="s">
        <v>9692</v>
      </c>
      <c r="G54" s="5" t="s">
        <v>10649</v>
      </c>
    </row>
    <row r="55" customFormat="false" ht="29.25" hidden="false" customHeight="true" outlineLevel="0" collapsed="false">
      <c r="A55" s="6" t="s">
        <v>4904</v>
      </c>
      <c r="B55" s="6" t="s">
        <v>10650</v>
      </c>
      <c r="C55" s="6" t="s">
        <v>10651</v>
      </c>
      <c r="D55" s="6" t="s">
        <v>164</v>
      </c>
      <c r="E55" s="6" t="s">
        <v>1523</v>
      </c>
      <c r="F55" s="6" t="s">
        <v>9727</v>
      </c>
      <c r="G55" s="5" t="s">
        <v>10652</v>
      </c>
    </row>
    <row r="56" customFormat="false" ht="29.25" hidden="false" customHeight="true" outlineLevel="0" collapsed="false">
      <c r="A56" s="6" t="s">
        <v>9760</v>
      </c>
      <c r="B56" s="6" t="s">
        <v>10653</v>
      </c>
      <c r="C56" s="6" t="s">
        <v>10654</v>
      </c>
      <c r="D56" s="6" t="s">
        <v>164</v>
      </c>
      <c r="E56" s="6" t="s">
        <v>1523</v>
      </c>
      <c r="F56" s="6" t="s">
        <v>9757</v>
      </c>
      <c r="G56" s="5" t="s">
        <v>10542</v>
      </c>
    </row>
    <row r="57" customFormat="false" ht="43.5" hidden="false" customHeight="true" outlineLevel="0" collapsed="false">
      <c r="A57" s="6" t="s">
        <v>9781</v>
      </c>
      <c r="B57" s="6" t="s">
        <v>10655</v>
      </c>
      <c r="C57" s="6" t="s">
        <v>10656</v>
      </c>
      <c r="D57" s="6" t="s">
        <v>10657</v>
      </c>
      <c r="E57" s="6" t="s">
        <v>10648</v>
      </c>
      <c r="F57" s="6" t="s">
        <v>9779</v>
      </c>
      <c r="G57" s="5" t="s">
        <v>10658</v>
      </c>
    </row>
    <row r="58" customFormat="false" ht="54.75" hidden="false" customHeight="true" outlineLevel="0" collapsed="false">
      <c r="A58" s="6" t="s">
        <v>9836</v>
      </c>
      <c r="B58" s="6" t="s">
        <v>10659</v>
      </c>
      <c r="C58" s="6" t="s">
        <v>10660</v>
      </c>
      <c r="D58" s="6" t="s">
        <v>10661</v>
      </c>
      <c r="E58" s="6" t="s">
        <v>1511</v>
      </c>
      <c r="F58" s="6" t="s">
        <v>9833</v>
      </c>
      <c r="G58" s="5" t="s">
        <v>10662</v>
      </c>
    </row>
    <row r="59" customFormat="false" ht="29.25" hidden="false" customHeight="true" outlineLevel="0" collapsed="false">
      <c r="A59" s="6" t="s">
        <v>9862</v>
      </c>
      <c r="B59" s="6" t="s">
        <v>10663</v>
      </c>
      <c r="C59" s="6" t="s">
        <v>10664</v>
      </c>
      <c r="D59" s="6" t="s">
        <v>386</v>
      </c>
      <c r="E59" s="6" t="s">
        <v>1511</v>
      </c>
      <c r="F59" s="6" t="s">
        <v>9859</v>
      </c>
      <c r="G59" s="5" t="s">
        <v>10665</v>
      </c>
    </row>
    <row r="60" customFormat="false" ht="72" hidden="false" customHeight="true" outlineLevel="0" collapsed="false">
      <c r="A60" s="6" t="s">
        <v>10009</v>
      </c>
      <c r="B60" s="6" t="s">
        <v>10666</v>
      </c>
      <c r="C60" s="5" t="s">
        <v>10667</v>
      </c>
      <c r="D60" s="6" t="s">
        <v>10668</v>
      </c>
      <c r="E60" s="6" t="s">
        <v>8383</v>
      </c>
      <c r="F60" s="6" t="s">
        <v>10006</v>
      </c>
      <c r="G60" s="5" t="s">
        <v>10669</v>
      </c>
    </row>
    <row r="61" customFormat="false" ht="83.25" hidden="false" customHeight="true" outlineLevel="0" collapsed="false">
      <c r="A61" s="6" t="s">
        <v>2450</v>
      </c>
      <c r="B61" s="6" t="s">
        <v>10670</v>
      </c>
      <c r="C61" s="6" t="s">
        <v>10671</v>
      </c>
      <c r="D61" s="6" t="s">
        <v>10672</v>
      </c>
      <c r="E61" s="6" t="s">
        <v>1511</v>
      </c>
      <c r="F61" s="6" t="s">
        <v>9930</v>
      </c>
      <c r="G61" s="6" t="s">
        <v>10673</v>
      </c>
    </row>
    <row r="62" customFormat="false" ht="57.75" hidden="false" customHeight="true" outlineLevel="0" collapsed="false">
      <c r="A62" s="6" t="s">
        <v>2473</v>
      </c>
      <c r="B62" s="6" t="s">
        <v>10674</v>
      </c>
      <c r="C62" s="6" t="s">
        <v>10675</v>
      </c>
      <c r="D62" s="6" t="s">
        <v>10676</v>
      </c>
      <c r="E62" s="6" t="s">
        <v>10677</v>
      </c>
      <c r="F62" s="6" t="s">
        <v>9881</v>
      </c>
      <c r="G62" s="6" t="s">
        <v>10678</v>
      </c>
    </row>
    <row r="63" customFormat="false" ht="40.5" hidden="false" customHeight="true" outlineLevel="0" collapsed="false">
      <c r="A63" s="6" t="s">
        <v>9971</v>
      </c>
      <c r="B63" s="6" t="s">
        <v>10679</v>
      </c>
      <c r="C63" s="6" t="s">
        <v>10680</v>
      </c>
      <c r="D63" s="6" t="s">
        <v>10681</v>
      </c>
      <c r="E63" s="6" t="s">
        <v>1511</v>
      </c>
      <c r="F63" s="6" t="s">
        <v>9968</v>
      </c>
      <c r="G63" s="5" t="s">
        <v>10682</v>
      </c>
    </row>
    <row r="64" customFormat="false" ht="29.25" hidden="false" customHeight="true" outlineLevel="0" collapsed="false">
      <c r="A64" s="6" t="s">
        <v>9981</v>
      </c>
      <c r="B64" s="6" t="s">
        <v>10683</v>
      </c>
      <c r="C64" s="6" t="s">
        <v>10684</v>
      </c>
      <c r="D64" s="6" t="s">
        <v>10685</v>
      </c>
      <c r="E64" s="6" t="s">
        <v>1511</v>
      </c>
      <c r="F64" s="6" t="s">
        <v>9978</v>
      </c>
      <c r="G64" s="5" t="s">
        <v>10686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  <col collapsed="false" customWidth="true" hidden="false" outlineLevel="0" max="18" min="18" style="1" width="60"/>
  </cols>
  <sheetData>
    <row r="1" customFormat="false" ht="19.5" hidden="false" customHeight="true" outlineLevel="0" collapsed="false">
      <c r="A1" s="251" t="s">
        <v>10687</v>
      </c>
    </row>
    <row r="2" customFormat="false" ht="15" hidden="false" customHeight="true" outlineLevel="0" collapsed="false">
      <c r="A2" s="261" t="s">
        <v>10688</v>
      </c>
    </row>
    <row r="3" customFormat="false" ht="15" hidden="false" customHeight="true" outlineLevel="0" collapsed="false">
      <c r="A3" s="45" t="s">
        <v>10689</v>
      </c>
    </row>
    <row r="4" customFormat="false" ht="15" hidden="false" customHeight="true" outlineLevel="0" collapsed="false">
      <c r="A4" s="85" t="s">
        <v>788</v>
      </c>
      <c r="B4" s="252" t="s">
        <v>7176</v>
      </c>
      <c r="C4" s="252" t="s">
        <v>10690</v>
      </c>
      <c r="D4" s="252" t="s">
        <v>10691</v>
      </c>
      <c r="E4" s="252" t="s">
        <v>113</v>
      </c>
      <c r="F4" s="252" t="s">
        <v>10692</v>
      </c>
      <c r="G4" s="85" t="s">
        <v>10693</v>
      </c>
      <c r="H4" s="252" t="s">
        <v>10694</v>
      </c>
      <c r="I4" s="252" t="s">
        <v>10695</v>
      </c>
      <c r="J4" s="252" t="s">
        <v>10696</v>
      </c>
      <c r="K4" s="252" t="s">
        <v>8362</v>
      </c>
      <c r="L4" s="252" t="s">
        <v>10697</v>
      </c>
      <c r="M4" s="252" t="s">
        <v>10698</v>
      </c>
      <c r="N4" s="252" t="s">
        <v>8355</v>
      </c>
      <c r="O4" s="252" t="s">
        <v>10699</v>
      </c>
      <c r="P4" s="252" t="s">
        <v>7345</v>
      </c>
      <c r="Q4" s="252" t="s">
        <v>8352</v>
      </c>
      <c r="R4" s="85" t="s">
        <v>10700</v>
      </c>
    </row>
    <row r="5" customFormat="false" ht="30" hidden="false" customHeight="true" outlineLevel="0" collapsed="false">
      <c r="A5" s="255" t="s">
        <v>8597</v>
      </c>
      <c r="B5" s="255" t="s">
        <v>7236</v>
      </c>
      <c r="C5" s="263" t="s">
        <v>10701</v>
      </c>
      <c r="D5" s="255" t="s">
        <v>10702</v>
      </c>
      <c r="E5" s="255" t="s">
        <v>241</v>
      </c>
      <c r="F5" s="263" t="s">
        <v>10703</v>
      </c>
      <c r="G5" s="255" t="s">
        <v>10704</v>
      </c>
      <c r="H5" s="255" t="s">
        <v>10705</v>
      </c>
      <c r="I5" s="264" t="s">
        <v>10706</v>
      </c>
      <c r="J5" s="255" t="s">
        <v>10707</v>
      </c>
      <c r="K5" s="263" t="s">
        <v>10708</v>
      </c>
      <c r="L5" s="253" t="s">
        <v>10709</v>
      </c>
      <c r="M5" s="6" t="s">
        <v>10710</v>
      </c>
      <c r="N5" s="30" t="s">
        <v>809</v>
      </c>
      <c r="O5" s="30" t="s">
        <v>809</v>
      </c>
      <c r="P5" s="30" t="s">
        <v>809</v>
      </c>
      <c r="Q5" s="6" t="s">
        <v>809</v>
      </c>
    </row>
    <row r="6" customFormat="false" ht="30" hidden="false" customHeight="true" outlineLevel="0" collapsed="false">
      <c r="A6" s="255" t="s">
        <v>10711</v>
      </c>
      <c r="B6" s="255" t="s">
        <v>7236</v>
      </c>
      <c r="C6" s="263" t="s">
        <v>10712</v>
      </c>
      <c r="D6" s="255" t="s">
        <v>8995</v>
      </c>
      <c r="E6" s="255" t="s">
        <v>164</v>
      </c>
      <c r="F6" s="263" t="s">
        <v>10713</v>
      </c>
      <c r="G6" s="264" t="s">
        <v>10714</v>
      </c>
      <c r="H6" s="255" t="s">
        <v>10715</v>
      </c>
      <c r="I6" s="264" t="s">
        <v>10706</v>
      </c>
      <c r="J6" s="255" t="s">
        <v>10707</v>
      </c>
      <c r="K6" s="263"/>
      <c r="L6" s="253" t="s">
        <v>10709</v>
      </c>
      <c r="M6" s="6" t="s">
        <v>10716</v>
      </c>
      <c r="N6" s="30" t="s">
        <v>809</v>
      </c>
      <c r="O6" s="30" t="s">
        <v>809</v>
      </c>
      <c r="P6" s="30" t="s">
        <v>809</v>
      </c>
      <c r="Q6" s="6" t="s">
        <v>809</v>
      </c>
    </row>
    <row r="7" customFormat="false" ht="30" hidden="false" customHeight="true" outlineLevel="0" collapsed="false">
      <c r="A7" s="255" t="s">
        <v>10717</v>
      </c>
      <c r="B7" s="255" t="s">
        <v>7236</v>
      </c>
      <c r="C7" s="263" t="s">
        <v>10718</v>
      </c>
      <c r="D7" s="255" t="s">
        <v>8581</v>
      </c>
      <c r="E7" s="255" t="s">
        <v>241</v>
      </c>
      <c r="F7" s="263" t="s">
        <v>10719</v>
      </c>
      <c r="G7" s="264" t="s">
        <v>10714</v>
      </c>
      <c r="H7" s="255" t="s">
        <v>10720</v>
      </c>
      <c r="I7" s="264" t="s">
        <v>10706</v>
      </c>
      <c r="J7" s="255" t="s">
        <v>10707</v>
      </c>
      <c r="K7" s="263"/>
      <c r="L7" s="253" t="s">
        <v>10709</v>
      </c>
      <c r="M7" s="6" t="s">
        <v>10721</v>
      </c>
      <c r="N7" s="30" t="s">
        <v>809</v>
      </c>
      <c r="O7" s="30" t="s">
        <v>809</v>
      </c>
      <c r="P7" s="30" t="s">
        <v>809</v>
      </c>
      <c r="Q7" s="6" t="s">
        <v>809</v>
      </c>
    </row>
    <row r="8" customFormat="false" ht="30" hidden="false" customHeight="true" outlineLevel="0" collapsed="false">
      <c r="A8" s="255" t="s">
        <v>10722</v>
      </c>
      <c r="B8" s="255" t="s">
        <v>7236</v>
      </c>
      <c r="C8" s="265" t="s">
        <v>10723</v>
      </c>
      <c r="D8" s="255" t="s">
        <v>9997</v>
      </c>
      <c r="E8" s="255" t="s">
        <v>133</v>
      </c>
      <c r="F8" s="263" t="s">
        <v>10724</v>
      </c>
      <c r="G8" s="264" t="s">
        <v>10714</v>
      </c>
      <c r="H8" s="255" t="s">
        <v>10725</v>
      </c>
      <c r="I8" s="264" t="s">
        <v>10726</v>
      </c>
      <c r="J8" s="255" t="s">
        <v>10707</v>
      </c>
      <c r="K8" s="265" t="s">
        <v>10727</v>
      </c>
      <c r="L8" s="253" t="s">
        <v>10709</v>
      </c>
      <c r="M8" s="6" t="s">
        <v>10728</v>
      </c>
      <c r="N8" s="30" t="s">
        <v>809</v>
      </c>
      <c r="O8" s="30" t="s">
        <v>809</v>
      </c>
      <c r="P8" s="30" t="s">
        <v>809</v>
      </c>
      <c r="Q8" s="6" t="s">
        <v>809</v>
      </c>
    </row>
    <row r="9" customFormat="false" ht="30" hidden="false" customHeight="true" outlineLevel="0" collapsed="false">
      <c r="A9" s="255" t="s">
        <v>10729</v>
      </c>
      <c r="B9" s="255" t="s">
        <v>7236</v>
      </c>
      <c r="C9" s="263" t="s">
        <v>10730</v>
      </c>
      <c r="D9" s="255" t="s">
        <v>9044</v>
      </c>
      <c r="E9" s="255" t="s">
        <v>241</v>
      </c>
      <c r="F9" s="263" t="s">
        <v>10731</v>
      </c>
      <c r="G9" s="255" t="s">
        <v>809</v>
      </c>
      <c r="H9" s="255" t="s">
        <v>10732</v>
      </c>
      <c r="I9" s="264" t="s">
        <v>10733</v>
      </c>
      <c r="J9" s="255" t="s">
        <v>10707</v>
      </c>
      <c r="K9" s="265" t="s">
        <v>10734</v>
      </c>
      <c r="L9" s="253" t="s">
        <v>10709</v>
      </c>
      <c r="M9" s="6" t="s">
        <v>10735</v>
      </c>
      <c r="N9" s="30" t="s">
        <v>809</v>
      </c>
      <c r="O9" s="30" t="s">
        <v>809</v>
      </c>
      <c r="P9" s="30" t="s">
        <v>809</v>
      </c>
      <c r="Q9" s="6" t="s">
        <v>809</v>
      </c>
      <c r="R9" s="245" t="s">
        <v>10736</v>
      </c>
    </row>
    <row r="10" customFormat="false" ht="30" hidden="false" customHeight="true" outlineLevel="0" collapsed="false">
      <c r="A10" s="255" t="s">
        <v>10737</v>
      </c>
      <c r="B10" s="255" t="s">
        <v>7236</v>
      </c>
      <c r="C10" s="265" t="s">
        <v>10738</v>
      </c>
      <c r="D10" s="255" t="s">
        <v>9013</v>
      </c>
      <c r="E10" s="255" t="s">
        <v>133</v>
      </c>
      <c r="F10" s="263" t="s">
        <v>10739</v>
      </c>
      <c r="G10" s="255" t="s">
        <v>10740</v>
      </c>
      <c r="H10" s="264" t="s">
        <v>10741</v>
      </c>
      <c r="I10" s="264" t="s">
        <v>1517</v>
      </c>
      <c r="J10" s="255" t="s">
        <v>809</v>
      </c>
      <c r="K10" s="263" t="s">
        <v>10742</v>
      </c>
      <c r="L10" s="253" t="s">
        <v>10743</v>
      </c>
      <c r="M10" s="6" t="s">
        <v>6597</v>
      </c>
      <c r="N10" s="30" t="s">
        <v>809</v>
      </c>
      <c r="O10" s="30" t="s">
        <v>809</v>
      </c>
      <c r="P10" s="30" t="s">
        <v>809</v>
      </c>
      <c r="Q10" s="6" t="s">
        <v>809</v>
      </c>
      <c r="R10" s="245" t="s">
        <v>10744</v>
      </c>
    </row>
    <row r="11" customFormat="false" ht="30" hidden="false" customHeight="true" outlineLevel="0" collapsed="false">
      <c r="A11" s="255" t="s">
        <v>10745</v>
      </c>
      <c r="B11" s="255" t="s">
        <v>1523</v>
      </c>
      <c r="C11" s="265" t="s">
        <v>10746</v>
      </c>
      <c r="D11" s="255" t="s">
        <v>10747</v>
      </c>
      <c r="E11" s="255" t="s">
        <v>241</v>
      </c>
      <c r="F11" s="263" t="s">
        <v>10748</v>
      </c>
      <c r="G11" s="255" t="s">
        <v>10749</v>
      </c>
      <c r="H11" s="255" t="s">
        <v>10750</v>
      </c>
      <c r="I11" s="264" t="s">
        <v>10706</v>
      </c>
      <c r="J11" s="255" t="s">
        <v>10751</v>
      </c>
      <c r="K11" s="263" t="s">
        <v>10752</v>
      </c>
      <c r="L11" s="253" t="s">
        <v>10709</v>
      </c>
      <c r="M11" s="6" t="s">
        <v>10753</v>
      </c>
      <c r="N11" s="30" t="s">
        <v>809</v>
      </c>
      <c r="O11" s="30" t="s">
        <v>809</v>
      </c>
      <c r="P11" s="30" t="s">
        <v>809</v>
      </c>
      <c r="Q11" s="6" t="s">
        <v>809</v>
      </c>
    </row>
    <row r="12" customFormat="false" ht="30" hidden="false" customHeight="true" outlineLevel="0" collapsed="false">
      <c r="A12" s="255" t="s">
        <v>10754</v>
      </c>
      <c r="B12" s="255" t="s">
        <v>1523</v>
      </c>
      <c r="C12" s="265" t="s">
        <v>10755</v>
      </c>
      <c r="D12" s="255" t="s">
        <v>10617</v>
      </c>
      <c r="E12" s="255" t="s">
        <v>164</v>
      </c>
      <c r="F12" s="263" t="s">
        <v>10756</v>
      </c>
      <c r="G12" s="255" t="s">
        <v>10757</v>
      </c>
      <c r="H12" s="255" t="s">
        <v>247</v>
      </c>
      <c r="I12" s="264" t="s">
        <v>10758</v>
      </c>
      <c r="J12" s="255" t="s">
        <v>10707</v>
      </c>
      <c r="K12" s="265" t="s">
        <v>10759</v>
      </c>
      <c r="L12" s="253" t="s">
        <v>10709</v>
      </c>
      <c r="M12" s="6" t="s">
        <v>809</v>
      </c>
      <c r="N12" s="30" t="s">
        <v>809</v>
      </c>
      <c r="O12" s="30" t="s">
        <v>809</v>
      </c>
      <c r="P12" s="30" t="s">
        <v>809</v>
      </c>
      <c r="Q12" s="20" t="s">
        <v>10760</v>
      </c>
    </row>
    <row r="13" customFormat="false" ht="30" hidden="false" customHeight="true" outlineLevel="0" collapsed="false">
      <c r="A13" s="255" t="s">
        <v>10761</v>
      </c>
      <c r="B13" s="255" t="s">
        <v>1523</v>
      </c>
      <c r="C13" s="263" t="s">
        <v>10762</v>
      </c>
      <c r="D13" s="255" t="s">
        <v>9364</v>
      </c>
      <c r="E13" s="255" t="s">
        <v>133</v>
      </c>
      <c r="F13" s="263" t="s">
        <v>10763</v>
      </c>
      <c r="G13" s="255" t="s">
        <v>809</v>
      </c>
      <c r="H13" s="264" t="s">
        <v>10764</v>
      </c>
      <c r="I13" s="264" t="s">
        <v>10733</v>
      </c>
      <c r="J13" s="255" t="s">
        <v>10751</v>
      </c>
      <c r="K13" s="265" t="s">
        <v>10765</v>
      </c>
      <c r="L13" s="253" t="s">
        <v>10709</v>
      </c>
      <c r="M13" s="6" t="s">
        <v>10766</v>
      </c>
      <c r="N13" s="30" t="s">
        <v>809</v>
      </c>
      <c r="O13" s="30" t="s">
        <v>809</v>
      </c>
      <c r="P13" s="30" t="s">
        <v>809</v>
      </c>
      <c r="Q13" s="6" t="s">
        <v>809</v>
      </c>
      <c r="R13" s="245" t="s">
        <v>10736</v>
      </c>
    </row>
    <row r="14" customFormat="false" ht="30" hidden="false" customHeight="true" outlineLevel="0" collapsed="false">
      <c r="A14" s="255" t="s">
        <v>10767</v>
      </c>
      <c r="B14" s="255" t="s">
        <v>1523</v>
      </c>
      <c r="C14" s="263" t="s">
        <v>10768</v>
      </c>
      <c r="D14" s="255" t="s">
        <v>10009</v>
      </c>
      <c r="E14" s="255" t="s">
        <v>241</v>
      </c>
      <c r="F14" s="263" t="s">
        <v>10769</v>
      </c>
      <c r="G14" s="264" t="s">
        <v>10714</v>
      </c>
      <c r="H14" s="255" t="s">
        <v>10770</v>
      </c>
      <c r="I14" s="264" t="s">
        <v>10706</v>
      </c>
      <c r="J14" s="255" t="s">
        <v>10771</v>
      </c>
      <c r="K14" s="265" t="s">
        <v>10772</v>
      </c>
      <c r="L14" s="253" t="s">
        <v>10709</v>
      </c>
      <c r="M14" s="6" t="s">
        <v>10773</v>
      </c>
      <c r="N14" s="30" t="s">
        <v>809</v>
      </c>
      <c r="O14" s="30" t="s">
        <v>809</v>
      </c>
      <c r="P14" s="30" t="s">
        <v>809</v>
      </c>
      <c r="Q14" s="6" t="s">
        <v>809</v>
      </c>
    </row>
    <row r="15" customFormat="false" ht="30" hidden="false" customHeight="true" outlineLevel="0" collapsed="false">
      <c r="A15" s="255" t="s">
        <v>10774</v>
      </c>
      <c r="B15" s="255" t="s">
        <v>1523</v>
      </c>
      <c r="C15" s="263" t="s">
        <v>10775</v>
      </c>
      <c r="D15" s="255" t="s">
        <v>4904</v>
      </c>
      <c r="E15" s="255" t="s">
        <v>164</v>
      </c>
      <c r="F15" s="263" t="s">
        <v>10776</v>
      </c>
      <c r="G15" s="264" t="s">
        <v>10777</v>
      </c>
      <c r="H15" s="264" t="s">
        <v>10778</v>
      </c>
      <c r="I15" s="264" t="s">
        <v>10706</v>
      </c>
      <c r="J15" s="255" t="s">
        <v>10771</v>
      </c>
      <c r="K15" s="265" t="s">
        <v>10779</v>
      </c>
      <c r="L15" s="253" t="s">
        <v>10709</v>
      </c>
      <c r="M15" s="6" t="s">
        <v>10780</v>
      </c>
      <c r="N15" s="30" t="s">
        <v>809</v>
      </c>
      <c r="O15" s="30" t="s">
        <v>809</v>
      </c>
      <c r="P15" s="30" t="s">
        <v>809</v>
      </c>
      <c r="Q15" s="6" t="s">
        <v>809</v>
      </c>
    </row>
    <row r="16" customFormat="false" ht="30" hidden="false" customHeight="true" outlineLevel="0" collapsed="false">
      <c r="A16" s="255" t="s">
        <v>10781</v>
      </c>
      <c r="B16" s="255" t="s">
        <v>1523</v>
      </c>
      <c r="C16" s="265" t="s">
        <v>10782</v>
      </c>
      <c r="D16" s="255" t="s">
        <v>10783</v>
      </c>
      <c r="E16" s="255" t="s">
        <v>241</v>
      </c>
      <c r="F16" s="263" t="s">
        <v>10784</v>
      </c>
      <c r="G16" s="255" t="s">
        <v>809</v>
      </c>
      <c r="H16" s="264" t="s">
        <v>10785</v>
      </c>
      <c r="I16" s="264" t="s">
        <v>10733</v>
      </c>
      <c r="J16" s="255" t="s">
        <v>10771</v>
      </c>
      <c r="K16" s="265" t="s">
        <v>10786</v>
      </c>
      <c r="L16" s="253" t="s">
        <v>10709</v>
      </c>
      <c r="M16" s="6" t="s">
        <v>10787</v>
      </c>
      <c r="N16" s="30" t="s">
        <v>809</v>
      </c>
      <c r="O16" s="30" t="s">
        <v>809</v>
      </c>
      <c r="P16" s="30" t="s">
        <v>809</v>
      </c>
      <c r="Q16" s="6" t="s">
        <v>809</v>
      </c>
      <c r="R16" s="245" t="s">
        <v>10736</v>
      </c>
    </row>
    <row r="17" customFormat="false" ht="30" hidden="false" customHeight="true" outlineLevel="0" collapsed="false">
      <c r="A17" s="255" t="s">
        <v>10788</v>
      </c>
      <c r="B17" s="255" t="s">
        <v>1523</v>
      </c>
      <c r="C17" s="263" t="s">
        <v>10789</v>
      </c>
      <c r="D17" s="255" t="s">
        <v>9836</v>
      </c>
      <c r="E17" s="255" t="s">
        <v>386</v>
      </c>
      <c r="F17" s="263" t="s">
        <v>10790</v>
      </c>
      <c r="G17" s="255" t="s">
        <v>809</v>
      </c>
      <c r="H17" s="255" t="s">
        <v>10791</v>
      </c>
      <c r="I17" s="264" t="s">
        <v>10733</v>
      </c>
      <c r="J17" s="255" t="s">
        <v>10771</v>
      </c>
      <c r="K17" s="265" t="s">
        <v>10792</v>
      </c>
      <c r="L17" s="253" t="s">
        <v>10709</v>
      </c>
      <c r="M17" s="6" t="s">
        <v>10793</v>
      </c>
      <c r="N17" s="30" t="s">
        <v>809</v>
      </c>
      <c r="O17" s="30" t="s">
        <v>809</v>
      </c>
      <c r="P17" s="30" t="s">
        <v>809</v>
      </c>
      <c r="Q17" s="6" t="s">
        <v>809</v>
      </c>
      <c r="R17" s="245" t="s">
        <v>10736</v>
      </c>
    </row>
    <row r="18" customFormat="false" ht="30" hidden="false" customHeight="true" outlineLevel="0" collapsed="false">
      <c r="A18" s="255" t="s">
        <v>10794</v>
      </c>
      <c r="B18" s="255" t="s">
        <v>1523</v>
      </c>
      <c r="C18" s="263" t="s">
        <v>10795</v>
      </c>
      <c r="D18" s="255" t="s">
        <v>9695</v>
      </c>
      <c r="E18" s="255" t="s">
        <v>241</v>
      </c>
      <c r="F18" s="263" t="s">
        <v>10796</v>
      </c>
      <c r="G18" s="255" t="s">
        <v>809</v>
      </c>
      <c r="H18" s="264" t="s">
        <v>10797</v>
      </c>
      <c r="I18" s="264" t="s">
        <v>1517</v>
      </c>
      <c r="J18" s="255" t="s">
        <v>809</v>
      </c>
      <c r="K18" s="265" t="s">
        <v>10798</v>
      </c>
      <c r="L18" s="253" t="s">
        <v>10743</v>
      </c>
      <c r="M18" s="6" t="s">
        <v>10799</v>
      </c>
      <c r="N18" s="30" t="s">
        <v>809</v>
      </c>
      <c r="O18" s="30" t="s">
        <v>809</v>
      </c>
      <c r="P18" s="30" t="s">
        <v>809</v>
      </c>
      <c r="Q18" s="6" t="s">
        <v>809</v>
      </c>
      <c r="R18" s="245" t="s">
        <v>10800</v>
      </c>
    </row>
    <row r="19" customFormat="false" ht="30" hidden="false" customHeight="true" outlineLevel="0" collapsed="false">
      <c r="A19" s="255" t="s">
        <v>10801</v>
      </c>
      <c r="B19" s="255" t="s">
        <v>1523</v>
      </c>
      <c r="C19" s="263" t="s">
        <v>10802</v>
      </c>
      <c r="D19" s="255" t="s">
        <v>9781</v>
      </c>
      <c r="E19" s="255" t="s">
        <v>241</v>
      </c>
      <c r="F19" s="263" t="s">
        <v>10803</v>
      </c>
      <c r="G19" s="255" t="s">
        <v>809</v>
      </c>
      <c r="H19" s="264" t="s">
        <v>1539</v>
      </c>
      <c r="I19" s="264" t="s">
        <v>1517</v>
      </c>
      <c r="J19" s="255" t="s">
        <v>809</v>
      </c>
      <c r="K19" s="263"/>
      <c r="L19" s="253" t="s">
        <v>10743</v>
      </c>
      <c r="M19" s="6" t="s">
        <v>10804</v>
      </c>
      <c r="N19" s="30" t="s">
        <v>809</v>
      </c>
      <c r="O19" s="30" t="s">
        <v>809</v>
      </c>
      <c r="P19" s="30" t="s">
        <v>809</v>
      </c>
      <c r="Q19" s="6" t="s">
        <v>809</v>
      </c>
      <c r="R19" s="245" t="s">
        <v>10805</v>
      </c>
    </row>
    <row r="20" customFormat="false" ht="30" hidden="false" customHeight="true" outlineLevel="0" collapsed="false">
      <c r="A20" s="255" t="s">
        <v>10806</v>
      </c>
      <c r="B20" s="255" t="s">
        <v>1523</v>
      </c>
      <c r="C20" s="263" t="s">
        <v>10807</v>
      </c>
      <c r="D20" s="255" t="s">
        <v>2450</v>
      </c>
      <c r="E20" s="255" t="s">
        <v>10808</v>
      </c>
      <c r="F20" s="263" t="s">
        <v>10809</v>
      </c>
      <c r="G20" s="264" t="s">
        <v>10714</v>
      </c>
      <c r="H20" s="255" t="s">
        <v>10810</v>
      </c>
      <c r="I20" s="264" t="s">
        <v>10733</v>
      </c>
      <c r="J20" s="255" t="s">
        <v>10811</v>
      </c>
      <c r="K20" s="265" t="s">
        <v>10812</v>
      </c>
      <c r="L20" s="253" t="s">
        <v>10709</v>
      </c>
      <c r="M20" s="6" t="s">
        <v>10813</v>
      </c>
      <c r="N20" s="30" t="s">
        <v>809</v>
      </c>
      <c r="O20" s="30" t="s">
        <v>809</v>
      </c>
      <c r="P20" s="30" t="s">
        <v>809</v>
      </c>
      <c r="Q20" s="6" t="s">
        <v>809</v>
      </c>
      <c r="R20" s="245" t="s">
        <v>10736</v>
      </c>
    </row>
    <row r="21" customFormat="false" ht="30" hidden="false" customHeight="true" outlineLevel="0" collapsed="false">
      <c r="A21" s="255" t="s">
        <v>10814</v>
      </c>
      <c r="B21" s="255" t="s">
        <v>1523</v>
      </c>
      <c r="C21" s="263" t="s">
        <v>10815</v>
      </c>
      <c r="D21" s="255" t="s">
        <v>9923</v>
      </c>
      <c r="E21" s="255" t="s">
        <v>241</v>
      </c>
      <c r="F21" s="263" t="s">
        <v>10816</v>
      </c>
      <c r="G21" s="255" t="s">
        <v>809</v>
      </c>
      <c r="H21" s="255" t="s">
        <v>10817</v>
      </c>
      <c r="I21" s="264" t="s">
        <v>10733</v>
      </c>
      <c r="J21" s="255" t="s">
        <v>10811</v>
      </c>
      <c r="K21" s="263" t="s">
        <v>10818</v>
      </c>
      <c r="L21" s="253" t="s">
        <v>10709</v>
      </c>
      <c r="M21" s="6" t="s">
        <v>10819</v>
      </c>
      <c r="N21" s="30" t="s">
        <v>809</v>
      </c>
      <c r="O21" s="30" t="s">
        <v>809</v>
      </c>
      <c r="P21" s="30" t="s">
        <v>809</v>
      </c>
      <c r="Q21" s="6" t="s">
        <v>809</v>
      </c>
      <c r="R21" s="245" t="s">
        <v>10736</v>
      </c>
    </row>
    <row r="22" customFormat="false" ht="30" hidden="false" customHeight="true" outlineLevel="0" collapsed="false">
      <c r="A22" s="255" t="s">
        <v>10820</v>
      </c>
      <c r="B22" s="255" t="s">
        <v>1523</v>
      </c>
      <c r="C22" s="263" t="s">
        <v>10821</v>
      </c>
      <c r="D22" s="255" t="s">
        <v>2473</v>
      </c>
      <c r="E22" s="255" t="s">
        <v>386</v>
      </c>
      <c r="F22" s="263" t="s">
        <v>10822</v>
      </c>
      <c r="G22" s="255" t="s">
        <v>809</v>
      </c>
      <c r="H22" s="255" t="s">
        <v>10823</v>
      </c>
      <c r="I22" s="264" t="s">
        <v>10733</v>
      </c>
      <c r="J22" s="255" t="s">
        <v>10811</v>
      </c>
      <c r="K22" s="263" t="s">
        <v>10824</v>
      </c>
      <c r="L22" s="253" t="s">
        <v>10709</v>
      </c>
      <c r="M22" s="6" t="s">
        <v>10825</v>
      </c>
      <c r="N22" s="30" t="s">
        <v>809</v>
      </c>
      <c r="O22" s="30" t="s">
        <v>809</v>
      </c>
      <c r="P22" s="30" t="s">
        <v>809</v>
      </c>
      <c r="Q22" s="6" t="s">
        <v>809</v>
      </c>
    </row>
    <row r="23" customFormat="false" ht="30" hidden="false" customHeight="true" outlineLevel="0" collapsed="false">
      <c r="A23" s="255" t="s">
        <v>10826</v>
      </c>
      <c r="B23" s="255" t="s">
        <v>1523</v>
      </c>
      <c r="C23" s="263" t="s">
        <v>10827</v>
      </c>
      <c r="D23" s="255" t="s">
        <v>2473</v>
      </c>
      <c r="E23" s="255" t="s">
        <v>386</v>
      </c>
      <c r="F23" s="263" t="s">
        <v>10828</v>
      </c>
      <c r="G23" s="255" t="s">
        <v>809</v>
      </c>
      <c r="H23" s="255" t="s">
        <v>10829</v>
      </c>
      <c r="I23" s="264" t="s">
        <v>10706</v>
      </c>
      <c r="J23" s="255" t="s">
        <v>10811</v>
      </c>
      <c r="K23" s="263"/>
      <c r="L23" s="253" t="s">
        <v>10709</v>
      </c>
      <c r="M23" s="6" t="s">
        <v>10825</v>
      </c>
      <c r="N23" s="30" t="s">
        <v>809</v>
      </c>
      <c r="O23" s="30" t="s">
        <v>809</v>
      </c>
      <c r="P23" s="30" t="s">
        <v>809</v>
      </c>
      <c r="Q23" s="6" t="s">
        <v>809</v>
      </c>
    </row>
    <row r="24" customFormat="false" ht="30" hidden="false" customHeight="true" outlineLevel="0" collapsed="false">
      <c r="A24" s="255" t="s">
        <v>10830</v>
      </c>
      <c r="B24" s="255" t="s">
        <v>1523</v>
      </c>
      <c r="C24" s="263" t="s">
        <v>10831</v>
      </c>
      <c r="D24" s="255" t="s">
        <v>9981</v>
      </c>
      <c r="E24" s="255" t="s">
        <v>241</v>
      </c>
      <c r="F24" s="263" t="s">
        <v>10832</v>
      </c>
      <c r="G24" s="255" t="s">
        <v>10833</v>
      </c>
      <c r="H24" s="255" t="s">
        <v>10834</v>
      </c>
      <c r="I24" s="264" t="s">
        <v>1517</v>
      </c>
      <c r="J24" s="255" t="s">
        <v>809</v>
      </c>
      <c r="K24" s="265" t="s">
        <v>10835</v>
      </c>
      <c r="L24" s="253" t="s">
        <v>10743</v>
      </c>
      <c r="M24" s="6" t="s">
        <v>9975</v>
      </c>
      <c r="N24" s="30" t="s">
        <v>809</v>
      </c>
      <c r="O24" s="30" t="s">
        <v>809</v>
      </c>
      <c r="P24" s="30" t="s">
        <v>809</v>
      </c>
      <c r="Q24" s="6" t="s">
        <v>809</v>
      </c>
      <c r="R24" s="245" t="s">
        <v>10836</v>
      </c>
    </row>
    <row r="25" customFormat="false" ht="29.25" hidden="false" customHeight="true" outlineLevel="0" collapsed="false">
      <c r="A25" s="255" t="s">
        <v>10837</v>
      </c>
      <c r="B25" s="255" t="s">
        <v>7297</v>
      </c>
      <c r="C25" s="263" t="s">
        <v>10838</v>
      </c>
      <c r="D25" s="255" t="s">
        <v>7462</v>
      </c>
      <c r="E25" s="264" t="s">
        <v>10839</v>
      </c>
      <c r="F25" s="264" t="s">
        <v>10840</v>
      </c>
      <c r="G25" s="255" t="s">
        <v>809</v>
      </c>
      <c r="H25" s="255" t="s">
        <v>809</v>
      </c>
      <c r="I25" s="264" t="s">
        <v>10841</v>
      </c>
      <c r="J25" s="255" t="s">
        <v>10842</v>
      </c>
      <c r="K25" s="263" t="s">
        <v>10843</v>
      </c>
      <c r="L25" s="253" t="s">
        <v>10709</v>
      </c>
      <c r="M25" s="6" t="s">
        <v>5368</v>
      </c>
      <c r="N25" s="30" t="s">
        <v>809</v>
      </c>
      <c r="O25" s="30" t="s">
        <v>809</v>
      </c>
      <c r="P25" s="30" t="s">
        <v>10844</v>
      </c>
      <c r="Q25" s="253" t="s">
        <v>8373</v>
      </c>
      <c r="R25" s="245" t="s">
        <v>10845</v>
      </c>
    </row>
    <row r="26" customFormat="false" ht="29.25" hidden="false" customHeight="true" outlineLevel="0" collapsed="false">
      <c r="A26" s="255" t="s">
        <v>8387</v>
      </c>
      <c r="B26" s="255" t="s">
        <v>7297</v>
      </c>
      <c r="C26" s="263" t="s">
        <v>10846</v>
      </c>
      <c r="D26" s="255" t="s">
        <v>7471</v>
      </c>
      <c r="E26" s="264" t="s">
        <v>10839</v>
      </c>
      <c r="F26" s="264" t="s">
        <v>10840</v>
      </c>
      <c r="G26" s="255" t="s">
        <v>809</v>
      </c>
      <c r="H26" s="255" t="s">
        <v>809</v>
      </c>
      <c r="I26" s="264" t="s">
        <v>10841</v>
      </c>
      <c r="J26" s="255" t="s">
        <v>10842</v>
      </c>
      <c r="K26" s="263" t="s">
        <v>10843</v>
      </c>
      <c r="L26" s="253" t="s">
        <v>10709</v>
      </c>
      <c r="M26" s="6" t="s">
        <v>10847</v>
      </c>
      <c r="N26" s="30" t="s">
        <v>809</v>
      </c>
      <c r="O26" s="30" t="s">
        <v>809</v>
      </c>
      <c r="P26" s="30" t="s">
        <v>10844</v>
      </c>
      <c r="Q26" s="253" t="s">
        <v>8373</v>
      </c>
    </row>
    <row r="27" customFormat="false" ht="29.25" hidden="false" customHeight="true" outlineLevel="0" collapsed="false">
      <c r="A27" s="255" t="s">
        <v>10848</v>
      </c>
      <c r="B27" s="255" t="s">
        <v>7297</v>
      </c>
      <c r="C27" s="263" t="s">
        <v>10849</v>
      </c>
      <c r="D27" s="255" t="s">
        <v>8401</v>
      </c>
      <c r="E27" s="264" t="s">
        <v>10839</v>
      </c>
      <c r="F27" s="264" t="s">
        <v>10840</v>
      </c>
      <c r="G27" s="255" t="s">
        <v>809</v>
      </c>
      <c r="H27" s="255" t="s">
        <v>809</v>
      </c>
      <c r="I27" s="264" t="s">
        <v>10841</v>
      </c>
      <c r="J27" s="255" t="s">
        <v>10842</v>
      </c>
      <c r="K27" s="263" t="s">
        <v>10843</v>
      </c>
      <c r="L27" s="253" t="s">
        <v>10709</v>
      </c>
      <c r="M27" s="6" t="s">
        <v>10850</v>
      </c>
      <c r="N27" s="30" t="s">
        <v>809</v>
      </c>
      <c r="O27" s="30" t="s">
        <v>809</v>
      </c>
      <c r="P27" s="30" t="s">
        <v>10844</v>
      </c>
      <c r="Q27" s="253" t="s">
        <v>8373</v>
      </c>
      <c r="R27" s="245" t="s">
        <v>10851</v>
      </c>
    </row>
    <row r="28" customFormat="false" ht="29.25" hidden="false" customHeight="true" outlineLevel="0" collapsed="false">
      <c r="A28" s="255" t="s">
        <v>8428</v>
      </c>
      <c r="B28" s="255" t="s">
        <v>7297</v>
      </c>
      <c r="C28" s="263" t="s">
        <v>10852</v>
      </c>
      <c r="D28" s="255" t="s">
        <v>8417</v>
      </c>
      <c r="E28" s="264" t="s">
        <v>10839</v>
      </c>
      <c r="F28" s="264" t="s">
        <v>10840</v>
      </c>
      <c r="G28" s="255" t="s">
        <v>809</v>
      </c>
      <c r="H28" s="255" t="s">
        <v>809</v>
      </c>
      <c r="I28" s="264" t="s">
        <v>10841</v>
      </c>
      <c r="J28" s="255" t="s">
        <v>10842</v>
      </c>
      <c r="K28" s="263" t="s">
        <v>10843</v>
      </c>
      <c r="L28" s="253" t="s">
        <v>10709</v>
      </c>
      <c r="M28" s="6" t="s">
        <v>10853</v>
      </c>
      <c r="N28" s="30" t="s">
        <v>809</v>
      </c>
      <c r="O28" s="30" t="s">
        <v>809</v>
      </c>
      <c r="P28" s="30" t="s">
        <v>10844</v>
      </c>
      <c r="Q28" s="253" t="s">
        <v>8373</v>
      </c>
      <c r="R28" s="245" t="s">
        <v>10854</v>
      </c>
    </row>
    <row r="29" customFormat="false" ht="29.25" hidden="false" customHeight="true" outlineLevel="0" collapsed="false">
      <c r="A29" s="255" t="s">
        <v>8435</v>
      </c>
      <c r="B29" s="255" t="s">
        <v>7297</v>
      </c>
      <c r="C29" s="263" t="s">
        <v>10855</v>
      </c>
      <c r="D29" s="255" t="s">
        <v>8436</v>
      </c>
      <c r="E29" s="264" t="s">
        <v>10839</v>
      </c>
      <c r="F29" s="264" t="s">
        <v>10840</v>
      </c>
      <c r="G29" s="255" t="s">
        <v>809</v>
      </c>
      <c r="H29" s="255" t="s">
        <v>809</v>
      </c>
      <c r="I29" s="264" t="s">
        <v>10841</v>
      </c>
      <c r="J29" s="255" t="s">
        <v>10842</v>
      </c>
      <c r="K29" s="263" t="s">
        <v>10843</v>
      </c>
      <c r="L29" s="253" t="s">
        <v>10709</v>
      </c>
      <c r="M29" s="6" t="s">
        <v>8430</v>
      </c>
      <c r="N29" s="30" t="s">
        <v>809</v>
      </c>
      <c r="O29" s="30" t="s">
        <v>809</v>
      </c>
      <c r="P29" s="30" t="s">
        <v>10844</v>
      </c>
      <c r="Q29" s="253" t="s">
        <v>8373</v>
      </c>
      <c r="R29" s="245" t="s">
        <v>10845</v>
      </c>
    </row>
    <row r="30" customFormat="false" ht="29.25" hidden="false" customHeight="true" outlineLevel="0" collapsed="false">
      <c r="A30" s="255" t="s">
        <v>10856</v>
      </c>
      <c r="B30" s="255" t="s">
        <v>7297</v>
      </c>
      <c r="C30" s="263" t="s">
        <v>10857</v>
      </c>
      <c r="D30" s="255" t="s">
        <v>8443</v>
      </c>
      <c r="E30" s="264" t="s">
        <v>10839</v>
      </c>
      <c r="F30" s="264" t="s">
        <v>10840</v>
      </c>
      <c r="G30" s="255" t="s">
        <v>809</v>
      </c>
      <c r="H30" s="255" t="s">
        <v>809</v>
      </c>
      <c r="I30" s="264" t="s">
        <v>10841</v>
      </c>
      <c r="J30" s="255" t="s">
        <v>10842</v>
      </c>
      <c r="K30" s="263" t="s">
        <v>10843</v>
      </c>
      <c r="L30" s="253" t="s">
        <v>10709</v>
      </c>
      <c r="M30" s="6" t="s">
        <v>5434</v>
      </c>
      <c r="N30" s="30" t="s">
        <v>809</v>
      </c>
      <c r="O30" s="30" t="s">
        <v>809</v>
      </c>
      <c r="P30" s="30" t="s">
        <v>10844</v>
      </c>
      <c r="Q30" s="253" t="s">
        <v>8373</v>
      </c>
      <c r="R30" s="245" t="s">
        <v>10845</v>
      </c>
    </row>
    <row r="31" customFormat="false" ht="29.25" hidden="false" customHeight="true" outlineLevel="0" collapsed="false">
      <c r="A31" s="255" t="s">
        <v>8457</v>
      </c>
      <c r="B31" s="255" t="s">
        <v>7297</v>
      </c>
      <c r="C31" s="263" t="s">
        <v>10858</v>
      </c>
      <c r="D31" s="255" t="s">
        <v>8451</v>
      </c>
      <c r="E31" s="264" t="s">
        <v>10839</v>
      </c>
      <c r="F31" s="264" t="s">
        <v>10840</v>
      </c>
      <c r="G31" s="255" t="s">
        <v>809</v>
      </c>
      <c r="H31" s="255" t="s">
        <v>809</v>
      </c>
      <c r="I31" s="264" t="s">
        <v>10841</v>
      </c>
      <c r="J31" s="255" t="s">
        <v>10842</v>
      </c>
      <c r="K31" s="263" t="s">
        <v>10843</v>
      </c>
      <c r="L31" s="253" t="s">
        <v>10709</v>
      </c>
      <c r="M31" s="6" t="s">
        <v>10859</v>
      </c>
      <c r="N31" s="30" t="s">
        <v>809</v>
      </c>
      <c r="O31" s="30" t="s">
        <v>809</v>
      </c>
      <c r="P31" s="30" t="s">
        <v>10844</v>
      </c>
      <c r="Q31" s="253" t="s">
        <v>8373</v>
      </c>
    </row>
    <row r="32" customFormat="false" ht="29.25" hidden="false" customHeight="true" outlineLevel="0" collapsed="false">
      <c r="A32" s="255" t="s">
        <v>10860</v>
      </c>
      <c r="B32" s="255" t="s">
        <v>7297</v>
      </c>
      <c r="C32" s="263" t="s">
        <v>10861</v>
      </c>
      <c r="D32" s="255" t="s">
        <v>8473</v>
      </c>
      <c r="E32" s="264" t="s">
        <v>10839</v>
      </c>
      <c r="F32" s="264" t="s">
        <v>10840</v>
      </c>
      <c r="G32" s="255" t="s">
        <v>809</v>
      </c>
      <c r="H32" s="255" t="s">
        <v>809</v>
      </c>
      <c r="I32" s="264" t="s">
        <v>10841</v>
      </c>
      <c r="J32" s="255" t="s">
        <v>10842</v>
      </c>
      <c r="K32" s="263" t="s">
        <v>10843</v>
      </c>
      <c r="L32" s="253" t="s">
        <v>10709</v>
      </c>
      <c r="M32" s="6" t="s">
        <v>5379</v>
      </c>
      <c r="N32" s="30" t="s">
        <v>809</v>
      </c>
      <c r="O32" s="30" t="s">
        <v>809</v>
      </c>
      <c r="P32" s="30" t="s">
        <v>10844</v>
      </c>
      <c r="Q32" s="253" t="s">
        <v>8373</v>
      </c>
      <c r="R32" s="245" t="s">
        <v>10845</v>
      </c>
    </row>
    <row r="33" customFormat="false" ht="29.25" hidden="false" customHeight="true" outlineLevel="0" collapsed="false">
      <c r="A33" s="255" t="s">
        <v>8490</v>
      </c>
      <c r="B33" s="255" t="s">
        <v>7297</v>
      </c>
      <c r="C33" s="263" t="s">
        <v>10862</v>
      </c>
      <c r="D33" s="255" t="s">
        <v>8483</v>
      </c>
      <c r="E33" s="264" t="s">
        <v>10839</v>
      </c>
      <c r="F33" s="264" t="s">
        <v>10840</v>
      </c>
      <c r="G33" s="255" t="s">
        <v>809</v>
      </c>
      <c r="H33" s="255" t="s">
        <v>809</v>
      </c>
      <c r="I33" s="264" t="s">
        <v>10841</v>
      </c>
      <c r="J33" s="255" t="s">
        <v>10842</v>
      </c>
      <c r="K33" s="263" t="s">
        <v>10843</v>
      </c>
      <c r="L33" s="253" t="s">
        <v>10709</v>
      </c>
      <c r="M33" s="6" t="s">
        <v>10863</v>
      </c>
      <c r="N33" s="30" t="s">
        <v>809</v>
      </c>
      <c r="O33" s="30" t="s">
        <v>809</v>
      </c>
      <c r="P33" s="30" t="s">
        <v>10844</v>
      </c>
      <c r="Q33" s="253" t="s">
        <v>8480</v>
      </c>
      <c r="R33" s="245" t="s">
        <v>10854</v>
      </c>
    </row>
    <row r="34" customFormat="false" ht="29.25" hidden="false" customHeight="true" outlineLevel="0" collapsed="false">
      <c r="A34" s="255" t="s">
        <v>8503</v>
      </c>
      <c r="B34" s="255" t="s">
        <v>7297</v>
      </c>
      <c r="C34" s="263" t="s">
        <v>10864</v>
      </c>
      <c r="D34" s="255" t="s">
        <v>8504</v>
      </c>
      <c r="E34" s="264" t="s">
        <v>10839</v>
      </c>
      <c r="F34" s="264" t="s">
        <v>10840</v>
      </c>
      <c r="G34" s="255" t="s">
        <v>809</v>
      </c>
      <c r="H34" s="255" t="s">
        <v>809</v>
      </c>
      <c r="I34" s="264" t="s">
        <v>10841</v>
      </c>
      <c r="J34" s="255" t="s">
        <v>10842</v>
      </c>
      <c r="K34" s="263" t="s">
        <v>10843</v>
      </c>
      <c r="L34" s="253" t="s">
        <v>10709</v>
      </c>
      <c r="M34" s="6" t="s">
        <v>8499</v>
      </c>
      <c r="N34" s="30" t="s">
        <v>809</v>
      </c>
      <c r="O34" s="30" t="s">
        <v>809</v>
      </c>
      <c r="P34" s="30" t="s">
        <v>10844</v>
      </c>
      <c r="Q34" s="253" t="s">
        <v>8373</v>
      </c>
    </row>
    <row r="35" customFormat="false" ht="97.5" hidden="false" customHeight="true" outlineLevel="0" collapsed="false">
      <c r="A35" s="255" t="s">
        <v>8512</v>
      </c>
      <c r="B35" s="255" t="s">
        <v>7297</v>
      </c>
      <c r="C35" s="263" t="s">
        <v>10865</v>
      </c>
      <c r="D35" s="255" t="s">
        <v>8513</v>
      </c>
      <c r="E35" s="264" t="s">
        <v>10839</v>
      </c>
      <c r="F35" s="264" t="s">
        <v>10840</v>
      </c>
      <c r="G35" s="255" t="s">
        <v>809</v>
      </c>
      <c r="H35" s="255" t="s">
        <v>809</v>
      </c>
      <c r="I35" s="264" t="s">
        <v>10841</v>
      </c>
      <c r="J35" s="255" t="s">
        <v>10842</v>
      </c>
      <c r="K35" s="263" t="s">
        <v>10843</v>
      </c>
      <c r="L35" s="253" t="s">
        <v>10709</v>
      </c>
      <c r="M35" s="6" t="s">
        <v>10866</v>
      </c>
      <c r="N35" s="30" t="s">
        <v>809</v>
      </c>
      <c r="O35" s="30" t="s">
        <v>809</v>
      </c>
      <c r="P35" s="30" t="s">
        <v>10844</v>
      </c>
      <c r="Q35" s="253" t="s">
        <v>8373</v>
      </c>
      <c r="R35" s="245" t="s">
        <v>10867</v>
      </c>
    </row>
    <row r="36" customFormat="false" ht="29.25" hidden="false" customHeight="true" outlineLevel="0" collapsed="false">
      <c r="A36" s="255" t="s">
        <v>8561</v>
      </c>
      <c r="B36" s="255" t="s">
        <v>7297</v>
      </c>
      <c r="C36" s="263" t="s">
        <v>10868</v>
      </c>
      <c r="D36" s="255" t="s">
        <v>8562</v>
      </c>
      <c r="E36" s="264" t="s">
        <v>10839</v>
      </c>
      <c r="F36" s="264" t="s">
        <v>10840</v>
      </c>
      <c r="G36" s="255" t="s">
        <v>809</v>
      </c>
      <c r="H36" s="255" t="s">
        <v>809</v>
      </c>
      <c r="I36" s="264" t="s">
        <v>10841</v>
      </c>
      <c r="J36" s="255" t="s">
        <v>10842</v>
      </c>
      <c r="K36" s="263" t="s">
        <v>10843</v>
      </c>
      <c r="L36" s="253" t="s">
        <v>10709</v>
      </c>
      <c r="M36" s="6" t="s">
        <v>10869</v>
      </c>
      <c r="N36" s="30" t="s">
        <v>809</v>
      </c>
      <c r="O36" s="30" t="s">
        <v>809</v>
      </c>
      <c r="P36" s="30" t="s">
        <v>10844</v>
      </c>
      <c r="Q36" s="253" t="s">
        <v>8480</v>
      </c>
    </row>
    <row r="37" customFormat="false" ht="29.25" hidden="false" customHeight="true" outlineLevel="0" collapsed="false">
      <c r="A37" s="255" t="s">
        <v>10870</v>
      </c>
      <c r="B37" s="255" t="s">
        <v>7297</v>
      </c>
      <c r="C37" s="263" t="s">
        <v>10871</v>
      </c>
      <c r="D37" s="255" t="s">
        <v>8581</v>
      </c>
      <c r="E37" s="264" t="s">
        <v>10839</v>
      </c>
      <c r="F37" s="264" t="s">
        <v>10840</v>
      </c>
      <c r="G37" s="255" t="s">
        <v>809</v>
      </c>
      <c r="H37" s="255" t="s">
        <v>809</v>
      </c>
      <c r="I37" s="264" t="s">
        <v>10841</v>
      </c>
      <c r="J37" s="255" t="s">
        <v>10842</v>
      </c>
      <c r="K37" s="263" t="s">
        <v>10843</v>
      </c>
      <c r="L37" s="253" t="s">
        <v>10709</v>
      </c>
      <c r="M37" s="6" t="s">
        <v>10721</v>
      </c>
      <c r="N37" s="30" t="s">
        <v>809</v>
      </c>
      <c r="O37" s="30" t="s">
        <v>809</v>
      </c>
      <c r="P37" s="30" t="s">
        <v>10872</v>
      </c>
      <c r="Q37" s="253" t="s">
        <v>8373</v>
      </c>
    </row>
    <row r="38" customFormat="false" ht="29.25" hidden="false" customHeight="true" outlineLevel="0" collapsed="false">
      <c r="A38" s="255" t="s">
        <v>10873</v>
      </c>
      <c r="B38" s="255" t="s">
        <v>7297</v>
      </c>
      <c r="C38" s="263" t="s">
        <v>10874</v>
      </c>
      <c r="D38" s="255" t="s">
        <v>8597</v>
      </c>
      <c r="E38" s="264" t="s">
        <v>10839</v>
      </c>
      <c r="F38" s="264" t="s">
        <v>10840</v>
      </c>
      <c r="G38" s="255" t="s">
        <v>809</v>
      </c>
      <c r="H38" s="255" t="s">
        <v>809</v>
      </c>
      <c r="I38" s="264" t="s">
        <v>10841</v>
      </c>
      <c r="J38" s="255" t="s">
        <v>10842</v>
      </c>
      <c r="K38" s="263" t="s">
        <v>10843</v>
      </c>
      <c r="L38" s="253" t="s">
        <v>10709</v>
      </c>
      <c r="M38" s="6" t="s">
        <v>5444</v>
      </c>
      <c r="N38" s="30" t="s">
        <v>809</v>
      </c>
      <c r="O38" s="30" t="s">
        <v>809</v>
      </c>
      <c r="P38" s="30" t="s">
        <v>10844</v>
      </c>
      <c r="Q38" s="253" t="s">
        <v>8373</v>
      </c>
      <c r="R38" s="245" t="s">
        <v>10845</v>
      </c>
    </row>
    <row r="39" customFormat="false" ht="72" hidden="false" customHeight="true" outlineLevel="0" collapsed="false">
      <c r="A39" s="255" t="s">
        <v>8604</v>
      </c>
      <c r="B39" s="255" t="s">
        <v>7297</v>
      </c>
      <c r="C39" s="263" t="s">
        <v>10875</v>
      </c>
      <c r="D39" s="255" t="s">
        <v>8605</v>
      </c>
      <c r="E39" s="264" t="s">
        <v>10839</v>
      </c>
      <c r="F39" s="264" t="s">
        <v>10840</v>
      </c>
      <c r="G39" s="255" t="s">
        <v>809</v>
      </c>
      <c r="H39" s="255" t="s">
        <v>809</v>
      </c>
      <c r="I39" s="264" t="s">
        <v>10841</v>
      </c>
      <c r="J39" s="255" t="s">
        <v>10842</v>
      </c>
      <c r="K39" s="263" t="s">
        <v>10843</v>
      </c>
      <c r="L39" s="253" t="s">
        <v>10709</v>
      </c>
      <c r="M39" s="6" t="s">
        <v>10876</v>
      </c>
      <c r="N39" s="30" t="s">
        <v>809</v>
      </c>
      <c r="O39" s="30" t="s">
        <v>809</v>
      </c>
      <c r="P39" s="30" t="s">
        <v>10844</v>
      </c>
      <c r="Q39" s="253" t="s">
        <v>8373</v>
      </c>
    </row>
    <row r="40" customFormat="false" ht="29.25" hidden="false" customHeight="true" outlineLevel="0" collapsed="false">
      <c r="A40" s="255" t="s">
        <v>8649</v>
      </c>
      <c r="B40" s="255" t="s">
        <v>7297</v>
      </c>
      <c r="C40" s="263" t="s">
        <v>10877</v>
      </c>
      <c r="D40" s="255" t="s">
        <v>8650</v>
      </c>
      <c r="E40" s="264" t="s">
        <v>10839</v>
      </c>
      <c r="F40" s="264" t="s">
        <v>10840</v>
      </c>
      <c r="G40" s="255" t="s">
        <v>809</v>
      </c>
      <c r="H40" s="255" t="s">
        <v>809</v>
      </c>
      <c r="I40" s="264" t="s">
        <v>10841</v>
      </c>
      <c r="J40" s="255" t="s">
        <v>10842</v>
      </c>
      <c r="K40" s="263" t="s">
        <v>10843</v>
      </c>
      <c r="L40" s="253" t="s">
        <v>10709</v>
      </c>
      <c r="M40" s="6" t="s">
        <v>10878</v>
      </c>
      <c r="N40" s="30" t="s">
        <v>809</v>
      </c>
      <c r="O40" s="30" t="s">
        <v>809</v>
      </c>
      <c r="P40" s="30" t="s">
        <v>10844</v>
      </c>
      <c r="Q40" s="253" t="s">
        <v>8480</v>
      </c>
      <c r="R40" s="245" t="s">
        <v>10851</v>
      </c>
    </row>
    <row r="41" customFormat="false" ht="29.25" hidden="false" customHeight="true" outlineLevel="0" collapsed="false">
      <c r="A41" s="255" t="s">
        <v>8767</v>
      </c>
      <c r="B41" s="255" t="s">
        <v>7297</v>
      </c>
      <c r="C41" s="263" t="s">
        <v>10879</v>
      </c>
      <c r="D41" s="255" t="s">
        <v>8768</v>
      </c>
      <c r="E41" s="264" t="s">
        <v>10839</v>
      </c>
      <c r="F41" s="264" t="s">
        <v>10840</v>
      </c>
      <c r="G41" s="255" t="s">
        <v>809</v>
      </c>
      <c r="H41" s="255" t="s">
        <v>809</v>
      </c>
      <c r="I41" s="264" t="s">
        <v>10841</v>
      </c>
      <c r="J41" s="255" t="s">
        <v>10842</v>
      </c>
      <c r="K41" s="263" t="s">
        <v>10843</v>
      </c>
      <c r="L41" s="253" t="s">
        <v>10709</v>
      </c>
      <c r="M41" s="6" t="s">
        <v>10880</v>
      </c>
      <c r="N41" s="30" t="s">
        <v>809</v>
      </c>
      <c r="O41" s="30" t="s">
        <v>809</v>
      </c>
      <c r="P41" s="30" t="s">
        <v>10844</v>
      </c>
      <c r="Q41" s="253" t="s">
        <v>8373</v>
      </c>
    </row>
    <row r="42" customFormat="false" ht="29.25" hidden="false" customHeight="true" outlineLevel="0" collapsed="false">
      <c r="A42" s="255" t="s">
        <v>6032</v>
      </c>
      <c r="B42" s="255" t="s">
        <v>7297</v>
      </c>
      <c r="C42" s="263" t="s">
        <v>10881</v>
      </c>
      <c r="D42" s="255" t="s">
        <v>8780</v>
      </c>
      <c r="E42" s="264" t="s">
        <v>10839</v>
      </c>
      <c r="F42" s="264" t="s">
        <v>10840</v>
      </c>
      <c r="G42" s="255" t="s">
        <v>809</v>
      </c>
      <c r="H42" s="255" t="s">
        <v>809</v>
      </c>
      <c r="I42" s="264" t="s">
        <v>10841</v>
      </c>
      <c r="J42" s="255" t="s">
        <v>10842</v>
      </c>
      <c r="K42" s="263" t="s">
        <v>10843</v>
      </c>
      <c r="L42" s="253" t="s">
        <v>10709</v>
      </c>
      <c r="M42" s="6" t="s">
        <v>10882</v>
      </c>
      <c r="N42" s="30" t="s">
        <v>809</v>
      </c>
      <c r="O42" s="30" t="s">
        <v>809</v>
      </c>
      <c r="P42" s="30" t="s">
        <v>10844</v>
      </c>
      <c r="Q42" s="253" t="s">
        <v>8480</v>
      </c>
    </row>
    <row r="43" customFormat="false" ht="29.25" hidden="false" customHeight="true" outlineLevel="0" collapsed="false">
      <c r="A43" s="255" t="s">
        <v>6044</v>
      </c>
      <c r="B43" s="255" t="s">
        <v>7297</v>
      </c>
      <c r="C43" s="263" t="s">
        <v>10883</v>
      </c>
      <c r="D43" s="255" t="s">
        <v>8793</v>
      </c>
      <c r="E43" s="264" t="s">
        <v>10839</v>
      </c>
      <c r="F43" s="264" t="s">
        <v>10840</v>
      </c>
      <c r="G43" s="255" t="s">
        <v>809</v>
      </c>
      <c r="H43" s="255" t="s">
        <v>809</v>
      </c>
      <c r="I43" s="264" t="s">
        <v>10841</v>
      </c>
      <c r="J43" s="255" t="s">
        <v>10842</v>
      </c>
      <c r="K43" s="263" t="s">
        <v>10843</v>
      </c>
      <c r="L43" s="253" t="s">
        <v>10709</v>
      </c>
      <c r="M43" s="6" t="s">
        <v>10884</v>
      </c>
      <c r="N43" s="30" t="s">
        <v>809</v>
      </c>
      <c r="O43" s="30" t="s">
        <v>809</v>
      </c>
      <c r="P43" s="30" t="s">
        <v>10872</v>
      </c>
      <c r="Q43" s="253" t="s">
        <v>8480</v>
      </c>
      <c r="R43" s="245" t="s">
        <v>10851</v>
      </c>
    </row>
    <row r="44" customFormat="false" ht="29.25" hidden="false" customHeight="true" outlineLevel="0" collapsed="false">
      <c r="A44" s="255" t="s">
        <v>6056</v>
      </c>
      <c r="B44" s="255" t="s">
        <v>7297</v>
      </c>
      <c r="C44" s="263" t="s">
        <v>10885</v>
      </c>
      <c r="D44" s="255" t="s">
        <v>8802</v>
      </c>
      <c r="E44" s="264" t="s">
        <v>10839</v>
      </c>
      <c r="F44" s="264" t="s">
        <v>10840</v>
      </c>
      <c r="G44" s="255" t="s">
        <v>809</v>
      </c>
      <c r="H44" s="255" t="s">
        <v>809</v>
      </c>
      <c r="I44" s="264" t="s">
        <v>10841</v>
      </c>
      <c r="J44" s="255" t="s">
        <v>10842</v>
      </c>
      <c r="K44" s="263" t="s">
        <v>10843</v>
      </c>
      <c r="L44" s="253" t="s">
        <v>10709</v>
      </c>
      <c r="M44" s="6" t="s">
        <v>10886</v>
      </c>
      <c r="N44" s="30" t="s">
        <v>809</v>
      </c>
      <c r="O44" s="30" t="s">
        <v>809</v>
      </c>
      <c r="P44" s="30" t="s">
        <v>10872</v>
      </c>
      <c r="Q44" s="253" t="s">
        <v>8373</v>
      </c>
      <c r="R44" s="245" t="s">
        <v>10887</v>
      </c>
    </row>
    <row r="45" customFormat="false" ht="29.25" hidden="false" customHeight="true" outlineLevel="0" collapsed="false">
      <c r="A45" s="255" t="s">
        <v>8816</v>
      </c>
      <c r="B45" s="255" t="s">
        <v>7297</v>
      </c>
      <c r="C45" s="263" t="s">
        <v>10888</v>
      </c>
      <c r="D45" s="255" t="s">
        <v>8817</v>
      </c>
      <c r="E45" s="264" t="s">
        <v>10839</v>
      </c>
      <c r="F45" s="264" t="s">
        <v>10840</v>
      </c>
      <c r="G45" s="255" t="s">
        <v>809</v>
      </c>
      <c r="H45" s="255" t="s">
        <v>809</v>
      </c>
      <c r="I45" s="264" t="s">
        <v>10841</v>
      </c>
      <c r="J45" s="255" t="s">
        <v>10842</v>
      </c>
      <c r="K45" s="263" t="s">
        <v>10843</v>
      </c>
      <c r="L45" s="253" t="s">
        <v>10709</v>
      </c>
      <c r="M45" s="6" t="s">
        <v>10889</v>
      </c>
      <c r="N45" s="30" t="s">
        <v>809</v>
      </c>
      <c r="O45" s="30" t="s">
        <v>809</v>
      </c>
      <c r="P45" s="30" t="s">
        <v>10844</v>
      </c>
      <c r="Q45" s="253" t="s">
        <v>8373</v>
      </c>
      <c r="R45" s="245" t="s">
        <v>10851</v>
      </c>
    </row>
    <row r="46" customFormat="false" ht="29.25" hidden="false" customHeight="true" outlineLevel="0" collapsed="false">
      <c r="A46" s="255" t="s">
        <v>8826</v>
      </c>
      <c r="B46" s="255" t="s">
        <v>7297</v>
      </c>
      <c r="C46" s="263" t="s">
        <v>10890</v>
      </c>
      <c r="D46" s="255" t="s">
        <v>8827</v>
      </c>
      <c r="E46" s="264" t="s">
        <v>10839</v>
      </c>
      <c r="F46" s="264" t="s">
        <v>10840</v>
      </c>
      <c r="G46" s="255" t="s">
        <v>809</v>
      </c>
      <c r="H46" s="255" t="s">
        <v>809</v>
      </c>
      <c r="I46" s="264" t="s">
        <v>10841</v>
      </c>
      <c r="J46" s="255" t="s">
        <v>10842</v>
      </c>
      <c r="K46" s="263" t="s">
        <v>10843</v>
      </c>
      <c r="L46" s="253" t="s">
        <v>10709</v>
      </c>
      <c r="M46" s="6" t="s">
        <v>10891</v>
      </c>
      <c r="N46" s="30" t="s">
        <v>809</v>
      </c>
      <c r="O46" s="30" t="s">
        <v>809</v>
      </c>
      <c r="P46" s="30" t="s">
        <v>10872</v>
      </c>
      <c r="Q46" s="253" t="s">
        <v>8373</v>
      </c>
      <c r="R46" s="245" t="s">
        <v>10851</v>
      </c>
    </row>
    <row r="47" customFormat="false" ht="54.75" hidden="false" customHeight="true" outlineLevel="0" collapsed="false">
      <c r="A47" s="255" t="s">
        <v>8890</v>
      </c>
      <c r="B47" s="255" t="s">
        <v>7297</v>
      </c>
      <c r="C47" s="263" t="s">
        <v>10892</v>
      </c>
      <c r="D47" s="255" t="s">
        <v>4867</v>
      </c>
      <c r="E47" s="264" t="s">
        <v>10839</v>
      </c>
      <c r="F47" s="264" t="s">
        <v>10840</v>
      </c>
      <c r="G47" s="255" t="s">
        <v>809</v>
      </c>
      <c r="H47" s="255" t="s">
        <v>809</v>
      </c>
      <c r="I47" s="264" t="s">
        <v>10841</v>
      </c>
      <c r="J47" s="255" t="s">
        <v>10842</v>
      </c>
      <c r="K47" s="263" t="s">
        <v>10843</v>
      </c>
      <c r="L47" s="253" t="s">
        <v>10709</v>
      </c>
      <c r="M47" s="6" t="s">
        <v>10893</v>
      </c>
      <c r="N47" s="30" t="s">
        <v>809</v>
      </c>
      <c r="O47" s="30" t="s">
        <v>809</v>
      </c>
      <c r="P47" s="30" t="s">
        <v>10844</v>
      </c>
      <c r="Q47" s="253" t="s">
        <v>8373</v>
      </c>
    </row>
    <row r="48" customFormat="false" ht="168" hidden="false" customHeight="true" outlineLevel="0" collapsed="false">
      <c r="A48" s="255" t="s">
        <v>8919</v>
      </c>
      <c r="B48" s="255" t="s">
        <v>7297</v>
      </c>
      <c r="C48" s="263" t="s">
        <v>10894</v>
      </c>
      <c r="D48" s="255" t="s">
        <v>8914</v>
      </c>
      <c r="E48" s="264" t="s">
        <v>10839</v>
      </c>
      <c r="F48" s="264" t="s">
        <v>10840</v>
      </c>
      <c r="G48" s="255" t="s">
        <v>809</v>
      </c>
      <c r="H48" s="255" t="s">
        <v>809</v>
      </c>
      <c r="I48" s="264" t="s">
        <v>10841</v>
      </c>
      <c r="J48" s="255" t="s">
        <v>10842</v>
      </c>
      <c r="K48" s="263" t="s">
        <v>10843</v>
      </c>
      <c r="L48" s="253" t="s">
        <v>10709</v>
      </c>
      <c r="M48" s="6" t="s">
        <v>10895</v>
      </c>
      <c r="N48" s="30" t="s">
        <v>809</v>
      </c>
      <c r="O48" s="30" t="s">
        <v>809</v>
      </c>
      <c r="P48" s="30" t="s">
        <v>10844</v>
      </c>
      <c r="Q48" s="253" t="s">
        <v>8373</v>
      </c>
    </row>
    <row r="49" customFormat="false" ht="40.5" hidden="false" customHeight="true" outlineLevel="0" collapsed="false">
      <c r="A49" s="255" t="s">
        <v>10896</v>
      </c>
      <c r="B49" s="255" t="s">
        <v>7297</v>
      </c>
      <c r="C49" s="263" t="s">
        <v>10897</v>
      </c>
      <c r="D49" s="255" t="s">
        <v>8995</v>
      </c>
      <c r="E49" s="264" t="s">
        <v>10839</v>
      </c>
      <c r="F49" s="264" t="s">
        <v>10840</v>
      </c>
      <c r="G49" s="255" t="s">
        <v>809</v>
      </c>
      <c r="H49" s="255" t="s">
        <v>809</v>
      </c>
      <c r="I49" s="264" t="s">
        <v>10841</v>
      </c>
      <c r="J49" s="255" t="s">
        <v>10842</v>
      </c>
      <c r="K49" s="263" t="s">
        <v>10843</v>
      </c>
      <c r="L49" s="253" t="s">
        <v>10709</v>
      </c>
      <c r="M49" s="6" t="s">
        <v>10716</v>
      </c>
      <c r="N49" s="30" t="s">
        <v>809</v>
      </c>
      <c r="O49" s="30" t="s">
        <v>809</v>
      </c>
      <c r="P49" s="30" t="s">
        <v>10898</v>
      </c>
      <c r="Q49" s="253" t="s">
        <v>8373</v>
      </c>
      <c r="R49" s="245" t="s">
        <v>10899</v>
      </c>
    </row>
    <row r="50" customFormat="false" ht="29.25" hidden="false" customHeight="true" outlineLevel="0" collapsed="false">
      <c r="A50" s="255" t="s">
        <v>10900</v>
      </c>
      <c r="B50" s="255" t="s">
        <v>7297</v>
      </c>
      <c r="C50" s="263" t="s">
        <v>10901</v>
      </c>
      <c r="D50" s="255" t="s">
        <v>9013</v>
      </c>
      <c r="E50" s="264" t="s">
        <v>10839</v>
      </c>
      <c r="F50" s="264" t="s">
        <v>10840</v>
      </c>
      <c r="G50" s="255" t="s">
        <v>809</v>
      </c>
      <c r="H50" s="255" t="s">
        <v>809</v>
      </c>
      <c r="I50" s="264" t="s">
        <v>10841</v>
      </c>
      <c r="J50" s="255" t="s">
        <v>10842</v>
      </c>
      <c r="K50" s="263" t="s">
        <v>10843</v>
      </c>
      <c r="L50" s="253" t="s">
        <v>10709</v>
      </c>
      <c r="M50" s="6" t="s">
        <v>6597</v>
      </c>
      <c r="N50" s="30" t="s">
        <v>809</v>
      </c>
      <c r="O50" s="30" t="s">
        <v>809</v>
      </c>
      <c r="P50" s="30" t="s">
        <v>10898</v>
      </c>
      <c r="Q50" s="253" t="s">
        <v>8480</v>
      </c>
      <c r="R50" s="245" t="s">
        <v>10845</v>
      </c>
    </row>
    <row r="51" customFormat="false" ht="29.25" hidden="false" customHeight="true" outlineLevel="0" collapsed="false">
      <c r="A51" s="255" t="s">
        <v>9023</v>
      </c>
      <c r="B51" s="255" t="s">
        <v>7297</v>
      </c>
      <c r="C51" s="263" t="s">
        <v>10902</v>
      </c>
      <c r="D51" s="255" t="s">
        <v>9024</v>
      </c>
      <c r="E51" s="264" t="s">
        <v>10839</v>
      </c>
      <c r="F51" s="264" t="s">
        <v>10840</v>
      </c>
      <c r="G51" s="255" t="s">
        <v>809</v>
      </c>
      <c r="H51" s="255" t="s">
        <v>809</v>
      </c>
      <c r="I51" s="264" t="s">
        <v>10841</v>
      </c>
      <c r="J51" s="255" t="s">
        <v>10842</v>
      </c>
      <c r="K51" s="263" t="s">
        <v>10843</v>
      </c>
      <c r="L51" s="253" t="s">
        <v>10709</v>
      </c>
      <c r="M51" s="6" t="s">
        <v>3980</v>
      </c>
      <c r="N51" s="30" t="s">
        <v>809</v>
      </c>
      <c r="O51" s="30" t="s">
        <v>809</v>
      </c>
      <c r="P51" s="30" t="s">
        <v>10872</v>
      </c>
      <c r="Q51" s="253" t="s">
        <v>8373</v>
      </c>
      <c r="R51" s="245" t="s">
        <v>10845</v>
      </c>
    </row>
    <row r="52" customFormat="false" ht="29.25" hidden="false" customHeight="true" outlineLevel="0" collapsed="false">
      <c r="A52" s="255" t="s">
        <v>9035</v>
      </c>
      <c r="B52" s="255" t="s">
        <v>7297</v>
      </c>
      <c r="C52" s="263" t="s">
        <v>10903</v>
      </c>
      <c r="D52" s="255" t="s">
        <v>9036</v>
      </c>
      <c r="E52" s="264" t="s">
        <v>10839</v>
      </c>
      <c r="F52" s="264" t="s">
        <v>10840</v>
      </c>
      <c r="G52" s="255" t="s">
        <v>809</v>
      </c>
      <c r="H52" s="255" t="s">
        <v>809</v>
      </c>
      <c r="I52" s="264" t="s">
        <v>10841</v>
      </c>
      <c r="J52" s="255" t="s">
        <v>10842</v>
      </c>
      <c r="K52" s="263" t="s">
        <v>10843</v>
      </c>
      <c r="L52" s="253" t="s">
        <v>10709</v>
      </c>
      <c r="M52" s="6" t="s">
        <v>9027</v>
      </c>
      <c r="N52" s="30" t="s">
        <v>809</v>
      </c>
      <c r="O52" s="30" t="s">
        <v>809</v>
      </c>
      <c r="P52" s="30" t="s">
        <v>10872</v>
      </c>
      <c r="Q52" s="253" t="s">
        <v>8373</v>
      </c>
      <c r="R52" s="245" t="s">
        <v>10845</v>
      </c>
    </row>
    <row r="53" customFormat="false" ht="29.25" hidden="false" customHeight="true" outlineLevel="0" collapsed="false">
      <c r="A53" s="255" t="s">
        <v>10904</v>
      </c>
      <c r="B53" s="255" t="s">
        <v>7297</v>
      </c>
      <c r="C53" s="263" t="s">
        <v>10905</v>
      </c>
      <c r="D53" s="255" t="s">
        <v>9044</v>
      </c>
      <c r="E53" s="264" t="s">
        <v>10839</v>
      </c>
      <c r="F53" s="264" t="s">
        <v>10840</v>
      </c>
      <c r="G53" s="255" t="s">
        <v>809</v>
      </c>
      <c r="H53" s="255" t="s">
        <v>809</v>
      </c>
      <c r="I53" s="264" t="s">
        <v>10841</v>
      </c>
      <c r="J53" s="255" t="s">
        <v>10842</v>
      </c>
      <c r="K53" s="263" t="s">
        <v>10843</v>
      </c>
      <c r="L53" s="253" t="s">
        <v>10709</v>
      </c>
      <c r="M53" s="6" t="s">
        <v>10735</v>
      </c>
      <c r="N53" s="30" t="s">
        <v>809</v>
      </c>
      <c r="O53" s="30" t="s">
        <v>809</v>
      </c>
      <c r="P53" s="30" t="s">
        <v>10898</v>
      </c>
      <c r="Q53" s="253" t="s">
        <v>8373</v>
      </c>
      <c r="R53" s="245" t="s">
        <v>10887</v>
      </c>
    </row>
    <row r="54" customFormat="false" ht="40.5" hidden="false" customHeight="true" outlineLevel="0" collapsed="false">
      <c r="A54" s="255" t="s">
        <v>9057</v>
      </c>
      <c r="B54" s="255" t="s">
        <v>7297</v>
      </c>
      <c r="C54" s="263" t="s">
        <v>10906</v>
      </c>
      <c r="D54" s="255" t="s">
        <v>1206</v>
      </c>
      <c r="E54" s="264" t="s">
        <v>10839</v>
      </c>
      <c r="F54" s="264" t="s">
        <v>10840</v>
      </c>
      <c r="G54" s="255" t="s">
        <v>809</v>
      </c>
      <c r="H54" s="255" t="s">
        <v>809</v>
      </c>
      <c r="I54" s="264" t="s">
        <v>10841</v>
      </c>
      <c r="J54" s="255" t="s">
        <v>10842</v>
      </c>
      <c r="K54" s="263" t="s">
        <v>10843</v>
      </c>
      <c r="L54" s="253" t="s">
        <v>10709</v>
      </c>
      <c r="M54" s="6" t="s">
        <v>10907</v>
      </c>
      <c r="N54" s="30" t="s">
        <v>809</v>
      </c>
      <c r="O54" s="30" t="s">
        <v>809</v>
      </c>
      <c r="P54" s="30" t="s">
        <v>10844</v>
      </c>
      <c r="Q54" s="253" t="s">
        <v>8373</v>
      </c>
      <c r="R54" s="245" t="s">
        <v>10899</v>
      </c>
    </row>
    <row r="55" customFormat="false" ht="29.25" hidden="false" customHeight="true" outlineLevel="0" collapsed="false">
      <c r="A55" s="255" t="s">
        <v>10908</v>
      </c>
      <c r="B55" s="255" t="s">
        <v>7297</v>
      </c>
      <c r="C55" s="263" t="s">
        <v>10909</v>
      </c>
      <c r="D55" s="255" t="s">
        <v>9073</v>
      </c>
      <c r="E55" s="264" t="s">
        <v>10839</v>
      </c>
      <c r="F55" s="264" t="s">
        <v>10840</v>
      </c>
      <c r="G55" s="255" t="s">
        <v>809</v>
      </c>
      <c r="H55" s="255" t="s">
        <v>809</v>
      </c>
      <c r="I55" s="264" t="s">
        <v>10841</v>
      </c>
      <c r="J55" s="255" t="s">
        <v>10842</v>
      </c>
      <c r="K55" s="263" t="s">
        <v>10843</v>
      </c>
      <c r="L55" s="253" t="s">
        <v>10709</v>
      </c>
      <c r="M55" s="6" t="s">
        <v>6160</v>
      </c>
      <c r="N55" s="30" t="s">
        <v>809</v>
      </c>
      <c r="O55" s="30" t="s">
        <v>809</v>
      </c>
      <c r="P55" s="30" t="s">
        <v>10898</v>
      </c>
      <c r="Q55" s="253" t="s">
        <v>8373</v>
      </c>
      <c r="R55" s="245" t="s">
        <v>10845</v>
      </c>
    </row>
    <row r="56" customFormat="false" ht="29.25" hidden="false" customHeight="true" outlineLevel="0" collapsed="false">
      <c r="A56" s="255" t="s">
        <v>10910</v>
      </c>
      <c r="B56" s="255" t="s">
        <v>7297</v>
      </c>
      <c r="C56" s="263" t="s">
        <v>10911</v>
      </c>
      <c r="D56" s="255" t="s">
        <v>9083</v>
      </c>
      <c r="E56" s="264" t="s">
        <v>10839</v>
      </c>
      <c r="F56" s="264" t="s">
        <v>10840</v>
      </c>
      <c r="G56" s="255" t="s">
        <v>809</v>
      </c>
      <c r="H56" s="255" t="s">
        <v>809</v>
      </c>
      <c r="I56" s="264" t="s">
        <v>10841</v>
      </c>
      <c r="J56" s="255" t="s">
        <v>10842</v>
      </c>
      <c r="K56" s="263" t="s">
        <v>10843</v>
      </c>
      <c r="L56" s="253" t="s">
        <v>10709</v>
      </c>
      <c r="M56" s="6" t="s">
        <v>9076</v>
      </c>
      <c r="N56" s="30" t="s">
        <v>809</v>
      </c>
      <c r="O56" s="30" t="s">
        <v>809</v>
      </c>
      <c r="P56" s="30" t="s">
        <v>10898</v>
      </c>
      <c r="Q56" s="253" t="s">
        <v>8373</v>
      </c>
      <c r="R56" s="245" t="s">
        <v>10845</v>
      </c>
    </row>
    <row r="57" customFormat="false" ht="29.25" hidden="false" customHeight="true" outlineLevel="0" collapsed="false">
      <c r="A57" s="255" t="s">
        <v>10912</v>
      </c>
      <c r="B57" s="255" t="s">
        <v>7297</v>
      </c>
      <c r="C57" s="263" t="s">
        <v>10913</v>
      </c>
      <c r="D57" s="255" t="s">
        <v>9088</v>
      </c>
      <c r="E57" s="264" t="s">
        <v>10839</v>
      </c>
      <c r="F57" s="264" t="s">
        <v>10840</v>
      </c>
      <c r="G57" s="255" t="s">
        <v>809</v>
      </c>
      <c r="H57" s="255" t="s">
        <v>809</v>
      </c>
      <c r="I57" s="264" t="s">
        <v>10841</v>
      </c>
      <c r="J57" s="255" t="s">
        <v>10842</v>
      </c>
      <c r="K57" s="263" t="s">
        <v>10843</v>
      </c>
      <c r="L57" s="253" t="s">
        <v>10709</v>
      </c>
      <c r="M57" s="6" t="s">
        <v>10914</v>
      </c>
      <c r="N57" s="30" t="s">
        <v>809</v>
      </c>
      <c r="O57" s="30" t="s">
        <v>809</v>
      </c>
      <c r="P57" s="30" t="s">
        <v>10872</v>
      </c>
      <c r="Q57" s="253" t="s">
        <v>8373</v>
      </c>
      <c r="R57" s="245" t="s">
        <v>10851</v>
      </c>
    </row>
    <row r="58" customFormat="false" ht="29.25" hidden="false" customHeight="true" outlineLevel="0" collapsed="false">
      <c r="A58" s="255" t="s">
        <v>10915</v>
      </c>
      <c r="B58" s="255" t="s">
        <v>7297</v>
      </c>
      <c r="C58" s="263" t="s">
        <v>10916</v>
      </c>
      <c r="D58" s="255" t="s">
        <v>9097</v>
      </c>
      <c r="E58" s="264" t="s">
        <v>10839</v>
      </c>
      <c r="F58" s="264" t="s">
        <v>10840</v>
      </c>
      <c r="G58" s="255" t="s">
        <v>809</v>
      </c>
      <c r="H58" s="255" t="s">
        <v>809</v>
      </c>
      <c r="I58" s="264" t="s">
        <v>10841</v>
      </c>
      <c r="J58" s="255" t="s">
        <v>10842</v>
      </c>
      <c r="K58" s="263" t="s">
        <v>10843</v>
      </c>
      <c r="L58" s="253" t="s">
        <v>10709</v>
      </c>
      <c r="M58" s="6" t="s">
        <v>10917</v>
      </c>
      <c r="N58" s="30" t="s">
        <v>809</v>
      </c>
      <c r="O58" s="30" t="s">
        <v>809</v>
      </c>
      <c r="P58" s="30" t="s">
        <v>10898</v>
      </c>
      <c r="Q58" s="253" t="s">
        <v>8373</v>
      </c>
      <c r="R58" s="245" t="s">
        <v>10851</v>
      </c>
    </row>
    <row r="59" customFormat="false" ht="29.25" hidden="false" customHeight="true" outlineLevel="0" collapsed="false">
      <c r="A59" s="255" t="s">
        <v>9176</v>
      </c>
      <c r="B59" s="255" t="s">
        <v>7297</v>
      </c>
      <c r="C59" s="263" t="s">
        <v>10918</v>
      </c>
      <c r="D59" s="255" t="s">
        <v>515</v>
      </c>
      <c r="E59" s="264" t="s">
        <v>10839</v>
      </c>
      <c r="F59" s="264" t="s">
        <v>10840</v>
      </c>
      <c r="G59" s="255" t="s">
        <v>809</v>
      </c>
      <c r="H59" s="255" t="s">
        <v>809</v>
      </c>
      <c r="I59" s="264" t="s">
        <v>10841</v>
      </c>
      <c r="J59" s="255" t="s">
        <v>10842</v>
      </c>
      <c r="K59" s="263" t="s">
        <v>10843</v>
      </c>
      <c r="L59" s="253" t="s">
        <v>10709</v>
      </c>
      <c r="M59" s="6" t="s">
        <v>10919</v>
      </c>
      <c r="N59" s="30" t="s">
        <v>809</v>
      </c>
      <c r="O59" s="30" t="s">
        <v>809</v>
      </c>
      <c r="P59" s="30" t="s">
        <v>10898</v>
      </c>
      <c r="Q59" s="253" t="s">
        <v>8373</v>
      </c>
      <c r="R59" s="245" t="s">
        <v>10887</v>
      </c>
    </row>
    <row r="60" customFormat="false" ht="43.5" hidden="false" customHeight="true" outlineLevel="0" collapsed="false">
      <c r="A60" s="255" t="s">
        <v>9191</v>
      </c>
      <c r="B60" s="255" t="s">
        <v>7297</v>
      </c>
      <c r="C60" s="263" t="s">
        <v>10920</v>
      </c>
      <c r="D60" s="255" t="s">
        <v>514</v>
      </c>
      <c r="E60" s="264" t="s">
        <v>10839</v>
      </c>
      <c r="F60" s="264" t="s">
        <v>10840</v>
      </c>
      <c r="G60" s="255" t="s">
        <v>809</v>
      </c>
      <c r="H60" s="255" t="s">
        <v>809</v>
      </c>
      <c r="I60" s="264" t="s">
        <v>10841</v>
      </c>
      <c r="J60" s="255" t="s">
        <v>10842</v>
      </c>
      <c r="K60" s="263" t="s">
        <v>10843</v>
      </c>
      <c r="L60" s="253" t="s">
        <v>10709</v>
      </c>
      <c r="M60" s="6" t="s">
        <v>10921</v>
      </c>
      <c r="N60" s="30" t="s">
        <v>809</v>
      </c>
      <c r="O60" s="30" t="s">
        <v>809</v>
      </c>
      <c r="P60" s="30" t="s">
        <v>10898</v>
      </c>
      <c r="Q60" s="253" t="s">
        <v>8373</v>
      </c>
      <c r="R60" s="245" t="s">
        <v>10922</v>
      </c>
    </row>
    <row r="61" customFormat="false" ht="43.5" hidden="false" customHeight="true" outlineLevel="0" collapsed="false">
      <c r="A61" s="255" t="s">
        <v>9226</v>
      </c>
      <c r="B61" s="255" t="s">
        <v>7297</v>
      </c>
      <c r="C61" s="263" t="s">
        <v>10923</v>
      </c>
      <c r="D61" s="255" t="s">
        <v>513</v>
      </c>
      <c r="E61" s="264" t="s">
        <v>10839</v>
      </c>
      <c r="F61" s="264" t="s">
        <v>10840</v>
      </c>
      <c r="G61" s="255" t="s">
        <v>809</v>
      </c>
      <c r="H61" s="255" t="s">
        <v>809</v>
      </c>
      <c r="I61" s="264" t="s">
        <v>10841</v>
      </c>
      <c r="J61" s="255" t="s">
        <v>10842</v>
      </c>
      <c r="K61" s="263" t="s">
        <v>10843</v>
      </c>
      <c r="L61" s="253" t="s">
        <v>10709</v>
      </c>
      <c r="M61" s="6" t="s">
        <v>10924</v>
      </c>
      <c r="N61" s="30" t="s">
        <v>809</v>
      </c>
      <c r="O61" s="30" t="s">
        <v>809</v>
      </c>
      <c r="P61" s="30" t="s">
        <v>10844</v>
      </c>
      <c r="Q61" s="253" t="s">
        <v>8373</v>
      </c>
      <c r="R61" s="245" t="s">
        <v>10925</v>
      </c>
    </row>
    <row r="62" customFormat="false" ht="29.25" hidden="false" customHeight="true" outlineLevel="0" collapsed="false">
      <c r="A62" s="255" t="s">
        <v>9237</v>
      </c>
      <c r="B62" s="255" t="s">
        <v>7297</v>
      </c>
      <c r="C62" s="263" t="s">
        <v>10926</v>
      </c>
      <c r="D62" s="255" t="s">
        <v>516</v>
      </c>
      <c r="E62" s="264" t="s">
        <v>10839</v>
      </c>
      <c r="F62" s="264" t="s">
        <v>10840</v>
      </c>
      <c r="G62" s="255" t="s">
        <v>809</v>
      </c>
      <c r="H62" s="255" t="s">
        <v>809</v>
      </c>
      <c r="I62" s="264" t="s">
        <v>10841</v>
      </c>
      <c r="J62" s="255" t="s">
        <v>10842</v>
      </c>
      <c r="K62" s="263" t="s">
        <v>10843</v>
      </c>
      <c r="L62" s="253" t="s">
        <v>10709</v>
      </c>
      <c r="M62" s="6" t="s">
        <v>10927</v>
      </c>
      <c r="N62" s="30" t="s">
        <v>809</v>
      </c>
      <c r="O62" s="30" t="s">
        <v>809</v>
      </c>
      <c r="P62" s="30" t="s">
        <v>10898</v>
      </c>
      <c r="Q62" s="253" t="s">
        <v>8373</v>
      </c>
      <c r="R62" s="245" t="s">
        <v>10851</v>
      </c>
    </row>
    <row r="63" customFormat="false" ht="29.25" hidden="false" customHeight="true" outlineLevel="0" collapsed="false">
      <c r="A63" s="255" t="s">
        <v>9247</v>
      </c>
      <c r="B63" s="255" t="s">
        <v>7297</v>
      </c>
      <c r="C63" s="263" t="s">
        <v>10928</v>
      </c>
      <c r="D63" s="255" t="s">
        <v>9248</v>
      </c>
      <c r="E63" s="264" t="s">
        <v>10839</v>
      </c>
      <c r="F63" s="264" t="s">
        <v>10840</v>
      </c>
      <c r="G63" s="255" t="s">
        <v>809</v>
      </c>
      <c r="H63" s="255" t="s">
        <v>809</v>
      </c>
      <c r="I63" s="264" t="s">
        <v>10841</v>
      </c>
      <c r="J63" s="255" t="s">
        <v>10842</v>
      </c>
      <c r="K63" s="263" t="s">
        <v>10843</v>
      </c>
      <c r="L63" s="253" t="s">
        <v>10709</v>
      </c>
      <c r="M63" s="6" t="s">
        <v>10929</v>
      </c>
      <c r="N63" s="30" t="s">
        <v>809</v>
      </c>
      <c r="O63" s="30" t="s">
        <v>809</v>
      </c>
      <c r="P63" s="30" t="s">
        <v>10898</v>
      </c>
      <c r="Q63" s="253" t="s">
        <v>8373</v>
      </c>
      <c r="R63" s="245" t="s">
        <v>10851</v>
      </c>
    </row>
    <row r="64" customFormat="false" ht="43.5" hidden="false" customHeight="true" outlineLevel="0" collapsed="false">
      <c r="A64" s="255" t="s">
        <v>9259</v>
      </c>
      <c r="B64" s="255" t="s">
        <v>7297</v>
      </c>
      <c r="C64" s="263" t="s">
        <v>10930</v>
      </c>
      <c r="D64" s="255" t="s">
        <v>9260</v>
      </c>
      <c r="E64" s="264" t="s">
        <v>10839</v>
      </c>
      <c r="F64" s="264" t="s">
        <v>10840</v>
      </c>
      <c r="G64" s="255" t="s">
        <v>809</v>
      </c>
      <c r="H64" s="255" t="s">
        <v>809</v>
      </c>
      <c r="I64" s="264" t="s">
        <v>10841</v>
      </c>
      <c r="J64" s="255" t="s">
        <v>10842</v>
      </c>
      <c r="K64" s="263" t="s">
        <v>10843</v>
      </c>
      <c r="L64" s="253" t="s">
        <v>10709</v>
      </c>
      <c r="M64" s="6" t="s">
        <v>10931</v>
      </c>
      <c r="N64" s="30" t="s">
        <v>809</v>
      </c>
      <c r="O64" s="30" t="s">
        <v>809</v>
      </c>
      <c r="P64" s="30" t="s">
        <v>10898</v>
      </c>
      <c r="Q64" s="253" t="s">
        <v>8480</v>
      </c>
      <c r="R64" s="245" t="s">
        <v>10925</v>
      </c>
    </row>
    <row r="65" customFormat="false" ht="29.25" hidden="false" customHeight="true" outlineLevel="0" collapsed="false">
      <c r="A65" s="255" t="s">
        <v>9284</v>
      </c>
      <c r="B65" s="255" t="s">
        <v>7297</v>
      </c>
      <c r="C65" s="263" t="s">
        <v>10932</v>
      </c>
      <c r="D65" s="255" t="s">
        <v>9285</v>
      </c>
      <c r="E65" s="264" t="s">
        <v>10839</v>
      </c>
      <c r="F65" s="264" t="s">
        <v>10840</v>
      </c>
      <c r="G65" s="255" t="s">
        <v>809</v>
      </c>
      <c r="H65" s="255" t="s">
        <v>809</v>
      </c>
      <c r="I65" s="264" t="s">
        <v>10841</v>
      </c>
      <c r="J65" s="255" t="s">
        <v>10842</v>
      </c>
      <c r="K65" s="263" t="s">
        <v>10843</v>
      </c>
      <c r="L65" s="253" t="s">
        <v>10709</v>
      </c>
      <c r="M65" s="6" t="s">
        <v>9277</v>
      </c>
      <c r="N65" s="30" t="s">
        <v>809</v>
      </c>
      <c r="O65" s="30" t="s">
        <v>809</v>
      </c>
      <c r="P65" s="30" t="s">
        <v>10844</v>
      </c>
      <c r="Q65" s="253" t="s">
        <v>8373</v>
      </c>
      <c r="R65" s="245" t="s">
        <v>10845</v>
      </c>
    </row>
    <row r="66" customFormat="false" ht="29.25" hidden="false" customHeight="true" outlineLevel="0" collapsed="false">
      <c r="A66" s="255" t="s">
        <v>9295</v>
      </c>
      <c r="B66" s="255" t="s">
        <v>7297</v>
      </c>
      <c r="C66" s="263" t="s">
        <v>10933</v>
      </c>
      <c r="D66" s="255" t="s">
        <v>9296</v>
      </c>
      <c r="E66" s="264" t="s">
        <v>10839</v>
      </c>
      <c r="F66" s="264" t="s">
        <v>10840</v>
      </c>
      <c r="G66" s="255" t="s">
        <v>809</v>
      </c>
      <c r="H66" s="255" t="s">
        <v>809</v>
      </c>
      <c r="I66" s="264" t="s">
        <v>10841</v>
      </c>
      <c r="J66" s="255" t="s">
        <v>10842</v>
      </c>
      <c r="K66" s="263" t="s">
        <v>10843</v>
      </c>
      <c r="L66" s="253" t="s">
        <v>10709</v>
      </c>
      <c r="M66" s="6" t="s">
        <v>10934</v>
      </c>
      <c r="N66" s="30" t="s">
        <v>809</v>
      </c>
      <c r="O66" s="30" t="s">
        <v>809</v>
      </c>
      <c r="P66" s="30" t="s">
        <v>10872</v>
      </c>
      <c r="Q66" s="253" t="s">
        <v>8373</v>
      </c>
      <c r="R66" s="245" t="s">
        <v>10887</v>
      </c>
    </row>
    <row r="67" customFormat="false" ht="29.25" hidden="false" customHeight="true" outlineLevel="0" collapsed="false">
      <c r="A67" s="255" t="s">
        <v>10935</v>
      </c>
      <c r="B67" s="255" t="s">
        <v>7297</v>
      </c>
      <c r="C67" s="263" t="s">
        <v>10936</v>
      </c>
      <c r="D67" s="255" t="s">
        <v>4853</v>
      </c>
      <c r="E67" s="264" t="s">
        <v>10839</v>
      </c>
      <c r="F67" s="264" t="s">
        <v>10840</v>
      </c>
      <c r="G67" s="255" t="s">
        <v>809</v>
      </c>
      <c r="H67" s="255" t="s">
        <v>809</v>
      </c>
      <c r="I67" s="264" t="s">
        <v>10841</v>
      </c>
      <c r="J67" s="255" t="s">
        <v>10842</v>
      </c>
      <c r="K67" s="263" t="s">
        <v>10843</v>
      </c>
      <c r="L67" s="253" t="s">
        <v>10709</v>
      </c>
      <c r="M67" s="6" t="s">
        <v>10937</v>
      </c>
      <c r="N67" s="30" t="s">
        <v>809</v>
      </c>
      <c r="O67" s="30" t="s">
        <v>809</v>
      </c>
      <c r="P67" s="30" t="s">
        <v>10872</v>
      </c>
      <c r="Q67" s="253" t="s">
        <v>8373</v>
      </c>
      <c r="R67" s="245" t="s">
        <v>10851</v>
      </c>
    </row>
    <row r="68" customFormat="false" ht="57.75" hidden="false" customHeight="true" outlineLevel="0" collapsed="false">
      <c r="A68" s="255" t="s">
        <v>9323</v>
      </c>
      <c r="B68" s="255" t="s">
        <v>7297</v>
      </c>
      <c r="C68" s="263" t="s">
        <v>10938</v>
      </c>
      <c r="D68" s="255" t="s">
        <v>9324</v>
      </c>
      <c r="E68" s="264" t="s">
        <v>10839</v>
      </c>
      <c r="F68" s="264" t="s">
        <v>10840</v>
      </c>
      <c r="G68" s="255" t="s">
        <v>809</v>
      </c>
      <c r="H68" s="255" t="s">
        <v>809</v>
      </c>
      <c r="I68" s="264" t="s">
        <v>10841</v>
      </c>
      <c r="J68" s="255" t="s">
        <v>10842</v>
      </c>
      <c r="K68" s="263" t="s">
        <v>10843</v>
      </c>
      <c r="L68" s="253" t="s">
        <v>10709</v>
      </c>
      <c r="M68" s="6" t="s">
        <v>10939</v>
      </c>
      <c r="N68" s="30" t="s">
        <v>809</v>
      </c>
      <c r="O68" s="30" t="s">
        <v>809</v>
      </c>
      <c r="P68" s="30" t="s">
        <v>10898</v>
      </c>
      <c r="Q68" s="253" t="s">
        <v>8480</v>
      </c>
      <c r="R68" s="245" t="s">
        <v>10940</v>
      </c>
    </row>
    <row r="69" customFormat="false" ht="29.25" hidden="false" customHeight="true" outlineLevel="0" collapsed="false">
      <c r="A69" s="255" t="s">
        <v>10941</v>
      </c>
      <c r="B69" s="255" t="s">
        <v>7297</v>
      </c>
      <c r="C69" s="263" t="s">
        <v>10942</v>
      </c>
      <c r="D69" s="255" t="s">
        <v>9350</v>
      </c>
      <c r="E69" s="264" t="s">
        <v>10839</v>
      </c>
      <c r="F69" s="264" t="s">
        <v>10840</v>
      </c>
      <c r="G69" s="255" t="s">
        <v>809</v>
      </c>
      <c r="H69" s="255" t="s">
        <v>809</v>
      </c>
      <c r="I69" s="264" t="s">
        <v>10841</v>
      </c>
      <c r="J69" s="255" t="s">
        <v>10842</v>
      </c>
      <c r="K69" s="263" t="s">
        <v>10843</v>
      </c>
      <c r="L69" s="253" t="s">
        <v>10709</v>
      </c>
      <c r="M69" s="6" t="s">
        <v>10943</v>
      </c>
      <c r="N69" s="30" t="s">
        <v>809</v>
      </c>
      <c r="O69" s="30" t="s">
        <v>809</v>
      </c>
      <c r="P69" s="30" t="s">
        <v>10844</v>
      </c>
      <c r="Q69" s="253" t="s">
        <v>8373</v>
      </c>
      <c r="R69" s="245" t="s">
        <v>10851</v>
      </c>
    </row>
    <row r="70" customFormat="false" ht="29.25" hidden="false" customHeight="true" outlineLevel="0" collapsed="false">
      <c r="A70" s="255" t="s">
        <v>10944</v>
      </c>
      <c r="B70" s="255" t="s">
        <v>7297</v>
      </c>
      <c r="C70" s="263" t="s">
        <v>10945</v>
      </c>
      <c r="D70" s="255" t="s">
        <v>9364</v>
      </c>
      <c r="E70" s="264" t="s">
        <v>10839</v>
      </c>
      <c r="F70" s="264" t="s">
        <v>10840</v>
      </c>
      <c r="G70" s="255" t="s">
        <v>809</v>
      </c>
      <c r="H70" s="255" t="s">
        <v>809</v>
      </c>
      <c r="I70" s="264" t="s">
        <v>10841</v>
      </c>
      <c r="J70" s="255" t="s">
        <v>10842</v>
      </c>
      <c r="K70" s="263" t="s">
        <v>10843</v>
      </c>
      <c r="L70" s="253" t="s">
        <v>10709</v>
      </c>
      <c r="M70" s="6" t="s">
        <v>10766</v>
      </c>
      <c r="N70" s="30" t="s">
        <v>809</v>
      </c>
      <c r="O70" s="30" t="s">
        <v>809</v>
      </c>
      <c r="P70" s="30" t="s">
        <v>10898</v>
      </c>
      <c r="Q70" s="253" t="s">
        <v>8373</v>
      </c>
      <c r="R70" s="245" t="s">
        <v>10887</v>
      </c>
    </row>
    <row r="71" customFormat="false" ht="83.25" hidden="false" customHeight="true" outlineLevel="0" collapsed="false">
      <c r="A71" s="255" t="s">
        <v>8671</v>
      </c>
      <c r="B71" s="255" t="s">
        <v>7297</v>
      </c>
      <c r="C71" s="263" t="s">
        <v>10946</v>
      </c>
      <c r="D71" s="255" t="s">
        <v>8664</v>
      </c>
      <c r="E71" s="264" t="s">
        <v>10947</v>
      </c>
      <c r="F71" s="264" t="s">
        <v>10840</v>
      </c>
      <c r="G71" s="255" t="s">
        <v>809</v>
      </c>
      <c r="H71" s="255" t="s">
        <v>809</v>
      </c>
      <c r="I71" s="264" t="s">
        <v>10948</v>
      </c>
      <c r="J71" s="255" t="s">
        <v>10842</v>
      </c>
      <c r="K71" s="263" t="s">
        <v>10949</v>
      </c>
      <c r="L71" s="253" t="s">
        <v>10709</v>
      </c>
      <c r="M71" s="6" t="s">
        <v>10950</v>
      </c>
      <c r="N71" s="30" t="s">
        <v>809</v>
      </c>
      <c r="O71" s="30" t="s">
        <v>809</v>
      </c>
      <c r="P71" s="30" t="s">
        <v>10844</v>
      </c>
      <c r="Q71" s="253" t="s">
        <v>10951</v>
      </c>
      <c r="R71" s="245" t="s">
        <v>10952</v>
      </c>
    </row>
    <row r="72" customFormat="false" ht="29.25" hidden="false" customHeight="true" outlineLevel="0" collapsed="false">
      <c r="A72" s="255" t="s">
        <v>9644</v>
      </c>
      <c r="B72" s="255" t="s">
        <v>10953</v>
      </c>
      <c r="C72" s="263" t="s">
        <v>10954</v>
      </c>
      <c r="D72" s="255" t="s">
        <v>9645</v>
      </c>
      <c r="E72" s="264" t="s">
        <v>10839</v>
      </c>
      <c r="F72" s="264" t="s">
        <v>10840</v>
      </c>
      <c r="G72" s="255" t="s">
        <v>809</v>
      </c>
      <c r="H72" s="255" t="s">
        <v>809</v>
      </c>
      <c r="I72" s="264" t="s">
        <v>10841</v>
      </c>
      <c r="J72" s="255" t="s">
        <v>10955</v>
      </c>
      <c r="K72" s="263" t="s">
        <v>10843</v>
      </c>
      <c r="L72" s="253" t="s">
        <v>10709</v>
      </c>
      <c r="M72" s="6" t="s">
        <v>3960</v>
      </c>
      <c r="N72" s="30" t="s">
        <v>809</v>
      </c>
      <c r="O72" s="30" t="s">
        <v>809</v>
      </c>
      <c r="P72" s="30" t="s">
        <v>10844</v>
      </c>
      <c r="Q72" s="253" t="s">
        <v>8373</v>
      </c>
      <c r="R72" s="245" t="s">
        <v>10845</v>
      </c>
    </row>
    <row r="73" customFormat="false" ht="29.25" hidden="false" customHeight="true" outlineLevel="0" collapsed="false">
      <c r="A73" s="255" t="s">
        <v>9654</v>
      </c>
      <c r="B73" s="255" t="s">
        <v>10953</v>
      </c>
      <c r="C73" s="263" t="s">
        <v>10956</v>
      </c>
      <c r="D73" s="255" t="s">
        <v>9655</v>
      </c>
      <c r="E73" s="264" t="s">
        <v>10839</v>
      </c>
      <c r="F73" s="264" t="s">
        <v>10840</v>
      </c>
      <c r="G73" s="255" t="s">
        <v>809</v>
      </c>
      <c r="H73" s="255" t="s">
        <v>809</v>
      </c>
      <c r="I73" s="264" t="s">
        <v>10841</v>
      </c>
      <c r="J73" s="255" t="s">
        <v>10955</v>
      </c>
      <c r="K73" s="263" t="s">
        <v>10843</v>
      </c>
      <c r="L73" s="253" t="s">
        <v>10709</v>
      </c>
      <c r="M73" s="6" t="s">
        <v>3969</v>
      </c>
      <c r="N73" s="30" t="s">
        <v>809</v>
      </c>
      <c r="O73" s="30" t="s">
        <v>809</v>
      </c>
      <c r="P73" s="30" t="s">
        <v>10872</v>
      </c>
      <c r="Q73" s="253" t="s">
        <v>8480</v>
      </c>
      <c r="R73" s="245" t="s">
        <v>10845</v>
      </c>
    </row>
    <row r="74" customFormat="false" ht="29.25" hidden="false" customHeight="true" outlineLevel="0" collapsed="false">
      <c r="A74" s="255" t="s">
        <v>9922</v>
      </c>
      <c r="B74" s="255" t="s">
        <v>10953</v>
      </c>
      <c r="C74" s="263" t="s">
        <v>10957</v>
      </c>
      <c r="D74" s="255" t="s">
        <v>9923</v>
      </c>
      <c r="E74" s="264" t="s">
        <v>10839</v>
      </c>
      <c r="F74" s="264" t="s">
        <v>10840</v>
      </c>
      <c r="G74" s="255" t="s">
        <v>809</v>
      </c>
      <c r="H74" s="255" t="s">
        <v>809</v>
      </c>
      <c r="I74" s="264" t="s">
        <v>10841</v>
      </c>
      <c r="J74" s="255" t="s">
        <v>10955</v>
      </c>
      <c r="K74" s="263" t="s">
        <v>10843</v>
      </c>
      <c r="L74" s="253" t="s">
        <v>10709</v>
      </c>
      <c r="M74" s="6" t="s">
        <v>10819</v>
      </c>
      <c r="N74" s="30" t="s">
        <v>809</v>
      </c>
      <c r="O74" s="30" t="s">
        <v>809</v>
      </c>
      <c r="P74" s="30" t="s">
        <v>10872</v>
      </c>
      <c r="Q74" s="253" t="s">
        <v>8373</v>
      </c>
      <c r="R74" s="245" t="s">
        <v>10851</v>
      </c>
    </row>
    <row r="75" customFormat="false" ht="29.25" hidden="false" customHeight="true" outlineLevel="0" collapsed="false">
      <c r="A75" s="255" t="s">
        <v>9996</v>
      </c>
      <c r="B75" s="255" t="s">
        <v>10953</v>
      </c>
      <c r="C75" s="263" t="s">
        <v>10958</v>
      </c>
      <c r="D75" s="255" t="s">
        <v>9997</v>
      </c>
      <c r="E75" s="264" t="s">
        <v>10839</v>
      </c>
      <c r="F75" s="264" t="s">
        <v>10840</v>
      </c>
      <c r="G75" s="255" t="s">
        <v>809</v>
      </c>
      <c r="H75" s="255" t="s">
        <v>809</v>
      </c>
      <c r="I75" s="264" t="s">
        <v>10841</v>
      </c>
      <c r="J75" s="255" t="s">
        <v>10955</v>
      </c>
      <c r="K75" s="263" t="s">
        <v>10843</v>
      </c>
      <c r="L75" s="253" t="s">
        <v>10709</v>
      </c>
      <c r="M75" s="6" t="s">
        <v>10728</v>
      </c>
      <c r="N75" s="30" t="s">
        <v>809</v>
      </c>
      <c r="O75" s="30" t="s">
        <v>809</v>
      </c>
      <c r="P75" s="30" t="s">
        <v>10898</v>
      </c>
      <c r="Q75" s="253" t="s">
        <v>8480</v>
      </c>
      <c r="R75" s="245" t="s">
        <v>10887</v>
      </c>
    </row>
    <row r="76" customFormat="false" ht="69" hidden="false" customHeight="true" outlineLevel="0" collapsed="false">
      <c r="A76" s="255" t="s">
        <v>9663</v>
      </c>
      <c r="B76" s="255" t="s">
        <v>10953</v>
      </c>
      <c r="C76" s="263" t="s">
        <v>10959</v>
      </c>
      <c r="D76" s="255" t="s">
        <v>9664</v>
      </c>
      <c r="E76" s="264" t="s">
        <v>10839</v>
      </c>
      <c r="F76" s="264" t="s">
        <v>10840</v>
      </c>
      <c r="G76" s="255" t="s">
        <v>809</v>
      </c>
      <c r="H76" s="255" t="s">
        <v>809</v>
      </c>
      <c r="I76" s="264" t="s">
        <v>10841</v>
      </c>
      <c r="J76" s="255" t="s">
        <v>10955</v>
      </c>
      <c r="K76" s="263" t="s">
        <v>10843</v>
      </c>
      <c r="L76" s="253" t="s">
        <v>10709</v>
      </c>
      <c r="M76" s="6" t="s">
        <v>10960</v>
      </c>
      <c r="N76" s="30" t="s">
        <v>809</v>
      </c>
      <c r="O76" s="30" t="s">
        <v>809</v>
      </c>
      <c r="P76" s="30" t="s">
        <v>10898</v>
      </c>
      <c r="Q76" s="253" t="s">
        <v>8373</v>
      </c>
      <c r="R76" s="245" t="s">
        <v>10961</v>
      </c>
    </row>
    <row r="77" customFormat="false" ht="69" hidden="false" customHeight="true" outlineLevel="0" collapsed="false">
      <c r="A77" s="255" t="s">
        <v>9694</v>
      </c>
      <c r="B77" s="255" t="s">
        <v>10953</v>
      </c>
      <c r="C77" s="263" t="s">
        <v>10962</v>
      </c>
      <c r="D77" s="255" t="s">
        <v>9695</v>
      </c>
      <c r="E77" s="264" t="s">
        <v>10839</v>
      </c>
      <c r="F77" s="264" t="s">
        <v>10840</v>
      </c>
      <c r="G77" s="255" t="s">
        <v>809</v>
      </c>
      <c r="H77" s="255" t="s">
        <v>809</v>
      </c>
      <c r="I77" s="264" t="s">
        <v>10841</v>
      </c>
      <c r="J77" s="255" t="s">
        <v>10955</v>
      </c>
      <c r="K77" s="263" t="s">
        <v>10843</v>
      </c>
      <c r="L77" s="253" t="s">
        <v>10709</v>
      </c>
      <c r="M77" s="6" t="s">
        <v>10799</v>
      </c>
      <c r="N77" s="30" t="s">
        <v>809</v>
      </c>
      <c r="O77" s="30" t="s">
        <v>809</v>
      </c>
      <c r="P77" s="30" t="s">
        <v>10872</v>
      </c>
      <c r="Q77" s="253" t="s">
        <v>8373</v>
      </c>
      <c r="R77" s="245" t="s">
        <v>10961</v>
      </c>
    </row>
    <row r="78" customFormat="false" ht="57.75" hidden="false" customHeight="true" outlineLevel="0" collapsed="false">
      <c r="A78" s="255" t="s">
        <v>9729</v>
      </c>
      <c r="B78" s="255" t="s">
        <v>10953</v>
      </c>
      <c r="C78" s="263" t="s">
        <v>10963</v>
      </c>
      <c r="D78" s="255" t="s">
        <v>4904</v>
      </c>
      <c r="E78" s="264" t="s">
        <v>10839</v>
      </c>
      <c r="F78" s="264" t="s">
        <v>10840</v>
      </c>
      <c r="G78" s="255" t="s">
        <v>809</v>
      </c>
      <c r="H78" s="255" t="s">
        <v>809</v>
      </c>
      <c r="I78" s="264" t="s">
        <v>10841</v>
      </c>
      <c r="J78" s="255" t="s">
        <v>10955</v>
      </c>
      <c r="K78" s="263" t="s">
        <v>10843</v>
      </c>
      <c r="L78" s="253" t="s">
        <v>10709</v>
      </c>
      <c r="M78" s="6" t="s">
        <v>10780</v>
      </c>
      <c r="N78" s="30" t="s">
        <v>809</v>
      </c>
      <c r="O78" s="30" t="s">
        <v>809</v>
      </c>
      <c r="P78" s="30" t="s">
        <v>10898</v>
      </c>
      <c r="Q78" s="253" t="s">
        <v>8373</v>
      </c>
      <c r="R78" s="245" t="s">
        <v>10964</v>
      </c>
    </row>
    <row r="79" customFormat="false" ht="43.5" hidden="false" customHeight="true" outlineLevel="0" collapsed="false">
      <c r="A79" s="255" t="s">
        <v>9759</v>
      </c>
      <c r="B79" s="255" t="s">
        <v>10953</v>
      </c>
      <c r="C79" s="263" t="s">
        <v>10965</v>
      </c>
      <c r="D79" s="255" t="s">
        <v>9760</v>
      </c>
      <c r="E79" s="264" t="s">
        <v>10839</v>
      </c>
      <c r="F79" s="264" t="s">
        <v>10840</v>
      </c>
      <c r="G79" s="255" t="s">
        <v>809</v>
      </c>
      <c r="H79" s="255" t="s">
        <v>809</v>
      </c>
      <c r="I79" s="264" t="s">
        <v>10841</v>
      </c>
      <c r="J79" s="255" t="s">
        <v>10955</v>
      </c>
      <c r="K79" s="263" t="s">
        <v>10843</v>
      </c>
      <c r="L79" s="253" t="s">
        <v>10709</v>
      </c>
      <c r="M79" s="6" t="s">
        <v>10966</v>
      </c>
      <c r="N79" s="30" t="s">
        <v>809</v>
      </c>
      <c r="O79" s="30" t="s">
        <v>809</v>
      </c>
      <c r="P79" s="30" t="s">
        <v>10898</v>
      </c>
      <c r="Q79" s="253" t="s">
        <v>8373</v>
      </c>
      <c r="R79" s="245" t="s">
        <v>10967</v>
      </c>
    </row>
    <row r="80" customFormat="false" ht="72" hidden="false" customHeight="true" outlineLevel="0" collapsed="false">
      <c r="A80" s="255" t="s">
        <v>3245</v>
      </c>
      <c r="B80" s="255" t="s">
        <v>10953</v>
      </c>
      <c r="C80" s="263" t="s">
        <v>10968</v>
      </c>
      <c r="D80" s="255" t="s">
        <v>9781</v>
      </c>
      <c r="E80" s="264" t="s">
        <v>10839</v>
      </c>
      <c r="F80" s="264" t="s">
        <v>10840</v>
      </c>
      <c r="G80" s="255" t="s">
        <v>809</v>
      </c>
      <c r="H80" s="255" t="s">
        <v>809</v>
      </c>
      <c r="I80" s="264" t="s">
        <v>10841</v>
      </c>
      <c r="J80" s="255" t="s">
        <v>10955</v>
      </c>
      <c r="K80" s="263" t="s">
        <v>10843</v>
      </c>
      <c r="L80" s="253" t="s">
        <v>10709</v>
      </c>
      <c r="M80" s="6" t="s">
        <v>10804</v>
      </c>
      <c r="N80" s="30" t="s">
        <v>809</v>
      </c>
      <c r="O80" s="30" t="s">
        <v>809</v>
      </c>
      <c r="P80" s="30" t="s">
        <v>10872</v>
      </c>
      <c r="Q80" s="253" t="s">
        <v>8373</v>
      </c>
      <c r="R80" s="245" t="s">
        <v>10969</v>
      </c>
    </row>
    <row r="81" customFormat="false" ht="54.75" hidden="false" customHeight="true" outlineLevel="0" collapsed="false">
      <c r="A81" s="255" t="s">
        <v>9835</v>
      </c>
      <c r="B81" s="255" t="s">
        <v>10953</v>
      </c>
      <c r="C81" s="263" t="s">
        <v>10970</v>
      </c>
      <c r="D81" s="255" t="s">
        <v>9836</v>
      </c>
      <c r="E81" s="264" t="s">
        <v>10839</v>
      </c>
      <c r="F81" s="264" t="s">
        <v>10840</v>
      </c>
      <c r="G81" s="255" t="s">
        <v>809</v>
      </c>
      <c r="H81" s="255" t="s">
        <v>809</v>
      </c>
      <c r="I81" s="264" t="s">
        <v>10841</v>
      </c>
      <c r="J81" s="255" t="s">
        <v>10955</v>
      </c>
      <c r="K81" s="263" t="s">
        <v>10843</v>
      </c>
      <c r="L81" s="253" t="s">
        <v>10709</v>
      </c>
      <c r="M81" s="6" t="s">
        <v>10793</v>
      </c>
      <c r="N81" s="30" t="s">
        <v>809</v>
      </c>
      <c r="O81" s="30" t="s">
        <v>809</v>
      </c>
      <c r="P81" s="30" t="s">
        <v>10872</v>
      </c>
      <c r="Q81" s="253" t="s">
        <v>8480</v>
      </c>
      <c r="R81" s="245" t="s">
        <v>10940</v>
      </c>
    </row>
    <row r="82" customFormat="false" ht="29.25" hidden="false" customHeight="true" outlineLevel="0" collapsed="false">
      <c r="A82" s="255" t="s">
        <v>9867</v>
      </c>
      <c r="B82" s="255" t="s">
        <v>10953</v>
      </c>
      <c r="C82" s="263" t="s">
        <v>10971</v>
      </c>
      <c r="D82" s="255" t="s">
        <v>9862</v>
      </c>
      <c r="E82" s="264" t="s">
        <v>10839</v>
      </c>
      <c r="F82" s="264" t="s">
        <v>10840</v>
      </c>
      <c r="G82" s="255" t="s">
        <v>809</v>
      </c>
      <c r="H82" s="255" t="s">
        <v>809</v>
      </c>
      <c r="I82" s="264" t="s">
        <v>10841</v>
      </c>
      <c r="J82" s="255" t="s">
        <v>10955</v>
      </c>
      <c r="K82" s="263" t="s">
        <v>10843</v>
      </c>
      <c r="L82" s="253" t="s">
        <v>10709</v>
      </c>
      <c r="M82" s="6" t="s">
        <v>10972</v>
      </c>
      <c r="N82" s="30" t="s">
        <v>809</v>
      </c>
      <c r="O82" s="30" t="s">
        <v>809</v>
      </c>
      <c r="P82" s="30" t="s">
        <v>10844</v>
      </c>
      <c r="Q82" s="253" t="s">
        <v>8480</v>
      </c>
      <c r="R82" s="245" t="s">
        <v>10899</v>
      </c>
    </row>
    <row r="83" customFormat="false" ht="43.5" hidden="false" customHeight="true" outlineLevel="0" collapsed="false">
      <c r="A83" s="255" t="s">
        <v>10008</v>
      </c>
      <c r="B83" s="255" t="s">
        <v>10953</v>
      </c>
      <c r="C83" s="263" t="s">
        <v>10973</v>
      </c>
      <c r="D83" s="255" t="s">
        <v>10009</v>
      </c>
      <c r="E83" s="264" t="s">
        <v>10839</v>
      </c>
      <c r="F83" s="264" t="s">
        <v>10840</v>
      </c>
      <c r="G83" s="255" t="s">
        <v>809</v>
      </c>
      <c r="H83" s="255" t="s">
        <v>809</v>
      </c>
      <c r="I83" s="264" t="s">
        <v>10841</v>
      </c>
      <c r="J83" s="255" t="s">
        <v>10955</v>
      </c>
      <c r="K83" s="263" t="s">
        <v>10843</v>
      </c>
      <c r="L83" s="253" t="s">
        <v>10709</v>
      </c>
      <c r="M83" s="6" t="s">
        <v>10773</v>
      </c>
      <c r="N83" s="30" t="s">
        <v>809</v>
      </c>
      <c r="O83" s="30" t="s">
        <v>809</v>
      </c>
      <c r="P83" s="30" t="s">
        <v>10872</v>
      </c>
      <c r="Q83" s="253" t="s">
        <v>8373</v>
      </c>
      <c r="R83" s="245" t="s">
        <v>10967</v>
      </c>
    </row>
    <row r="84" customFormat="false" ht="72" hidden="false" customHeight="true" outlineLevel="0" collapsed="false">
      <c r="A84" s="255" t="s">
        <v>9932</v>
      </c>
      <c r="B84" s="255" t="s">
        <v>10953</v>
      </c>
      <c r="C84" s="263" t="s">
        <v>10974</v>
      </c>
      <c r="D84" s="255" t="s">
        <v>2450</v>
      </c>
      <c r="E84" s="264" t="s">
        <v>10839</v>
      </c>
      <c r="F84" s="264" t="s">
        <v>10840</v>
      </c>
      <c r="G84" s="255" t="s">
        <v>809</v>
      </c>
      <c r="H84" s="255" t="s">
        <v>809</v>
      </c>
      <c r="I84" s="264" t="s">
        <v>10841</v>
      </c>
      <c r="J84" s="255" t="s">
        <v>10955</v>
      </c>
      <c r="K84" s="263" t="s">
        <v>10843</v>
      </c>
      <c r="L84" s="253" t="s">
        <v>10709</v>
      </c>
      <c r="M84" s="6" t="s">
        <v>10813</v>
      </c>
      <c r="N84" s="30" t="s">
        <v>809</v>
      </c>
      <c r="O84" s="30" t="s">
        <v>809</v>
      </c>
      <c r="P84" s="30" t="s">
        <v>10872</v>
      </c>
      <c r="Q84" s="253" t="s">
        <v>8373</v>
      </c>
      <c r="R84" s="245" t="s">
        <v>10975</v>
      </c>
    </row>
    <row r="85" customFormat="false" ht="72" hidden="false" customHeight="true" outlineLevel="0" collapsed="false">
      <c r="A85" s="255" t="s">
        <v>9883</v>
      </c>
      <c r="B85" s="255" t="s">
        <v>10953</v>
      </c>
      <c r="C85" s="263" t="s">
        <v>10976</v>
      </c>
      <c r="D85" s="255" t="s">
        <v>2473</v>
      </c>
      <c r="E85" s="264" t="s">
        <v>10839</v>
      </c>
      <c r="F85" s="264" t="s">
        <v>10840</v>
      </c>
      <c r="G85" s="255" t="s">
        <v>809</v>
      </c>
      <c r="H85" s="255" t="s">
        <v>809</v>
      </c>
      <c r="I85" s="264" t="s">
        <v>10841</v>
      </c>
      <c r="J85" s="255" t="s">
        <v>10955</v>
      </c>
      <c r="K85" s="263" t="s">
        <v>10843</v>
      </c>
      <c r="L85" s="253" t="s">
        <v>10709</v>
      </c>
      <c r="M85" s="6" t="s">
        <v>10825</v>
      </c>
      <c r="N85" s="30" t="s">
        <v>809</v>
      </c>
      <c r="O85" s="30" t="s">
        <v>809</v>
      </c>
      <c r="P85" s="30" t="s">
        <v>10872</v>
      </c>
      <c r="Q85" s="253" t="s">
        <v>8480</v>
      </c>
    </row>
    <row r="86" customFormat="false" ht="29.25" hidden="false" customHeight="true" outlineLevel="0" collapsed="false">
      <c r="A86" s="255" t="s">
        <v>9970</v>
      </c>
      <c r="B86" s="255" t="s">
        <v>10953</v>
      </c>
      <c r="C86" s="263" t="s">
        <v>10977</v>
      </c>
      <c r="D86" s="255" t="s">
        <v>9971</v>
      </c>
      <c r="E86" s="264" t="s">
        <v>10839</v>
      </c>
      <c r="F86" s="264" t="s">
        <v>10840</v>
      </c>
      <c r="G86" s="255" t="s">
        <v>809</v>
      </c>
      <c r="H86" s="255" t="s">
        <v>809</v>
      </c>
      <c r="I86" s="264" t="s">
        <v>10841</v>
      </c>
      <c r="J86" s="255" t="s">
        <v>10955</v>
      </c>
      <c r="K86" s="263" t="s">
        <v>10843</v>
      </c>
      <c r="L86" s="253" t="s">
        <v>10709</v>
      </c>
      <c r="M86" s="6" t="s">
        <v>10978</v>
      </c>
      <c r="N86" s="30" t="s">
        <v>809</v>
      </c>
      <c r="O86" s="30" t="s">
        <v>809</v>
      </c>
      <c r="P86" s="30" t="s">
        <v>10872</v>
      </c>
      <c r="Q86" s="253" t="s">
        <v>8480</v>
      </c>
      <c r="R86" s="245" t="s">
        <v>10851</v>
      </c>
    </row>
    <row r="87" customFormat="false" ht="29.25" hidden="false" customHeight="true" outlineLevel="0" collapsed="false">
      <c r="A87" s="255" t="s">
        <v>9980</v>
      </c>
      <c r="B87" s="255" t="s">
        <v>10953</v>
      </c>
      <c r="C87" s="263" t="s">
        <v>10979</v>
      </c>
      <c r="D87" s="255" t="s">
        <v>9981</v>
      </c>
      <c r="E87" s="264" t="s">
        <v>10839</v>
      </c>
      <c r="F87" s="264" t="s">
        <v>10840</v>
      </c>
      <c r="G87" s="255" t="s">
        <v>809</v>
      </c>
      <c r="H87" s="255" t="s">
        <v>809</v>
      </c>
      <c r="I87" s="264" t="s">
        <v>10841</v>
      </c>
      <c r="J87" s="255" t="s">
        <v>10955</v>
      </c>
      <c r="K87" s="263" t="s">
        <v>10843</v>
      </c>
      <c r="L87" s="253" t="s">
        <v>10709</v>
      </c>
      <c r="M87" s="6" t="s">
        <v>9975</v>
      </c>
      <c r="N87" s="30" t="s">
        <v>809</v>
      </c>
      <c r="O87" s="30" t="s">
        <v>809</v>
      </c>
      <c r="P87" s="30" t="s">
        <v>10872</v>
      </c>
      <c r="Q87" s="253" t="s">
        <v>8373</v>
      </c>
      <c r="R87" s="245" t="s">
        <v>10845</v>
      </c>
    </row>
    <row r="88" customFormat="false" ht="86.25" hidden="false" customHeight="true" outlineLevel="0" collapsed="false">
      <c r="A88" s="255" t="s">
        <v>9378</v>
      </c>
      <c r="B88" s="255" t="s">
        <v>10953</v>
      </c>
      <c r="C88" s="263" t="s">
        <v>10980</v>
      </c>
      <c r="D88" s="255" t="s">
        <v>9285</v>
      </c>
      <c r="E88" s="264" t="s">
        <v>10981</v>
      </c>
      <c r="F88" s="255" t="s">
        <v>10982</v>
      </c>
      <c r="G88" s="255" t="s">
        <v>809</v>
      </c>
      <c r="H88" s="255" t="s">
        <v>10983</v>
      </c>
      <c r="I88" s="264" t="s">
        <v>10984</v>
      </c>
      <c r="J88" s="255" t="s">
        <v>10955</v>
      </c>
      <c r="K88" s="263" t="s">
        <v>10985</v>
      </c>
      <c r="L88" s="253" t="s">
        <v>10709</v>
      </c>
      <c r="M88" s="6" t="s">
        <v>10986</v>
      </c>
      <c r="N88" s="30" t="s">
        <v>809</v>
      </c>
      <c r="O88" s="30" t="s">
        <v>809</v>
      </c>
      <c r="P88" s="30" t="s">
        <v>10898</v>
      </c>
      <c r="Q88" s="253" t="s">
        <v>8373</v>
      </c>
      <c r="R88" s="245" t="s">
        <v>10987</v>
      </c>
    </row>
    <row r="89" customFormat="false" ht="100.5" hidden="false" customHeight="true" outlineLevel="0" collapsed="false">
      <c r="A89" s="255" t="s">
        <v>9112</v>
      </c>
      <c r="B89" s="255" t="s">
        <v>10953</v>
      </c>
      <c r="C89" s="263" t="s">
        <v>10988</v>
      </c>
      <c r="D89" s="255" t="s">
        <v>9113</v>
      </c>
      <c r="E89" s="264" t="s">
        <v>10981</v>
      </c>
      <c r="F89" s="255" t="s">
        <v>10989</v>
      </c>
      <c r="G89" s="255" t="s">
        <v>10990</v>
      </c>
      <c r="H89" s="255" t="s">
        <v>10991</v>
      </c>
      <c r="I89" s="264" t="s">
        <v>10984</v>
      </c>
      <c r="J89" s="255" t="s">
        <v>10955</v>
      </c>
      <c r="K89" s="265" t="s">
        <v>10992</v>
      </c>
      <c r="L89" s="253" t="s">
        <v>10709</v>
      </c>
      <c r="M89" s="6" t="s">
        <v>10993</v>
      </c>
      <c r="N89" s="30" t="s">
        <v>809</v>
      </c>
      <c r="O89" s="30" t="s">
        <v>809</v>
      </c>
      <c r="P89" s="30" t="s">
        <v>10898</v>
      </c>
      <c r="Q89" s="253" t="s">
        <v>8373</v>
      </c>
    </row>
    <row r="90" customFormat="false" ht="15" hidden="false" customHeight="true" outlineLevel="0" collapsed="false">
      <c r="A90" s="255" t="s">
        <v>10036</v>
      </c>
      <c r="B90" s="255" t="s">
        <v>7454</v>
      </c>
      <c r="C90" s="263" t="s">
        <v>10994</v>
      </c>
      <c r="D90" s="255" t="s">
        <v>10995</v>
      </c>
      <c r="E90" s="264" t="s">
        <v>10996</v>
      </c>
      <c r="F90" s="255" t="s">
        <v>10997</v>
      </c>
      <c r="G90" s="255" t="s">
        <v>809</v>
      </c>
      <c r="H90" s="255" t="s">
        <v>10998</v>
      </c>
      <c r="I90" s="264" t="s">
        <v>10999</v>
      </c>
      <c r="J90" s="255" t="s">
        <v>11000</v>
      </c>
      <c r="K90" s="263" t="s">
        <v>11001</v>
      </c>
      <c r="L90" s="253" t="s">
        <v>10709</v>
      </c>
      <c r="M90" s="6" t="s">
        <v>6724</v>
      </c>
      <c r="N90" s="30" t="s">
        <v>809</v>
      </c>
      <c r="O90" s="30" t="s">
        <v>11002</v>
      </c>
      <c r="P90" s="30" t="s">
        <v>10872</v>
      </c>
      <c r="Q90" s="253" t="s">
        <v>8373</v>
      </c>
      <c r="R90" s="245" t="s">
        <v>11003</v>
      </c>
    </row>
    <row r="91" customFormat="false" ht="39" hidden="false" customHeight="true" outlineLevel="0" collapsed="false">
      <c r="A91" s="255" t="s">
        <v>11004</v>
      </c>
      <c r="B91" s="255" t="s">
        <v>7454</v>
      </c>
      <c r="C91" s="263" t="s">
        <v>11005</v>
      </c>
      <c r="D91" s="255" t="s">
        <v>11006</v>
      </c>
      <c r="E91" s="264" t="s">
        <v>10996</v>
      </c>
      <c r="F91" s="264" t="s">
        <v>11007</v>
      </c>
      <c r="G91" s="255" t="s">
        <v>809</v>
      </c>
      <c r="H91" s="255" t="s">
        <v>11008</v>
      </c>
      <c r="I91" s="264" t="s">
        <v>10999</v>
      </c>
      <c r="J91" s="255" t="s">
        <v>11000</v>
      </c>
      <c r="K91" s="265" t="s">
        <v>11009</v>
      </c>
      <c r="L91" s="253" t="s">
        <v>10709</v>
      </c>
      <c r="M91" s="6" t="s">
        <v>6918</v>
      </c>
      <c r="N91" s="30" t="s">
        <v>809</v>
      </c>
      <c r="O91" s="30" t="s">
        <v>11002</v>
      </c>
      <c r="P91" s="30" t="s">
        <v>10872</v>
      </c>
      <c r="Q91" s="253" t="s">
        <v>8373</v>
      </c>
      <c r="R91" s="245" t="s">
        <v>11003</v>
      </c>
    </row>
    <row r="92" customFormat="false" ht="15" hidden="false" customHeight="true" outlineLevel="0" collapsed="false">
      <c r="A92" s="255" t="s">
        <v>10051</v>
      </c>
      <c r="B92" s="255" t="s">
        <v>7454</v>
      </c>
      <c r="C92" s="263" t="s">
        <v>11010</v>
      </c>
      <c r="D92" s="255" t="s">
        <v>11011</v>
      </c>
      <c r="E92" s="264" t="s">
        <v>10996</v>
      </c>
      <c r="F92" s="255" t="s">
        <v>10997</v>
      </c>
      <c r="G92" s="255" t="s">
        <v>809</v>
      </c>
      <c r="H92" s="255" t="s">
        <v>11012</v>
      </c>
      <c r="I92" s="264" t="s">
        <v>10999</v>
      </c>
      <c r="J92" s="255" t="s">
        <v>11000</v>
      </c>
      <c r="K92" s="265" t="s">
        <v>11013</v>
      </c>
      <c r="L92" s="253" t="s">
        <v>10709</v>
      </c>
      <c r="M92" s="6" t="s">
        <v>6732</v>
      </c>
      <c r="N92" s="30" t="s">
        <v>809</v>
      </c>
      <c r="O92" s="30" t="s">
        <v>11002</v>
      </c>
      <c r="P92" s="30" t="s">
        <v>10872</v>
      </c>
      <c r="Q92" s="253" t="s">
        <v>8373</v>
      </c>
      <c r="R92" s="245" t="s">
        <v>11003</v>
      </c>
    </row>
    <row r="93" customFormat="false" ht="26.25" hidden="false" customHeight="true" outlineLevel="0" collapsed="false">
      <c r="A93" s="255" t="s">
        <v>11014</v>
      </c>
      <c r="B93" s="255" t="s">
        <v>7454</v>
      </c>
      <c r="C93" s="265" t="s">
        <v>11015</v>
      </c>
      <c r="D93" s="255" t="s">
        <v>11016</v>
      </c>
      <c r="E93" s="264" t="s">
        <v>10996</v>
      </c>
      <c r="F93" s="255" t="s">
        <v>11017</v>
      </c>
      <c r="G93" s="255" t="s">
        <v>809</v>
      </c>
      <c r="H93" s="255" t="s">
        <v>11018</v>
      </c>
      <c r="I93" s="264" t="s">
        <v>10999</v>
      </c>
      <c r="J93" s="255" t="s">
        <v>11000</v>
      </c>
      <c r="K93" s="265" t="s">
        <v>11019</v>
      </c>
      <c r="L93" s="253" t="s">
        <v>10709</v>
      </c>
      <c r="M93" s="6" t="s">
        <v>4122</v>
      </c>
      <c r="N93" s="30" t="s">
        <v>809</v>
      </c>
      <c r="O93" s="30" t="s">
        <v>11002</v>
      </c>
      <c r="P93" s="30" t="s">
        <v>10872</v>
      </c>
      <c r="Q93" s="253" t="s">
        <v>8480</v>
      </c>
      <c r="R93" s="245" t="s">
        <v>11003</v>
      </c>
    </row>
    <row r="94" customFormat="false" ht="51.75" hidden="false" customHeight="true" outlineLevel="0" collapsed="false">
      <c r="A94" s="255" t="s">
        <v>11020</v>
      </c>
      <c r="B94" s="255" t="s">
        <v>7466</v>
      </c>
      <c r="C94" s="263" t="s">
        <v>11021</v>
      </c>
      <c r="D94" s="255" t="s">
        <v>11022</v>
      </c>
      <c r="E94" s="264" t="s">
        <v>11023</v>
      </c>
      <c r="F94" s="255" t="s">
        <v>11024</v>
      </c>
      <c r="G94" s="255" t="s">
        <v>11025</v>
      </c>
      <c r="H94" s="255" t="s">
        <v>11026</v>
      </c>
      <c r="I94" s="264" t="s">
        <v>11027</v>
      </c>
      <c r="J94" s="255" t="s">
        <v>11028</v>
      </c>
      <c r="K94" s="265" t="s">
        <v>11029</v>
      </c>
      <c r="L94" s="253" t="s">
        <v>10709</v>
      </c>
      <c r="M94" s="6" t="s">
        <v>5629</v>
      </c>
      <c r="N94" s="30" t="s">
        <v>809</v>
      </c>
      <c r="O94" s="30" t="s">
        <v>11030</v>
      </c>
      <c r="P94" s="30" t="s">
        <v>10898</v>
      </c>
      <c r="Q94" s="253" t="s">
        <v>8373</v>
      </c>
    </row>
    <row r="95" customFormat="false" ht="51.75" hidden="false" customHeight="true" outlineLevel="0" collapsed="false">
      <c r="A95" s="255" t="s">
        <v>11031</v>
      </c>
      <c r="B95" s="255" t="s">
        <v>7466</v>
      </c>
      <c r="C95" s="263" t="s">
        <v>11032</v>
      </c>
      <c r="D95" s="255" t="s">
        <v>11022</v>
      </c>
      <c r="E95" s="264" t="s">
        <v>11023</v>
      </c>
      <c r="F95" s="255" t="s">
        <v>11033</v>
      </c>
      <c r="G95" s="255" t="s">
        <v>11034</v>
      </c>
      <c r="H95" s="255" t="s">
        <v>11035</v>
      </c>
      <c r="I95" s="264" t="s">
        <v>11027</v>
      </c>
      <c r="J95" s="255" t="s">
        <v>11028</v>
      </c>
      <c r="K95" s="265" t="s">
        <v>11029</v>
      </c>
      <c r="L95" s="253" t="s">
        <v>10709</v>
      </c>
      <c r="M95" s="6" t="s">
        <v>5627</v>
      </c>
      <c r="N95" s="30" t="s">
        <v>809</v>
      </c>
      <c r="O95" s="30" t="s">
        <v>11030</v>
      </c>
      <c r="P95" s="30" t="s">
        <v>10898</v>
      </c>
      <c r="Q95" s="253" t="s">
        <v>8373</v>
      </c>
    </row>
    <row r="96" customFormat="false" ht="51.75" hidden="false" customHeight="true" outlineLevel="0" collapsed="false">
      <c r="A96" s="255" t="s">
        <v>11036</v>
      </c>
      <c r="B96" s="255" t="s">
        <v>7466</v>
      </c>
      <c r="C96" s="263" t="s">
        <v>11037</v>
      </c>
      <c r="D96" s="255" t="s">
        <v>11038</v>
      </c>
      <c r="E96" s="264" t="s">
        <v>11023</v>
      </c>
      <c r="F96" s="255" t="s">
        <v>11039</v>
      </c>
      <c r="G96" s="255" t="s">
        <v>11040</v>
      </c>
      <c r="H96" s="255" t="s">
        <v>11041</v>
      </c>
      <c r="I96" s="264" t="s">
        <v>11027</v>
      </c>
      <c r="J96" s="255" t="s">
        <v>11028</v>
      </c>
      <c r="K96" s="265" t="s">
        <v>11042</v>
      </c>
      <c r="L96" s="253" t="s">
        <v>10709</v>
      </c>
      <c r="M96" s="6" t="s">
        <v>5631</v>
      </c>
      <c r="N96" s="30" t="s">
        <v>809</v>
      </c>
      <c r="O96" s="30" t="s">
        <v>11030</v>
      </c>
      <c r="P96" s="30" t="s">
        <v>10898</v>
      </c>
      <c r="Q96" s="253" t="s">
        <v>8373</v>
      </c>
    </row>
    <row r="97" customFormat="false" ht="51.75" hidden="false" customHeight="true" outlineLevel="0" collapsed="false">
      <c r="A97" s="255" t="s">
        <v>11043</v>
      </c>
      <c r="B97" s="255" t="s">
        <v>7466</v>
      </c>
      <c r="C97" s="263" t="s">
        <v>11044</v>
      </c>
      <c r="D97" s="255" t="s">
        <v>11038</v>
      </c>
      <c r="E97" s="264" t="s">
        <v>11023</v>
      </c>
      <c r="F97" s="255" t="s">
        <v>11045</v>
      </c>
      <c r="G97" s="255" t="s">
        <v>11046</v>
      </c>
      <c r="H97" s="255" t="s">
        <v>11047</v>
      </c>
      <c r="I97" s="264" t="s">
        <v>11027</v>
      </c>
      <c r="J97" s="255" t="s">
        <v>11028</v>
      </c>
      <c r="K97" s="265" t="s">
        <v>11048</v>
      </c>
      <c r="L97" s="253" t="s">
        <v>10709</v>
      </c>
      <c r="M97" s="6" t="s">
        <v>5635</v>
      </c>
      <c r="N97" s="30" t="s">
        <v>809</v>
      </c>
      <c r="O97" s="30" t="s">
        <v>11030</v>
      </c>
      <c r="P97" s="30" t="s">
        <v>10898</v>
      </c>
      <c r="Q97" s="253" t="s">
        <v>8373</v>
      </c>
    </row>
    <row r="98" customFormat="false" ht="51.75" hidden="false" customHeight="true" outlineLevel="0" collapsed="false">
      <c r="A98" s="255" t="s">
        <v>11049</v>
      </c>
      <c r="B98" s="255" t="s">
        <v>7466</v>
      </c>
      <c r="C98" s="263" t="s">
        <v>11050</v>
      </c>
      <c r="D98" s="255" t="s">
        <v>11038</v>
      </c>
      <c r="E98" s="264" t="s">
        <v>11023</v>
      </c>
      <c r="F98" s="255" t="s">
        <v>11051</v>
      </c>
      <c r="G98" s="255" t="s">
        <v>11052</v>
      </c>
      <c r="H98" s="255" t="s">
        <v>11053</v>
      </c>
      <c r="I98" s="264" t="s">
        <v>11027</v>
      </c>
      <c r="J98" s="255" t="s">
        <v>11028</v>
      </c>
      <c r="K98" s="265" t="s">
        <v>11054</v>
      </c>
      <c r="L98" s="253" t="s">
        <v>10709</v>
      </c>
      <c r="M98" s="6" t="s">
        <v>5638</v>
      </c>
      <c r="N98" s="30" t="s">
        <v>809</v>
      </c>
      <c r="O98" s="30" t="s">
        <v>11030</v>
      </c>
      <c r="P98" s="30" t="s">
        <v>10898</v>
      </c>
      <c r="Q98" s="253" t="s">
        <v>8373</v>
      </c>
    </row>
    <row r="99" customFormat="false" ht="39" hidden="false" customHeight="true" outlineLevel="0" collapsed="false">
      <c r="A99" s="255" t="s">
        <v>11055</v>
      </c>
      <c r="B99" s="255" t="s">
        <v>7466</v>
      </c>
      <c r="C99" s="263" t="s">
        <v>11056</v>
      </c>
      <c r="D99" s="255" t="s">
        <v>9123</v>
      </c>
      <c r="E99" s="264" t="s">
        <v>11023</v>
      </c>
      <c r="F99" s="255" t="s">
        <v>11057</v>
      </c>
      <c r="G99" s="255" t="s">
        <v>11058</v>
      </c>
      <c r="H99" s="255" t="s">
        <v>11059</v>
      </c>
      <c r="I99" s="264" t="s">
        <v>11027</v>
      </c>
      <c r="J99" s="255" t="s">
        <v>11028</v>
      </c>
      <c r="K99" s="265" t="s">
        <v>11060</v>
      </c>
      <c r="L99" s="253" t="s">
        <v>10709</v>
      </c>
      <c r="M99" s="6" t="s">
        <v>5640</v>
      </c>
      <c r="N99" s="30" t="s">
        <v>809</v>
      </c>
      <c r="O99" s="30" t="s">
        <v>11030</v>
      </c>
      <c r="P99" s="30" t="s">
        <v>10898</v>
      </c>
      <c r="Q99" s="253" t="s">
        <v>8373</v>
      </c>
    </row>
    <row r="100" customFormat="false" ht="51.75" hidden="false" customHeight="true" outlineLevel="0" collapsed="false">
      <c r="A100" s="255" t="s">
        <v>11061</v>
      </c>
      <c r="B100" s="255" t="s">
        <v>7466</v>
      </c>
      <c r="C100" s="263" t="s">
        <v>11062</v>
      </c>
      <c r="D100" s="255" t="s">
        <v>11038</v>
      </c>
      <c r="E100" s="264" t="s">
        <v>11023</v>
      </c>
      <c r="F100" s="255" t="s">
        <v>11063</v>
      </c>
      <c r="G100" s="255" t="s">
        <v>11064</v>
      </c>
      <c r="H100" s="255" t="s">
        <v>11065</v>
      </c>
      <c r="I100" s="264" t="s">
        <v>11027</v>
      </c>
      <c r="J100" s="255" t="s">
        <v>11028</v>
      </c>
      <c r="K100" s="265" t="s">
        <v>11066</v>
      </c>
      <c r="L100" s="253" t="s">
        <v>10709</v>
      </c>
      <c r="M100" s="6" t="s">
        <v>5643</v>
      </c>
      <c r="N100" s="30" t="s">
        <v>809</v>
      </c>
      <c r="O100" s="30" t="s">
        <v>11030</v>
      </c>
      <c r="P100" s="30" t="s">
        <v>10898</v>
      </c>
      <c r="Q100" s="253" t="s">
        <v>8373</v>
      </c>
    </row>
    <row r="101" customFormat="false" ht="51.75" hidden="false" customHeight="true" outlineLevel="0" collapsed="false">
      <c r="A101" s="255" t="s">
        <v>11067</v>
      </c>
      <c r="B101" s="255" t="s">
        <v>7466</v>
      </c>
      <c r="C101" s="263" t="s">
        <v>11068</v>
      </c>
      <c r="D101" s="255" t="s">
        <v>11038</v>
      </c>
      <c r="E101" s="264" t="s">
        <v>11023</v>
      </c>
      <c r="F101" s="255" t="s">
        <v>11069</v>
      </c>
      <c r="G101" s="255" t="s">
        <v>11070</v>
      </c>
      <c r="H101" s="255" t="s">
        <v>11071</v>
      </c>
      <c r="I101" s="264" t="s">
        <v>11027</v>
      </c>
      <c r="J101" s="255" t="s">
        <v>11028</v>
      </c>
      <c r="K101" s="265" t="s">
        <v>11072</v>
      </c>
      <c r="L101" s="253" t="s">
        <v>10709</v>
      </c>
      <c r="M101" s="6" t="s">
        <v>5646</v>
      </c>
      <c r="N101" s="30" t="s">
        <v>809</v>
      </c>
      <c r="O101" s="30" t="s">
        <v>11030</v>
      </c>
      <c r="P101" s="30" t="s">
        <v>10898</v>
      </c>
      <c r="Q101" s="253" t="s">
        <v>8373</v>
      </c>
    </row>
    <row r="102" customFormat="false" ht="51.75" hidden="false" customHeight="true" outlineLevel="0" collapsed="false">
      <c r="A102" s="255" t="s">
        <v>11073</v>
      </c>
      <c r="B102" s="255" t="s">
        <v>7466</v>
      </c>
      <c r="C102" s="263" t="s">
        <v>11074</v>
      </c>
      <c r="D102" s="255" t="s">
        <v>11038</v>
      </c>
      <c r="E102" s="264" t="s">
        <v>11023</v>
      </c>
      <c r="F102" s="255" t="s">
        <v>11075</v>
      </c>
      <c r="G102" s="255" t="s">
        <v>11076</v>
      </c>
      <c r="H102" s="255" t="s">
        <v>11077</v>
      </c>
      <c r="I102" s="264" t="s">
        <v>11027</v>
      </c>
      <c r="J102" s="255" t="s">
        <v>11028</v>
      </c>
      <c r="K102" s="265" t="s">
        <v>11078</v>
      </c>
      <c r="L102" s="253" t="s">
        <v>10709</v>
      </c>
      <c r="M102" s="6" t="s">
        <v>5649</v>
      </c>
      <c r="N102" s="30" t="s">
        <v>809</v>
      </c>
      <c r="O102" s="30" t="s">
        <v>11030</v>
      </c>
      <c r="P102" s="30" t="s">
        <v>10898</v>
      </c>
      <c r="Q102" s="253" t="s">
        <v>8373</v>
      </c>
    </row>
    <row r="103" customFormat="false" ht="39" hidden="false" customHeight="true" outlineLevel="0" collapsed="false">
      <c r="A103" s="255" t="s">
        <v>11079</v>
      </c>
      <c r="B103" s="255" t="s">
        <v>7466</v>
      </c>
      <c r="C103" s="263" t="s">
        <v>11080</v>
      </c>
      <c r="D103" s="255" t="s">
        <v>11038</v>
      </c>
      <c r="E103" s="264" t="s">
        <v>11023</v>
      </c>
      <c r="F103" s="255" t="s">
        <v>11081</v>
      </c>
      <c r="G103" s="255" t="s">
        <v>11082</v>
      </c>
      <c r="H103" s="255" t="s">
        <v>11083</v>
      </c>
      <c r="I103" s="264" t="s">
        <v>11027</v>
      </c>
      <c r="J103" s="255" t="s">
        <v>11028</v>
      </c>
      <c r="K103" s="265" t="s">
        <v>11084</v>
      </c>
      <c r="L103" s="253" t="s">
        <v>10709</v>
      </c>
      <c r="M103" s="6" t="s">
        <v>5656</v>
      </c>
      <c r="N103" s="30" t="s">
        <v>809</v>
      </c>
      <c r="O103" s="30" t="s">
        <v>11030</v>
      </c>
      <c r="P103" s="30" t="s">
        <v>10898</v>
      </c>
      <c r="Q103" s="253" t="s">
        <v>8373</v>
      </c>
    </row>
    <row r="104" customFormat="false" ht="51.75" hidden="false" customHeight="true" outlineLevel="0" collapsed="false">
      <c r="A104" s="255" t="s">
        <v>11085</v>
      </c>
      <c r="B104" s="255" t="s">
        <v>7466</v>
      </c>
      <c r="C104" s="263" t="s">
        <v>11086</v>
      </c>
      <c r="D104" s="255" t="s">
        <v>11038</v>
      </c>
      <c r="E104" s="264" t="s">
        <v>11023</v>
      </c>
      <c r="F104" s="255" t="s">
        <v>11087</v>
      </c>
      <c r="G104" s="255" t="s">
        <v>11088</v>
      </c>
      <c r="H104" s="255" t="s">
        <v>11089</v>
      </c>
      <c r="I104" s="264" t="s">
        <v>11027</v>
      </c>
      <c r="J104" s="255" t="s">
        <v>11028</v>
      </c>
      <c r="K104" s="265" t="s">
        <v>11090</v>
      </c>
      <c r="L104" s="253" t="s">
        <v>10709</v>
      </c>
      <c r="M104" s="6" t="s">
        <v>5659</v>
      </c>
      <c r="N104" s="30" t="s">
        <v>809</v>
      </c>
      <c r="O104" s="30" t="s">
        <v>11030</v>
      </c>
      <c r="P104" s="30" t="s">
        <v>10898</v>
      </c>
      <c r="Q104" s="253" t="s">
        <v>8373</v>
      </c>
    </row>
    <row r="105" customFormat="false" ht="64.5" hidden="false" customHeight="true" outlineLevel="0" collapsed="false">
      <c r="A105" s="255" t="s">
        <v>11091</v>
      </c>
      <c r="B105" s="255" t="s">
        <v>7466</v>
      </c>
      <c r="C105" s="263" t="s">
        <v>11092</v>
      </c>
      <c r="D105" s="255" t="s">
        <v>11093</v>
      </c>
      <c r="E105" s="264" t="s">
        <v>11023</v>
      </c>
      <c r="F105" s="255" t="s">
        <v>11094</v>
      </c>
      <c r="G105" s="255" t="s">
        <v>11095</v>
      </c>
      <c r="H105" s="264" t="s">
        <v>11096</v>
      </c>
      <c r="I105" s="264" t="s">
        <v>11027</v>
      </c>
      <c r="J105" s="255" t="s">
        <v>11028</v>
      </c>
      <c r="K105" s="265" t="s">
        <v>11097</v>
      </c>
      <c r="L105" s="253" t="s">
        <v>10709</v>
      </c>
      <c r="M105" s="6" t="s">
        <v>5368</v>
      </c>
      <c r="N105" s="30" t="s">
        <v>809</v>
      </c>
      <c r="O105" s="30" t="s">
        <v>11030</v>
      </c>
      <c r="P105" s="30" t="s">
        <v>10898</v>
      </c>
      <c r="Q105" s="253" t="s">
        <v>8373</v>
      </c>
    </row>
    <row r="106" customFormat="false" ht="50.25" hidden="false" customHeight="true" outlineLevel="0" collapsed="false">
      <c r="A106" s="255" t="s">
        <v>11098</v>
      </c>
      <c r="B106" s="255" t="s">
        <v>7466</v>
      </c>
      <c r="C106" s="263" t="s">
        <v>11099</v>
      </c>
      <c r="D106" s="255" t="s">
        <v>11100</v>
      </c>
      <c r="E106" s="264" t="s">
        <v>11023</v>
      </c>
      <c r="F106" s="255" t="s">
        <v>11101</v>
      </c>
      <c r="G106" s="255" t="s">
        <v>11102</v>
      </c>
      <c r="H106" s="255" t="s">
        <v>11103</v>
      </c>
      <c r="I106" s="264" t="s">
        <v>11027</v>
      </c>
      <c r="J106" s="255" t="s">
        <v>11028</v>
      </c>
      <c r="K106" s="265" t="s">
        <v>11104</v>
      </c>
      <c r="L106" s="253" t="s">
        <v>10709</v>
      </c>
      <c r="M106" s="6" t="s">
        <v>5448</v>
      </c>
      <c r="N106" s="30" t="s">
        <v>809</v>
      </c>
      <c r="O106" s="30" t="s">
        <v>11030</v>
      </c>
      <c r="P106" s="30" t="s">
        <v>10898</v>
      </c>
      <c r="Q106" s="253" t="s">
        <v>8373</v>
      </c>
    </row>
    <row r="107" customFormat="false" ht="51.75" hidden="false" customHeight="true" outlineLevel="0" collapsed="false">
      <c r="A107" s="255" t="s">
        <v>11105</v>
      </c>
      <c r="B107" s="255" t="s">
        <v>7466</v>
      </c>
      <c r="C107" s="263" t="s">
        <v>11106</v>
      </c>
      <c r="D107" s="255" t="s">
        <v>11107</v>
      </c>
      <c r="E107" s="264" t="s">
        <v>11023</v>
      </c>
      <c r="F107" s="255" t="s">
        <v>11108</v>
      </c>
      <c r="G107" s="255" t="s">
        <v>11109</v>
      </c>
      <c r="H107" s="255" t="s">
        <v>11110</v>
      </c>
      <c r="I107" s="264" t="s">
        <v>11027</v>
      </c>
      <c r="J107" s="255" t="s">
        <v>11028</v>
      </c>
      <c r="K107" s="265" t="s">
        <v>11111</v>
      </c>
      <c r="L107" s="253" t="s">
        <v>10709</v>
      </c>
      <c r="M107" s="6" t="s">
        <v>5450</v>
      </c>
      <c r="N107" s="30" t="s">
        <v>809</v>
      </c>
      <c r="O107" s="30" t="s">
        <v>11030</v>
      </c>
      <c r="P107" s="30" t="s">
        <v>10898</v>
      </c>
      <c r="Q107" s="253" t="s">
        <v>8373</v>
      </c>
    </row>
    <row r="108" customFormat="false" ht="77.25" hidden="false" customHeight="true" outlineLevel="0" collapsed="false">
      <c r="A108" s="255" t="s">
        <v>11112</v>
      </c>
      <c r="B108" s="255" t="s">
        <v>7466</v>
      </c>
      <c r="C108" s="263" t="s">
        <v>11113</v>
      </c>
      <c r="D108" s="255" t="s">
        <v>11114</v>
      </c>
      <c r="E108" s="264" t="s">
        <v>11023</v>
      </c>
      <c r="F108" s="255" t="s">
        <v>11115</v>
      </c>
      <c r="G108" s="255" t="s">
        <v>11116</v>
      </c>
      <c r="H108" s="255" t="s">
        <v>11117</v>
      </c>
      <c r="I108" s="264" t="s">
        <v>11027</v>
      </c>
      <c r="J108" s="255" t="s">
        <v>11028</v>
      </c>
      <c r="K108" s="265" t="s">
        <v>11118</v>
      </c>
      <c r="L108" s="253" t="s">
        <v>10709</v>
      </c>
      <c r="M108" s="6" t="s">
        <v>5444</v>
      </c>
      <c r="N108" s="30" t="s">
        <v>809</v>
      </c>
      <c r="O108" s="30" t="s">
        <v>11030</v>
      </c>
      <c r="P108" s="30" t="s">
        <v>10898</v>
      </c>
      <c r="Q108" s="253" t="s">
        <v>8373</v>
      </c>
    </row>
    <row r="109" customFormat="false" ht="50.25" hidden="false" customHeight="true" outlineLevel="0" collapsed="false">
      <c r="A109" s="255" t="s">
        <v>11119</v>
      </c>
      <c r="B109" s="255" t="s">
        <v>7466</v>
      </c>
      <c r="C109" s="263" t="s">
        <v>11120</v>
      </c>
      <c r="D109" s="255" t="s">
        <v>11100</v>
      </c>
      <c r="E109" s="264" t="s">
        <v>11023</v>
      </c>
      <c r="F109" s="255" t="s">
        <v>11121</v>
      </c>
      <c r="G109" s="255" t="s">
        <v>11122</v>
      </c>
      <c r="H109" s="255" t="s">
        <v>11123</v>
      </c>
      <c r="I109" s="264" t="s">
        <v>11027</v>
      </c>
      <c r="J109" s="255" t="s">
        <v>11028</v>
      </c>
      <c r="K109" s="265" t="s">
        <v>11124</v>
      </c>
      <c r="L109" s="253" t="s">
        <v>10709</v>
      </c>
      <c r="M109" s="6" t="s">
        <v>5599</v>
      </c>
      <c r="N109" s="30" t="s">
        <v>809</v>
      </c>
      <c r="O109" s="30" t="s">
        <v>11030</v>
      </c>
      <c r="P109" s="30" t="s">
        <v>10898</v>
      </c>
      <c r="Q109" s="253" t="s">
        <v>8373</v>
      </c>
    </row>
    <row r="110" customFormat="false" ht="64.5" hidden="false" customHeight="true" outlineLevel="0" collapsed="false">
      <c r="A110" s="255" t="s">
        <v>6981</v>
      </c>
      <c r="B110" s="255" t="s">
        <v>7466</v>
      </c>
      <c r="C110" s="263" t="s">
        <v>11125</v>
      </c>
      <c r="D110" s="255" t="s">
        <v>11126</v>
      </c>
      <c r="E110" s="264" t="s">
        <v>11023</v>
      </c>
      <c r="F110" s="255" t="s">
        <v>11127</v>
      </c>
      <c r="G110" s="255" t="s">
        <v>11128</v>
      </c>
      <c r="H110" s="255" t="s">
        <v>11129</v>
      </c>
      <c r="I110" s="264" t="s">
        <v>11027</v>
      </c>
      <c r="J110" s="255" t="s">
        <v>11028</v>
      </c>
      <c r="K110" s="265" t="s">
        <v>11130</v>
      </c>
      <c r="L110" s="253" t="s">
        <v>10709</v>
      </c>
      <c r="M110" s="6" t="s">
        <v>5350</v>
      </c>
      <c r="N110" s="30" t="s">
        <v>809</v>
      </c>
      <c r="O110" s="30" t="s">
        <v>11030</v>
      </c>
      <c r="P110" s="30" t="s">
        <v>10898</v>
      </c>
      <c r="Q110" s="253" t="s">
        <v>8373</v>
      </c>
    </row>
    <row r="111" customFormat="false" ht="77.25" hidden="false" customHeight="true" outlineLevel="0" collapsed="false">
      <c r="A111" s="255" t="s">
        <v>11131</v>
      </c>
      <c r="B111" s="255" t="s">
        <v>7466</v>
      </c>
      <c r="C111" s="263" t="s">
        <v>11132</v>
      </c>
      <c r="D111" s="255" t="s">
        <v>11133</v>
      </c>
      <c r="E111" s="264" t="s">
        <v>11023</v>
      </c>
      <c r="F111" s="264" t="s">
        <v>11134</v>
      </c>
      <c r="G111" s="264" t="s">
        <v>11135</v>
      </c>
      <c r="H111" s="255" t="s">
        <v>11136</v>
      </c>
      <c r="I111" s="264" t="s">
        <v>11027</v>
      </c>
      <c r="J111" s="255" t="s">
        <v>11028</v>
      </c>
      <c r="K111" s="265" t="s">
        <v>11137</v>
      </c>
      <c r="L111" s="253" t="s">
        <v>10709</v>
      </c>
      <c r="M111" s="6" t="s">
        <v>6498</v>
      </c>
      <c r="N111" s="30" t="s">
        <v>809</v>
      </c>
      <c r="O111" s="30" t="s">
        <v>11030</v>
      </c>
      <c r="P111" s="30" t="s">
        <v>10898</v>
      </c>
      <c r="Q111" s="253" t="s">
        <v>8373</v>
      </c>
    </row>
    <row r="112" customFormat="false" ht="39" hidden="false" customHeight="true" outlineLevel="0" collapsed="false">
      <c r="A112" s="255" t="s">
        <v>11138</v>
      </c>
      <c r="B112" s="255" t="s">
        <v>7466</v>
      </c>
      <c r="C112" s="263" t="s">
        <v>11139</v>
      </c>
      <c r="D112" s="255" t="s">
        <v>11133</v>
      </c>
      <c r="E112" s="264" t="s">
        <v>11023</v>
      </c>
      <c r="F112" s="255" t="s">
        <v>11140</v>
      </c>
      <c r="G112" s="255" t="s">
        <v>11141</v>
      </c>
      <c r="H112" s="264" t="s">
        <v>11142</v>
      </c>
      <c r="I112" s="264" t="s">
        <v>11027</v>
      </c>
      <c r="J112" s="255" t="s">
        <v>11028</v>
      </c>
      <c r="K112" s="265" t="s">
        <v>11143</v>
      </c>
      <c r="L112" s="253" t="s">
        <v>10709</v>
      </c>
      <c r="M112" s="6" t="s">
        <v>6503</v>
      </c>
      <c r="N112" s="30" t="s">
        <v>809</v>
      </c>
      <c r="O112" s="30" t="s">
        <v>11030</v>
      </c>
      <c r="P112" s="30" t="s">
        <v>10898</v>
      </c>
      <c r="Q112" s="253" t="s">
        <v>8373</v>
      </c>
    </row>
    <row r="113" customFormat="false" ht="77.25" hidden="false" customHeight="true" outlineLevel="0" collapsed="false">
      <c r="A113" s="255" t="s">
        <v>11144</v>
      </c>
      <c r="B113" s="255" t="s">
        <v>7466</v>
      </c>
      <c r="C113" s="263" t="s">
        <v>11145</v>
      </c>
      <c r="D113" s="255" t="s">
        <v>11146</v>
      </c>
      <c r="E113" s="264" t="s">
        <v>11023</v>
      </c>
      <c r="F113" s="255" t="s">
        <v>11147</v>
      </c>
      <c r="G113" s="255" t="s">
        <v>11148</v>
      </c>
      <c r="H113" s="255" t="s">
        <v>11148</v>
      </c>
      <c r="I113" s="264" t="s">
        <v>11027</v>
      </c>
      <c r="J113" s="255" t="s">
        <v>11028</v>
      </c>
      <c r="K113" s="265" t="s">
        <v>11149</v>
      </c>
      <c r="L113" s="253" t="s">
        <v>10709</v>
      </c>
      <c r="M113" s="6" t="s">
        <v>9857</v>
      </c>
      <c r="N113" s="30" t="s">
        <v>809</v>
      </c>
      <c r="O113" s="30" t="s">
        <v>11030</v>
      </c>
      <c r="P113" s="30" t="s">
        <v>10898</v>
      </c>
      <c r="Q113" s="253" t="s">
        <v>8480</v>
      </c>
    </row>
    <row r="114" customFormat="false" ht="37.5" hidden="false" customHeight="true" outlineLevel="0" collapsed="false">
      <c r="A114" s="255" t="s">
        <v>11150</v>
      </c>
      <c r="B114" s="255" t="s">
        <v>7466</v>
      </c>
      <c r="C114" s="263" t="s">
        <v>11151</v>
      </c>
      <c r="D114" s="255" t="s">
        <v>11146</v>
      </c>
      <c r="E114" s="264" t="s">
        <v>11023</v>
      </c>
      <c r="F114" s="255" t="s">
        <v>11152</v>
      </c>
      <c r="G114" s="255" t="s">
        <v>11153</v>
      </c>
      <c r="H114" s="255" t="s">
        <v>11153</v>
      </c>
      <c r="I114" s="264" t="s">
        <v>11027</v>
      </c>
      <c r="J114" s="255" t="s">
        <v>11028</v>
      </c>
      <c r="K114" s="265" t="s">
        <v>11154</v>
      </c>
      <c r="L114" s="253" t="s">
        <v>10709</v>
      </c>
      <c r="M114" s="6" t="s">
        <v>9872</v>
      </c>
      <c r="N114" s="30" t="s">
        <v>809</v>
      </c>
      <c r="O114" s="30" t="s">
        <v>11030</v>
      </c>
      <c r="P114" s="30" t="s">
        <v>10898</v>
      </c>
      <c r="Q114" s="253" t="s">
        <v>8480</v>
      </c>
    </row>
    <row r="115" customFormat="false" ht="51.75" hidden="false" customHeight="true" outlineLevel="0" collapsed="false">
      <c r="A115" s="255" t="s">
        <v>11155</v>
      </c>
      <c r="B115" s="255" t="s">
        <v>7466</v>
      </c>
      <c r="C115" s="265" t="s">
        <v>11156</v>
      </c>
      <c r="D115" s="255" t="s">
        <v>11157</v>
      </c>
      <c r="E115" s="264" t="s">
        <v>11023</v>
      </c>
      <c r="F115" s="255" t="s">
        <v>11158</v>
      </c>
      <c r="G115" s="264" t="s">
        <v>11159</v>
      </c>
      <c r="H115" s="255" t="s">
        <v>11160</v>
      </c>
      <c r="I115" s="264" t="s">
        <v>11027</v>
      </c>
      <c r="J115" s="255" t="s">
        <v>11028</v>
      </c>
      <c r="K115" s="265" t="s">
        <v>11161</v>
      </c>
      <c r="L115" s="253" t="s">
        <v>10709</v>
      </c>
      <c r="M115" s="6" t="s">
        <v>4122</v>
      </c>
      <c r="N115" s="30" t="s">
        <v>809</v>
      </c>
      <c r="O115" s="30" t="s">
        <v>11030</v>
      </c>
      <c r="P115" s="30" t="s">
        <v>10898</v>
      </c>
      <c r="Q115" s="253" t="s">
        <v>8480</v>
      </c>
    </row>
    <row r="116" customFormat="false" ht="64.5" hidden="false" customHeight="true" outlineLevel="0" collapsed="false">
      <c r="A116" s="255" t="s">
        <v>11162</v>
      </c>
      <c r="B116" s="255" t="s">
        <v>7466</v>
      </c>
      <c r="C116" s="263" t="s">
        <v>11163</v>
      </c>
      <c r="D116" s="255" t="s">
        <v>11164</v>
      </c>
      <c r="E116" s="264" t="s">
        <v>11023</v>
      </c>
      <c r="F116" s="264" t="s">
        <v>11165</v>
      </c>
      <c r="G116" s="255" t="s">
        <v>11166</v>
      </c>
      <c r="H116" s="255" t="s">
        <v>11167</v>
      </c>
      <c r="I116" s="264" t="s">
        <v>11168</v>
      </c>
      <c r="J116" s="255" t="s">
        <v>11028</v>
      </c>
      <c r="K116" s="265" t="s">
        <v>11169</v>
      </c>
      <c r="L116" s="253" t="s">
        <v>10709</v>
      </c>
      <c r="M116" s="6" t="s">
        <v>6918</v>
      </c>
      <c r="N116" s="30" t="s">
        <v>809</v>
      </c>
      <c r="O116" s="30" t="s">
        <v>11030</v>
      </c>
      <c r="P116" s="30" t="s">
        <v>10898</v>
      </c>
      <c r="Q116" s="30" t="s">
        <v>241</v>
      </c>
    </row>
    <row r="117" customFormat="false" ht="77.25" hidden="false" customHeight="true" outlineLevel="0" collapsed="false">
      <c r="A117" s="255" t="s">
        <v>11170</v>
      </c>
      <c r="B117" s="255" t="s">
        <v>7466</v>
      </c>
      <c r="C117" s="263" t="s">
        <v>11171</v>
      </c>
      <c r="D117" s="255" t="s">
        <v>11172</v>
      </c>
      <c r="E117" s="264" t="s">
        <v>11023</v>
      </c>
      <c r="F117" s="255" t="s">
        <v>11173</v>
      </c>
      <c r="G117" s="255" t="s">
        <v>11174</v>
      </c>
      <c r="H117" s="255" t="s">
        <v>11175</v>
      </c>
      <c r="I117" s="264" t="s">
        <v>11176</v>
      </c>
      <c r="J117" s="255" t="s">
        <v>11028</v>
      </c>
      <c r="K117" s="265" t="s">
        <v>11177</v>
      </c>
      <c r="L117" s="253" t="s">
        <v>10709</v>
      </c>
      <c r="M117" s="6" t="s">
        <v>5379</v>
      </c>
      <c r="N117" s="30" t="s">
        <v>809</v>
      </c>
      <c r="O117" s="30" t="s">
        <v>11178</v>
      </c>
      <c r="P117" s="30" t="s">
        <v>10898</v>
      </c>
      <c r="Q117" s="253" t="s">
        <v>8373</v>
      </c>
    </row>
    <row r="118" customFormat="false" ht="64.5" hidden="false" customHeight="true" outlineLevel="0" collapsed="false">
      <c r="A118" s="255" t="s">
        <v>8713</v>
      </c>
      <c r="B118" s="255" t="s">
        <v>7466</v>
      </c>
      <c r="C118" s="263" t="s">
        <v>11179</v>
      </c>
      <c r="D118" s="255" t="s">
        <v>11180</v>
      </c>
      <c r="E118" s="264" t="s">
        <v>11023</v>
      </c>
      <c r="F118" s="264" t="s">
        <v>8714</v>
      </c>
      <c r="G118" s="255" t="s">
        <v>809</v>
      </c>
      <c r="H118" s="255" t="s">
        <v>11181</v>
      </c>
      <c r="I118" s="264" t="s">
        <v>11182</v>
      </c>
      <c r="J118" s="255" t="s">
        <v>11028</v>
      </c>
      <c r="K118" s="265" t="s">
        <v>11183</v>
      </c>
      <c r="L118" s="253" t="s">
        <v>10709</v>
      </c>
      <c r="M118" s="6" t="s">
        <v>8708</v>
      </c>
      <c r="N118" s="30" t="s">
        <v>809</v>
      </c>
      <c r="O118" s="30" t="s">
        <v>809</v>
      </c>
      <c r="P118" s="30" t="s">
        <v>10898</v>
      </c>
      <c r="Q118" s="253" t="s">
        <v>8373</v>
      </c>
    </row>
    <row r="119" customFormat="false" ht="64.5" hidden="false" customHeight="true" outlineLevel="0" collapsed="false">
      <c r="A119" s="255" t="s">
        <v>11184</v>
      </c>
      <c r="B119" s="255" t="s">
        <v>7466</v>
      </c>
      <c r="C119" s="263" t="s">
        <v>11185</v>
      </c>
      <c r="D119" s="255" t="s">
        <v>11186</v>
      </c>
      <c r="E119" s="264" t="s">
        <v>11023</v>
      </c>
      <c r="F119" s="255" t="s">
        <v>11187</v>
      </c>
      <c r="G119" s="255" t="s">
        <v>11188</v>
      </c>
      <c r="H119" s="255" t="s">
        <v>11189</v>
      </c>
      <c r="I119" s="264" t="s">
        <v>11190</v>
      </c>
      <c r="J119" s="255" t="s">
        <v>11028</v>
      </c>
      <c r="K119" s="265" t="s">
        <v>11191</v>
      </c>
      <c r="L119" s="253" t="s">
        <v>10709</v>
      </c>
      <c r="M119" s="6" t="s">
        <v>5358</v>
      </c>
      <c r="N119" s="30" t="s">
        <v>809</v>
      </c>
      <c r="O119" s="30" t="s">
        <v>11192</v>
      </c>
      <c r="P119" s="30" t="s">
        <v>10898</v>
      </c>
      <c r="Q119" s="253" t="s">
        <v>8373</v>
      </c>
    </row>
    <row r="120" customFormat="false" ht="64.5" hidden="false" customHeight="true" outlineLevel="0" collapsed="false">
      <c r="A120" s="255" t="s">
        <v>11193</v>
      </c>
      <c r="B120" s="255" t="s">
        <v>7486</v>
      </c>
      <c r="C120" s="263" t="s">
        <v>11194</v>
      </c>
      <c r="D120" s="255" t="s">
        <v>11195</v>
      </c>
      <c r="E120" s="264" t="s">
        <v>11196</v>
      </c>
      <c r="F120" s="255" t="s">
        <v>11197</v>
      </c>
      <c r="G120" s="255" t="s">
        <v>11198</v>
      </c>
      <c r="H120" s="264" t="s">
        <v>11199</v>
      </c>
      <c r="I120" s="264" t="s">
        <v>11200</v>
      </c>
      <c r="J120" s="255" t="s">
        <v>11028</v>
      </c>
      <c r="K120" s="265" t="s">
        <v>11201</v>
      </c>
      <c r="L120" s="253" t="s">
        <v>10709</v>
      </c>
      <c r="M120" s="6" t="s">
        <v>5394</v>
      </c>
      <c r="N120" s="30" t="s">
        <v>809</v>
      </c>
      <c r="O120" s="30" t="s">
        <v>809</v>
      </c>
      <c r="P120" s="30" t="s">
        <v>10872</v>
      </c>
      <c r="Q120" s="253" t="s">
        <v>8373</v>
      </c>
    </row>
    <row r="121" customFormat="false" ht="64.5" hidden="false" customHeight="true" outlineLevel="0" collapsed="false">
      <c r="A121" s="255" t="s">
        <v>11202</v>
      </c>
      <c r="B121" s="255" t="s">
        <v>7466</v>
      </c>
      <c r="C121" s="263" t="s">
        <v>11203</v>
      </c>
      <c r="D121" s="264" t="s">
        <v>11204</v>
      </c>
      <c r="E121" s="264" t="s">
        <v>11196</v>
      </c>
      <c r="F121" s="255" t="s">
        <v>11205</v>
      </c>
      <c r="G121" s="255" t="s">
        <v>11198</v>
      </c>
      <c r="H121" s="264" t="s">
        <v>11206</v>
      </c>
      <c r="I121" s="264" t="s">
        <v>11207</v>
      </c>
      <c r="J121" s="255" t="s">
        <v>11028</v>
      </c>
      <c r="K121" s="265" t="s">
        <v>11208</v>
      </c>
      <c r="L121" s="253" t="s">
        <v>10709</v>
      </c>
      <c r="M121" s="6" t="s">
        <v>5394</v>
      </c>
      <c r="N121" s="30" t="s">
        <v>809</v>
      </c>
      <c r="O121" s="30" t="s">
        <v>11030</v>
      </c>
      <c r="P121" s="30" t="s">
        <v>10872</v>
      </c>
      <c r="Q121" s="253" t="s">
        <v>11209</v>
      </c>
    </row>
    <row r="122" customFormat="false" ht="90" hidden="false" customHeight="true" outlineLevel="0" collapsed="false">
      <c r="A122" s="255" t="s">
        <v>11210</v>
      </c>
      <c r="B122" s="255" t="s">
        <v>7466</v>
      </c>
      <c r="C122" s="263" t="s">
        <v>11211</v>
      </c>
      <c r="D122" s="255" t="s">
        <v>11212</v>
      </c>
      <c r="E122" s="264" t="s">
        <v>11196</v>
      </c>
      <c r="F122" s="255" t="s">
        <v>11213</v>
      </c>
      <c r="G122" s="255" t="s">
        <v>11214</v>
      </c>
      <c r="H122" s="264" t="s">
        <v>11215</v>
      </c>
      <c r="I122" s="264" t="s">
        <v>11207</v>
      </c>
      <c r="J122" s="255" t="s">
        <v>11028</v>
      </c>
      <c r="K122" s="265" t="s">
        <v>11216</v>
      </c>
      <c r="L122" s="253" t="s">
        <v>10709</v>
      </c>
      <c r="M122" s="6" t="s">
        <v>5360</v>
      </c>
      <c r="N122" s="30" t="s">
        <v>809</v>
      </c>
      <c r="O122" s="30" t="s">
        <v>11030</v>
      </c>
      <c r="P122" s="30" t="s">
        <v>10872</v>
      </c>
      <c r="Q122" s="30" t="s">
        <v>11217</v>
      </c>
    </row>
    <row r="123" customFormat="false" ht="90" hidden="false" customHeight="true" outlineLevel="0" collapsed="false">
      <c r="A123" s="255" t="s">
        <v>11218</v>
      </c>
      <c r="B123" s="255" t="s">
        <v>7466</v>
      </c>
      <c r="C123" s="263" t="s">
        <v>11219</v>
      </c>
      <c r="D123" s="255" t="s">
        <v>11220</v>
      </c>
      <c r="E123" s="264" t="s">
        <v>11196</v>
      </c>
      <c r="F123" s="255" t="s">
        <v>11221</v>
      </c>
      <c r="G123" s="255" t="s">
        <v>11222</v>
      </c>
      <c r="H123" s="264" t="s">
        <v>11223</v>
      </c>
      <c r="I123" s="264" t="s">
        <v>11207</v>
      </c>
      <c r="J123" s="255" t="s">
        <v>11028</v>
      </c>
      <c r="K123" s="265" t="s">
        <v>11224</v>
      </c>
      <c r="L123" s="253" t="s">
        <v>10709</v>
      </c>
      <c r="M123" s="6" t="s">
        <v>5398</v>
      </c>
      <c r="N123" s="30" t="s">
        <v>809</v>
      </c>
      <c r="O123" s="30" t="s">
        <v>11030</v>
      </c>
      <c r="P123" s="30" t="s">
        <v>10872</v>
      </c>
      <c r="Q123" s="30" t="s">
        <v>11225</v>
      </c>
    </row>
    <row r="124" customFormat="false" ht="101.25" hidden="false" customHeight="true" outlineLevel="0" collapsed="false">
      <c r="A124" s="255" t="s">
        <v>11226</v>
      </c>
      <c r="B124" s="255" t="s">
        <v>7466</v>
      </c>
      <c r="C124" s="263" t="s">
        <v>11227</v>
      </c>
      <c r="D124" s="255" t="s">
        <v>11212</v>
      </c>
      <c r="E124" s="264" t="s">
        <v>11196</v>
      </c>
      <c r="F124" s="255" t="s">
        <v>11228</v>
      </c>
      <c r="G124" s="255" t="s">
        <v>11229</v>
      </c>
      <c r="H124" s="264" t="s">
        <v>11230</v>
      </c>
      <c r="I124" s="264" t="s">
        <v>11207</v>
      </c>
      <c r="J124" s="255" t="s">
        <v>11028</v>
      </c>
      <c r="K124" s="265" t="s">
        <v>11231</v>
      </c>
      <c r="L124" s="253" t="s">
        <v>10709</v>
      </c>
      <c r="M124" s="6" t="s">
        <v>5434</v>
      </c>
      <c r="N124" s="30" t="s">
        <v>809</v>
      </c>
      <c r="O124" s="30" t="s">
        <v>11030</v>
      </c>
      <c r="P124" s="30" t="s">
        <v>10872</v>
      </c>
      <c r="Q124" s="30" t="s">
        <v>11232</v>
      </c>
    </row>
    <row r="125" customFormat="false" ht="115.5" hidden="false" customHeight="true" outlineLevel="0" collapsed="false">
      <c r="A125" s="255" t="s">
        <v>11233</v>
      </c>
      <c r="B125" s="255" t="s">
        <v>7466</v>
      </c>
      <c r="C125" s="263" t="s">
        <v>11234</v>
      </c>
      <c r="D125" s="255" t="s">
        <v>11235</v>
      </c>
      <c r="E125" s="264" t="s">
        <v>11196</v>
      </c>
      <c r="F125" s="255" t="s">
        <v>11236</v>
      </c>
      <c r="G125" s="255" t="s">
        <v>11237</v>
      </c>
      <c r="H125" s="264" t="s">
        <v>11238</v>
      </c>
      <c r="I125" s="264" t="s">
        <v>11207</v>
      </c>
      <c r="J125" s="255" t="s">
        <v>11028</v>
      </c>
      <c r="K125" s="265" t="s">
        <v>11239</v>
      </c>
      <c r="L125" s="253" t="s">
        <v>10709</v>
      </c>
      <c r="M125" s="6" t="s">
        <v>5405</v>
      </c>
      <c r="N125" s="30" t="s">
        <v>809</v>
      </c>
      <c r="O125" s="30" t="s">
        <v>11030</v>
      </c>
      <c r="P125" s="30" t="s">
        <v>10872</v>
      </c>
      <c r="Q125" s="30" t="s">
        <v>11240</v>
      </c>
    </row>
    <row r="126" customFormat="false" ht="115.5" hidden="false" customHeight="true" outlineLevel="0" collapsed="false">
      <c r="A126" s="255" t="s">
        <v>11241</v>
      </c>
      <c r="B126" s="255" t="s">
        <v>7466</v>
      </c>
      <c r="C126" s="263" t="s">
        <v>11242</v>
      </c>
      <c r="D126" s="255" t="s">
        <v>11243</v>
      </c>
      <c r="E126" s="264" t="s">
        <v>11196</v>
      </c>
      <c r="F126" s="255" t="s">
        <v>11244</v>
      </c>
      <c r="G126" s="255" t="s">
        <v>11245</v>
      </c>
      <c r="H126" s="264" t="s">
        <v>11246</v>
      </c>
      <c r="I126" s="264" t="s">
        <v>11247</v>
      </c>
      <c r="J126" s="255" t="s">
        <v>11028</v>
      </c>
      <c r="K126" s="265" t="s">
        <v>11248</v>
      </c>
      <c r="L126" s="253" t="s">
        <v>10709</v>
      </c>
      <c r="M126" s="6" t="s">
        <v>5887</v>
      </c>
      <c r="N126" s="30" t="s">
        <v>809</v>
      </c>
      <c r="O126" s="30" t="s">
        <v>11030</v>
      </c>
      <c r="P126" s="30" t="s">
        <v>10872</v>
      </c>
      <c r="Q126" s="253" t="s">
        <v>8373</v>
      </c>
    </row>
    <row r="127" customFormat="false" ht="115.5" hidden="false" customHeight="true" outlineLevel="0" collapsed="false">
      <c r="A127" s="255" t="s">
        <v>11249</v>
      </c>
      <c r="B127" s="255" t="s">
        <v>7466</v>
      </c>
      <c r="C127" s="263" t="s">
        <v>11250</v>
      </c>
      <c r="D127" s="255" t="s">
        <v>11243</v>
      </c>
      <c r="E127" s="264" t="s">
        <v>11196</v>
      </c>
      <c r="F127" s="255" t="s">
        <v>11251</v>
      </c>
      <c r="G127" s="255" t="s">
        <v>11252</v>
      </c>
      <c r="H127" s="264" t="s">
        <v>11253</v>
      </c>
      <c r="I127" s="264" t="s">
        <v>11247</v>
      </c>
      <c r="J127" s="255" t="s">
        <v>11028</v>
      </c>
      <c r="K127" s="265" t="s">
        <v>11254</v>
      </c>
      <c r="L127" s="253" t="s">
        <v>10709</v>
      </c>
      <c r="M127" s="6" t="s">
        <v>5896</v>
      </c>
      <c r="N127" s="30" t="s">
        <v>809</v>
      </c>
      <c r="O127" s="30" t="s">
        <v>11030</v>
      </c>
      <c r="P127" s="30" t="s">
        <v>10872</v>
      </c>
      <c r="Q127" s="253" t="s">
        <v>11255</v>
      </c>
    </row>
    <row r="128" customFormat="false" ht="77.25" hidden="false" customHeight="true" outlineLevel="0" collapsed="false">
      <c r="A128" s="255" t="s">
        <v>11256</v>
      </c>
      <c r="B128" s="255" t="s">
        <v>7466</v>
      </c>
      <c r="C128" s="263" t="s">
        <v>11257</v>
      </c>
      <c r="D128" s="255" t="s">
        <v>11258</v>
      </c>
      <c r="E128" s="264" t="s">
        <v>11196</v>
      </c>
      <c r="F128" s="255" t="s">
        <v>11259</v>
      </c>
      <c r="G128" s="255" t="s">
        <v>809</v>
      </c>
      <c r="H128" s="255" t="s">
        <v>11260</v>
      </c>
      <c r="I128" s="264" t="s">
        <v>11261</v>
      </c>
      <c r="J128" s="255" t="s">
        <v>11028</v>
      </c>
      <c r="K128" s="265" t="s">
        <v>11262</v>
      </c>
      <c r="L128" s="253" t="s">
        <v>10709</v>
      </c>
      <c r="M128" s="6" t="s">
        <v>11263</v>
      </c>
      <c r="N128" s="30" t="s">
        <v>809</v>
      </c>
      <c r="O128" s="30" t="s">
        <v>809</v>
      </c>
      <c r="P128" s="30" t="s">
        <v>10872</v>
      </c>
      <c r="Q128" s="253" t="s">
        <v>8373</v>
      </c>
      <c r="R128" s="245" t="s">
        <v>11264</v>
      </c>
    </row>
    <row r="129" customFormat="false" ht="64.5" hidden="false" customHeight="true" outlineLevel="0" collapsed="false">
      <c r="A129" s="255" t="s">
        <v>9125</v>
      </c>
      <c r="B129" s="255" t="s">
        <v>7466</v>
      </c>
      <c r="C129" s="263" t="s">
        <v>11265</v>
      </c>
      <c r="D129" s="255" t="s">
        <v>11266</v>
      </c>
      <c r="E129" s="264" t="s">
        <v>11023</v>
      </c>
      <c r="F129" s="255" t="s">
        <v>11267</v>
      </c>
      <c r="G129" s="255" t="s">
        <v>11268</v>
      </c>
      <c r="H129" s="255" t="s">
        <v>11269</v>
      </c>
      <c r="I129" s="264" t="s">
        <v>11270</v>
      </c>
      <c r="J129" s="255" t="s">
        <v>11028</v>
      </c>
      <c r="K129" s="265" t="s">
        <v>11271</v>
      </c>
      <c r="L129" s="253" t="s">
        <v>10709</v>
      </c>
      <c r="M129" s="6" t="s">
        <v>11272</v>
      </c>
      <c r="N129" s="30" t="s">
        <v>809</v>
      </c>
      <c r="O129" s="30" t="s">
        <v>11273</v>
      </c>
      <c r="P129" s="30" t="s">
        <v>10898</v>
      </c>
      <c r="Q129" s="253" t="s">
        <v>8373</v>
      </c>
    </row>
    <row r="130" customFormat="false" ht="112.5" hidden="false" customHeight="true" outlineLevel="0" collapsed="false">
      <c r="A130" s="255" t="s">
        <v>8691</v>
      </c>
      <c r="B130" s="255" t="s">
        <v>7466</v>
      </c>
      <c r="C130" s="263" t="s">
        <v>11274</v>
      </c>
      <c r="D130" s="255" t="s">
        <v>11275</v>
      </c>
      <c r="E130" s="264" t="s">
        <v>11023</v>
      </c>
      <c r="F130" s="255" t="s">
        <v>11276</v>
      </c>
      <c r="G130" s="255" t="s">
        <v>11277</v>
      </c>
      <c r="H130" s="255" t="s">
        <v>11278</v>
      </c>
      <c r="I130" s="264" t="s">
        <v>11279</v>
      </c>
      <c r="J130" s="255" t="s">
        <v>11028</v>
      </c>
      <c r="K130" s="265" t="s">
        <v>11280</v>
      </c>
      <c r="L130" s="253" t="s">
        <v>10709</v>
      </c>
      <c r="M130" s="6" t="s">
        <v>11281</v>
      </c>
      <c r="N130" s="30" t="s">
        <v>11282</v>
      </c>
      <c r="O130" s="30" t="s">
        <v>11283</v>
      </c>
      <c r="P130" s="30" t="s">
        <v>10898</v>
      </c>
      <c r="Q130" s="253" t="s">
        <v>8373</v>
      </c>
    </row>
    <row r="131" customFormat="false" ht="51.75" hidden="false" customHeight="true" outlineLevel="0" collapsed="false">
      <c r="A131" s="255" t="s">
        <v>8705</v>
      </c>
      <c r="B131" s="255" t="s">
        <v>7466</v>
      </c>
      <c r="C131" s="263" t="s">
        <v>11284</v>
      </c>
      <c r="D131" s="255" t="s">
        <v>11285</v>
      </c>
      <c r="E131" s="264" t="s">
        <v>11023</v>
      </c>
      <c r="F131" s="255" t="s">
        <v>11286</v>
      </c>
      <c r="G131" s="255" t="s">
        <v>809</v>
      </c>
      <c r="H131" s="255" t="s">
        <v>11287</v>
      </c>
      <c r="I131" s="264" t="s">
        <v>11288</v>
      </c>
      <c r="J131" s="255" t="s">
        <v>11028</v>
      </c>
      <c r="K131" s="265" t="s">
        <v>11289</v>
      </c>
      <c r="L131" s="253" t="s">
        <v>10709</v>
      </c>
      <c r="M131" s="6" t="s">
        <v>5452</v>
      </c>
      <c r="N131" s="30" t="s">
        <v>809</v>
      </c>
      <c r="O131" s="30" t="s">
        <v>11290</v>
      </c>
      <c r="P131" s="30" t="s">
        <v>10898</v>
      </c>
      <c r="Q131" s="253" t="s">
        <v>8373</v>
      </c>
    </row>
    <row r="132" customFormat="false" ht="64.5" hidden="false" customHeight="true" outlineLevel="0" collapsed="false">
      <c r="A132" s="255" t="s">
        <v>11291</v>
      </c>
      <c r="B132" s="255" t="s">
        <v>7466</v>
      </c>
      <c r="C132" s="263" t="s">
        <v>11292</v>
      </c>
      <c r="D132" s="255" t="s">
        <v>11293</v>
      </c>
      <c r="E132" s="264" t="s">
        <v>11023</v>
      </c>
      <c r="F132" s="255" t="s">
        <v>11294</v>
      </c>
      <c r="G132" s="255" t="s">
        <v>11295</v>
      </c>
      <c r="H132" s="264" t="s">
        <v>11296</v>
      </c>
      <c r="I132" s="264" t="s">
        <v>11297</v>
      </c>
      <c r="J132" s="255" t="s">
        <v>11028</v>
      </c>
      <c r="K132" s="265" t="s">
        <v>11298</v>
      </c>
      <c r="L132" s="253" t="s">
        <v>10709</v>
      </c>
      <c r="M132" s="6" t="s">
        <v>809</v>
      </c>
      <c r="N132" s="30" t="s">
        <v>809</v>
      </c>
      <c r="O132" s="253" t="s">
        <v>11299</v>
      </c>
      <c r="P132" s="30" t="s">
        <v>133</v>
      </c>
      <c r="Q132" s="253" t="s">
        <v>11300</v>
      </c>
    </row>
    <row r="133" customFormat="false" ht="39" hidden="false" customHeight="true" outlineLevel="0" collapsed="false">
      <c r="A133" s="255" t="s">
        <v>11301</v>
      </c>
      <c r="B133" s="255" t="s">
        <v>7466</v>
      </c>
      <c r="C133" s="263" t="s">
        <v>11302</v>
      </c>
      <c r="D133" s="255" t="s">
        <v>11293</v>
      </c>
      <c r="E133" s="264" t="s">
        <v>11023</v>
      </c>
      <c r="F133" s="255" t="s">
        <v>11303</v>
      </c>
      <c r="G133" s="255" t="s">
        <v>11304</v>
      </c>
      <c r="H133" s="264" t="s">
        <v>11296</v>
      </c>
      <c r="I133" s="264" t="s">
        <v>11297</v>
      </c>
      <c r="J133" s="255" t="s">
        <v>11028</v>
      </c>
      <c r="K133" s="265" t="s">
        <v>11305</v>
      </c>
      <c r="L133" s="253" t="s">
        <v>10709</v>
      </c>
      <c r="M133" s="6" t="s">
        <v>809</v>
      </c>
      <c r="N133" s="30" t="s">
        <v>809</v>
      </c>
      <c r="O133" s="253" t="s">
        <v>11299</v>
      </c>
      <c r="P133" s="30" t="s">
        <v>133</v>
      </c>
      <c r="Q133" s="253" t="s">
        <v>11300</v>
      </c>
    </row>
    <row r="134" customFormat="false" ht="51.75" hidden="false" customHeight="true" outlineLevel="0" collapsed="false">
      <c r="A134" s="255" t="s">
        <v>11306</v>
      </c>
      <c r="B134" s="255" t="s">
        <v>7466</v>
      </c>
      <c r="C134" s="263" t="s">
        <v>11307</v>
      </c>
      <c r="D134" s="255" t="s">
        <v>11308</v>
      </c>
      <c r="E134" s="264" t="s">
        <v>11023</v>
      </c>
      <c r="F134" s="255" t="s">
        <v>11309</v>
      </c>
      <c r="G134" s="255" t="s">
        <v>11310</v>
      </c>
      <c r="H134" s="255" t="s">
        <v>11311</v>
      </c>
      <c r="I134" s="264" t="s">
        <v>11312</v>
      </c>
      <c r="J134" s="255" t="s">
        <v>11028</v>
      </c>
      <c r="K134" s="265" t="s">
        <v>11313</v>
      </c>
      <c r="L134" s="253" t="s">
        <v>10709</v>
      </c>
      <c r="M134" s="6" t="s">
        <v>809</v>
      </c>
      <c r="N134" s="30" t="s">
        <v>809</v>
      </c>
      <c r="O134" s="30" t="s">
        <v>809</v>
      </c>
      <c r="P134" s="30" t="s">
        <v>133</v>
      </c>
      <c r="Q134" s="253" t="s">
        <v>8373</v>
      </c>
    </row>
    <row r="135" customFormat="false" ht="39" hidden="false" customHeight="true" outlineLevel="0" collapsed="false">
      <c r="A135" s="255" t="s">
        <v>11314</v>
      </c>
      <c r="B135" s="255" t="s">
        <v>7466</v>
      </c>
      <c r="C135" s="263" t="s">
        <v>11315</v>
      </c>
      <c r="D135" s="255" t="s">
        <v>11293</v>
      </c>
      <c r="E135" s="264" t="s">
        <v>11023</v>
      </c>
      <c r="F135" s="255" t="s">
        <v>11316</v>
      </c>
      <c r="G135" s="255" t="s">
        <v>11317</v>
      </c>
      <c r="H135" s="255" t="s">
        <v>11318</v>
      </c>
      <c r="I135" s="264" t="s">
        <v>11319</v>
      </c>
      <c r="J135" s="255" t="s">
        <v>11028</v>
      </c>
      <c r="K135" s="265" t="s">
        <v>11320</v>
      </c>
      <c r="L135" s="253" t="s">
        <v>10709</v>
      </c>
      <c r="M135" s="6" t="s">
        <v>809</v>
      </c>
      <c r="N135" s="30" t="s">
        <v>809</v>
      </c>
      <c r="O135" s="253" t="s">
        <v>11321</v>
      </c>
      <c r="P135" s="30" t="s">
        <v>133</v>
      </c>
      <c r="Q135" s="253" t="s">
        <v>11300</v>
      </c>
    </row>
    <row r="136" customFormat="false" ht="51.75" hidden="false" customHeight="true" outlineLevel="0" collapsed="false">
      <c r="A136" s="255" t="s">
        <v>11322</v>
      </c>
      <c r="B136" s="255" t="s">
        <v>7466</v>
      </c>
      <c r="C136" s="263" t="s">
        <v>11323</v>
      </c>
      <c r="D136" s="255" t="s">
        <v>11293</v>
      </c>
      <c r="E136" s="264" t="s">
        <v>11023</v>
      </c>
      <c r="F136" s="255" t="s">
        <v>11324</v>
      </c>
      <c r="G136" s="255" t="s">
        <v>11325</v>
      </c>
      <c r="H136" s="264" t="s">
        <v>11326</v>
      </c>
      <c r="I136" s="264" t="s">
        <v>11327</v>
      </c>
      <c r="J136" s="255" t="s">
        <v>11028</v>
      </c>
      <c r="K136" s="265" t="s">
        <v>11328</v>
      </c>
      <c r="L136" s="253" t="s">
        <v>10709</v>
      </c>
      <c r="M136" s="6" t="s">
        <v>809</v>
      </c>
      <c r="N136" s="30" t="s">
        <v>809</v>
      </c>
      <c r="O136" s="30" t="s">
        <v>809</v>
      </c>
      <c r="P136" s="30" t="s">
        <v>809</v>
      </c>
      <c r="Q136" s="253" t="s">
        <v>11300</v>
      </c>
    </row>
    <row r="137" customFormat="false" ht="51.75" hidden="false" customHeight="true" outlineLevel="0" collapsed="false">
      <c r="A137" s="255" t="s">
        <v>11329</v>
      </c>
      <c r="B137" s="255" t="s">
        <v>7466</v>
      </c>
      <c r="C137" s="263" t="s">
        <v>11330</v>
      </c>
      <c r="D137" s="255" t="s">
        <v>11331</v>
      </c>
      <c r="E137" s="264" t="s">
        <v>11023</v>
      </c>
      <c r="F137" s="255" t="s">
        <v>11332</v>
      </c>
      <c r="G137" s="255" t="s">
        <v>11333</v>
      </c>
      <c r="H137" s="255" t="s">
        <v>809</v>
      </c>
      <c r="I137" s="264" t="s">
        <v>11327</v>
      </c>
      <c r="J137" s="255" t="s">
        <v>11028</v>
      </c>
      <c r="K137" s="265" t="s">
        <v>11334</v>
      </c>
      <c r="L137" s="253" t="s">
        <v>10709</v>
      </c>
      <c r="M137" s="6" t="s">
        <v>809</v>
      </c>
      <c r="N137" s="30" t="s">
        <v>809</v>
      </c>
      <c r="O137" s="30" t="s">
        <v>809</v>
      </c>
      <c r="P137" s="30" t="s">
        <v>133</v>
      </c>
      <c r="Q137" s="253" t="s">
        <v>8373</v>
      </c>
    </row>
    <row r="138" customFormat="false" ht="26.25" hidden="false" customHeight="true" outlineLevel="0" collapsed="false">
      <c r="A138" s="255" t="s">
        <v>11335</v>
      </c>
      <c r="B138" s="255" t="s">
        <v>7466</v>
      </c>
      <c r="C138" s="263" t="s">
        <v>11336</v>
      </c>
      <c r="D138" s="255" t="s">
        <v>11337</v>
      </c>
      <c r="E138" s="264" t="s">
        <v>11338</v>
      </c>
      <c r="F138" s="255" t="s">
        <v>11339</v>
      </c>
      <c r="G138" s="255" t="s">
        <v>809</v>
      </c>
      <c r="H138" s="255" t="s">
        <v>809</v>
      </c>
      <c r="I138" s="264" t="s">
        <v>11340</v>
      </c>
      <c r="J138" s="255" t="s">
        <v>11028</v>
      </c>
      <c r="K138" s="265" t="s">
        <v>11341</v>
      </c>
      <c r="L138" s="253" t="s">
        <v>10709</v>
      </c>
      <c r="M138" s="6" t="s">
        <v>809</v>
      </c>
      <c r="N138" s="30" t="s">
        <v>809</v>
      </c>
      <c r="O138" s="30" t="s">
        <v>809</v>
      </c>
      <c r="P138" s="30" t="s">
        <v>10844</v>
      </c>
      <c r="Q138" s="253" t="s">
        <v>8373</v>
      </c>
    </row>
    <row r="139" customFormat="false" ht="51.75" hidden="false" customHeight="true" outlineLevel="0" collapsed="false">
      <c r="A139" s="255" t="s">
        <v>11342</v>
      </c>
      <c r="B139" s="255" t="s">
        <v>7466</v>
      </c>
      <c r="C139" s="263" t="s">
        <v>11343</v>
      </c>
      <c r="D139" s="255" t="s">
        <v>11344</v>
      </c>
      <c r="E139" s="264" t="s">
        <v>11345</v>
      </c>
      <c r="F139" s="255" t="s">
        <v>11346</v>
      </c>
      <c r="G139" s="255" t="s">
        <v>809</v>
      </c>
      <c r="H139" s="255" t="s">
        <v>809</v>
      </c>
      <c r="I139" s="264" t="s">
        <v>11347</v>
      </c>
      <c r="J139" s="255" t="s">
        <v>11028</v>
      </c>
      <c r="K139" s="265" t="s">
        <v>11348</v>
      </c>
      <c r="L139" s="253" t="s">
        <v>10709</v>
      </c>
      <c r="M139" s="6" t="s">
        <v>809</v>
      </c>
      <c r="N139" s="30" t="s">
        <v>809</v>
      </c>
      <c r="O139" s="30" t="s">
        <v>809</v>
      </c>
      <c r="P139" s="30" t="s">
        <v>10844</v>
      </c>
      <c r="Q139" s="253" t="s">
        <v>8373</v>
      </c>
    </row>
    <row r="140" customFormat="false" ht="26.25" hidden="false" customHeight="true" outlineLevel="0" collapsed="false">
      <c r="A140" s="255" t="s">
        <v>11349</v>
      </c>
      <c r="B140" s="255" t="s">
        <v>7466</v>
      </c>
      <c r="C140" s="263" t="s">
        <v>11350</v>
      </c>
      <c r="D140" s="255" t="s">
        <v>11351</v>
      </c>
      <c r="E140" s="264" t="s">
        <v>11196</v>
      </c>
      <c r="F140" s="255" t="s">
        <v>11352</v>
      </c>
      <c r="G140" s="255" t="s">
        <v>11353</v>
      </c>
      <c r="H140" s="255" t="s">
        <v>11354</v>
      </c>
      <c r="I140" s="264" t="s">
        <v>11355</v>
      </c>
      <c r="J140" s="255" t="s">
        <v>11028</v>
      </c>
      <c r="K140" s="265" t="s">
        <v>11356</v>
      </c>
      <c r="L140" s="253" t="s">
        <v>10709</v>
      </c>
      <c r="M140" s="6" t="s">
        <v>809</v>
      </c>
      <c r="N140" s="30" t="s">
        <v>809</v>
      </c>
      <c r="O140" s="30" t="s">
        <v>11357</v>
      </c>
      <c r="P140" s="30" t="s">
        <v>133</v>
      </c>
      <c r="Q140" s="253" t="s">
        <v>8480</v>
      </c>
    </row>
    <row r="141" customFormat="false" ht="51.75" hidden="false" customHeight="true" outlineLevel="0" collapsed="false">
      <c r="A141" s="255" t="s">
        <v>11358</v>
      </c>
      <c r="B141" s="255" t="s">
        <v>7466</v>
      </c>
      <c r="C141" s="263" t="s">
        <v>11359</v>
      </c>
      <c r="D141" s="255" t="s">
        <v>11360</v>
      </c>
      <c r="E141" s="264" t="s">
        <v>11023</v>
      </c>
      <c r="F141" s="255" t="s">
        <v>11361</v>
      </c>
      <c r="G141" s="264" t="s">
        <v>11362</v>
      </c>
      <c r="H141" s="264" t="s">
        <v>11363</v>
      </c>
      <c r="I141" s="264" t="s">
        <v>11364</v>
      </c>
      <c r="J141" s="255" t="s">
        <v>11028</v>
      </c>
      <c r="K141" s="265" t="s">
        <v>11365</v>
      </c>
      <c r="L141" s="253" t="s">
        <v>10709</v>
      </c>
      <c r="M141" s="6" t="s">
        <v>809</v>
      </c>
      <c r="N141" s="30" t="s">
        <v>809</v>
      </c>
      <c r="O141" s="30" t="s">
        <v>11366</v>
      </c>
      <c r="P141" s="30" t="s">
        <v>809</v>
      </c>
      <c r="Q141" s="253" t="s">
        <v>8373</v>
      </c>
    </row>
    <row r="142" customFormat="false" ht="51.75" hidden="false" customHeight="true" outlineLevel="0" collapsed="false">
      <c r="A142" s="255" t="s">
        <v>11367</v>
      </c>
      <c r="B142" s="255" t="s">
        <v>7466</v>
      </c>
      <c r="C142" s="263" t="s">
        <v>11368</v>
      </c>
      <c r="D142" s="255" t="s">
        <v>11369</v>
      </c>
      <c r="E142" s="264" t="s">
        <v>11023</v>
      </c>
      <c r="F142" s="255" t="s">
        <v>11370</v>
      </c>
      <c r="G142" s="255" t="s">
        <v>11371</v>
      </c>
      <c r="H142" s="264" t="s">
        <v>11372</v>
      </c>
      <c r="I142" s="264" t="s">
        <v>11373</v>
      </c>
      <c r="J142" s="255" t="s">
        <v>11028</v>
      </c>
      <c r="K142" s="265" t="s">
        <v>11374</v>
      </c>
      <c r="L142" s="253" t="s">
        <v>10709</v>
      </c>
      <c r="M142" s="6" t="s">
        <v>809</v>
      </c>
      <c r="N142" s="30" t="s">
        <v>809</v>
      </c>
      <c r="O142" s="253" t="s">
        <v>11375</v>
      </c>
      <c r="P142" s="30" t="s">
        <v>176</v>
      </c>
      <c r="Q142" s="253" t="s">
        <v>8373</v>
      </c>
    </row>
    <row r="143" customFormat="false" ht="64.5" hidden="false" customHeight="true" outlineLevel="0" collapsed="false">
      <c r="A143" s="255" t="s">
        <v>11376</v>
      </c>
      <c r="B143" s="255" t="s">
        <v>7466</v>
      </c>
      <c r="C143" s="263" t="s">
        <v>11377</v>
      </c>
      <c r="D143" s="255" t="s">
        <v>11378</v>
      </c>
      <c r="E143" s="264" t="s">
        <v>11196</v>
      </c>
      <c r="F143" s="255" t="s">
        <v>11379</v>
      </c>
      <c r="G143" s="255" t="s">
        <v>11380</v>
      </c>
      <c r="H143" s="255" t="s">
        <v>11381</v>
      </c>
      <c r="I143" s="264" t="s">
        <v>11382</v>
      </c>
      <c r="J143" s="255" t="s">
        <v>11028</v>
      </c>
      <c r="K143" s="265" t="s">
        <v>11383</v>
      </c>
      <c r="L143" s="253" t="s">
        <v>10709</v>
      </c>
      <c r="M143" s="6" t="s">
        <v>5405</v>
      </c>
      <c r="N143" s="30" t="s">
        <v>809</v>
      </c>
      <c r="O143" s="30" t="s">
        <v>11384</v>
      </c>
      <c r="P143" s="30" t="s">
        <v>176</v>
      </c>
      <c r="Q143" s="253" t="s">
        <v>8480</v>
      </c>
    </row>
    <row r="144" customFormat="false" ht="26.25" hidden="false" customHeight="true" outlineLevel="0" collapsed="false">
      <c r="A144" s="255" t="s">
        <v>11385</v>
      </c>
      <c r="B144" s="255" t="s">
        <v>7466</v>
      </c>
      <c r="C144" s="263" t="s">
        <v>11386</v>
      </c>
      <c r="D144" s="255" t="s">
        <v>11387</v>
      </c>
      <c r="E144" s="264" t="s">
        <v>11023</v>
      </c>
      <c r="F144" s="255" t="s">
        <v>11388</v>
      </c>
      <c r="G144" s="255" t="s">
        <v>11389</v>
      </c>
      <c r="H144" s="264" t="s">
        <v>11390</v>
      </c>
      <c r="I144" s="264" t="s">
        <v>11391</v>
      </c>
      <c r="J144" s="255" t="s">
        <v>11028</v>
      </c>
      <c r="K144" s="265" t="s">
        <v>11392</v>
      </c>
      <c r="L144" s="253" t="s">
        <v>10709</v>
      </c>
      <c r="M144" s="6" t="s">
        <v>809</v>
      </c>
      <c r="N144" s="30" t="s">
        <v>809</v>
      </c>
      <c r="O144" s="30" t="s">
        <v>809</v>
      </c>
      <c r="P144" s="30" t="s">
        <v>809</v>
      </c>
      <c r="Q144" s="253" t="s">
        <v>8480</v>
      </c>
    </row>
    <row r="145" customFormat="false" ht="77.25" hidden="false" customHeight="true" outlineLevel="0" collapsed="false">
      <c r="A145" s="255" t="s">
        <v>11393</v>
      </c>
      <c r="B145" s="255" t="s">
        <v>7466</v>
      </c>
      <c r="C145" s="265" t="s">
        <v>11394</v>
      </c>
      <c r="D145" s="264" t="s">
        <v>11395</v>
      </c>
      <c r="E145" s="264" t="s">
        <v>11396</v>
      </c>
      <c r="F145" s="255" t="s">
        <v>11397</v>
      </c>
      <c r="G145" s="255" t="s">
        <v>11398</v>
      </c>
      <c r="H145" s="264" t="s">
        <v>11399</v>
      </c>
      <c r="I145" s="264" t="s">
        <v>11400</v>
      </c>
      <c r="J145" s="255" t="s">
        <v>11028</v>
      </c>
      <c r="K145" s="265" t="s">
        <v>11401</v>
      </c>
      <c r="L145" s="253" t="s">
        <v>10709</v>
      </c>
      <c r="M145" s="6" t="s">
        <v>809</v>
      </c>
      <c r="N145" s="30" t="s">
        <v>809</v>
      </c>
      <c r="O145" s="30" t="s">
        <v>809</v>
      </c>
      <c r="P145" s="30" t="s">
        <v>809</v>
      </c>
      <c r="Q145" s="30" t="s">
        <v>809</v>
      </c>
    </row>
    <row r="146" customFormat="false" ht="26.25" hidden="false" customHeight="true" outlineLevel="0" collapsed="false">
      <c r="A146" s="255" t="s">
        <v>11402</v>
      </c>
      <c r="B146" s="255" t="s">
        <v>7466</v>
      </c>
      <c r="C146" s="263" t="s">
        <v>11403</v>
      </c>
      <c r="D146" s="255" t="s">
        <v>11308</v>
      </c>
      <c r="E146" s="264" t="s">
        <v>11023</v>
      </c>
      <c r="F146" s="255" t="s">
        <v>11404</v>
      </c>
      <c r="G146" s="255" t="s">
        <v>11405</v>
      </c>
      <c r="H146" s="264" t="s">
        <v>11406</v>
      </c>
      <c r="I146" s="264" t="s">
        <v>11407</v>
      </c>
      <c r="J146" s="255" t="s">
        <v>11028</v>
      </c>
      <c r="K146" s="265" t="s">
        <v>11408</v>
      </c>
      <c r="L146" s="253" t="s">
        <v>10709</v>
      </c>
      <c r="M146" s="6" t="s">
        <v>809</v>
      </c>
      <c r="N146" s="30" t="s">
        <v>809</v>
      </c>
      <c r="O146" s="30" t="s">
        <v>809</v>
      </c>
      <c r="P146" s="30" t="s">
        <v>809</v>
      </c>
      <c r="Q146" s="30" t="s">
        <v>809</v>
      </c>
    </row>
    <row r="147" customFormat="false" ht="39" hidden="false" customHeight="true" outlineLevel="0" collapsed="false">
      <c r="A147" s="255" t="s">
        <v>11409</v>
      </c>
      <c r="B147" s="255" t="s">
        <v>7466</v>
      </c>
      <c r="C147" s="263" t="s">
        <v>11410</v>
      </c>
      <c r="D147" s="264" t="s">
        <v>11411</v>
      </c>
      <c r="E147" s="255" t="s">
        <v>809</v>
      </c>
      <c r="F147" s="255" t="s">
        <v>11412</v>
      </c>
      <c r="G147" s="255" t="s">
        <v>809</v>
      </c>
      <c r="H147" s="255" t="s">
        <v>809</v>
      </c>
      <c r="I147" s="264" t="s">
        <v>11413</v>
      </c>
      <c r="J147" s="255" t="s">
        <v>11028</v>
      </c>
      <c r="K147" s="265" t="s">
        <v>11414</v>
      </c>
      <c r="L147" s="253" t="s">
        <v>10709</v>
      </c>
      <c r="M147" s="6" t="s">
        <v>809</v>
      </c>
      <c r="N147" s="30" t="s">
        <v>809</v>
      </c>
      <c r="O147" s="30" t="s">
        <v>809</v>
      </c>
      <c r="P147" s="30" t="s">
        <v>809</v>
      </c>
      <c r="Q147" s="30" t="s">
        <v>809</v>
      </c>
    </row>
    <row r="148" customFormat="false" ht="64.5" hidden="false" customHeight="true" outlineLevel="0" collapsed="false">
      <c r="A148" s="255" t="s">
        <v>11415</v>
      </c>
      <c r="B148" s="255" t="s">
        <v>7466</v>
      </c>
      <c r="C148" s="263" t="s">
        <v>11416</v>
      </c>
      <c r="D148" s="255" t="s">
        <v>11100</v>
      </c>
      <c r="E148" s="264" t="s">
        <v>11023</v>
      </c>
      <c r="F148" s="255" t="s">
        <v>11417</v>
      </c>
      <c r="G148" s="255" t="s">
        <v>11418</v>
      </c>
      <c r="H148" s="255" t="s">
        <v>11419</v>
      </c>
      <c r="I148" s="264" t="s">
        <v>11420</v>
      </c>
      <c r="J148" s="255" t="s">
        <v>11028</v>
      </c>
      <c r="K148" s="265" t="s">
        <v>11421</v>
      </c>
      <c r="L148" s="253" t="s">
        <v>10709</v>
      </c>
      <c r="M148" s="6" t="s">
        <v>5446</v>
      </c>
      <c r="N148" s="30" t="s">
        <v>809</v>
      </c>
      <c r="O148" s="30" t="s">
        <v>809</v>
      </c>
      <c r="P148" s="30" t="s">
        <v>10898</v>
      </c>
      <c r="Q148" s="253" t="s">
        <v>8373</v>
      </c>
    </row>
    <row r="149" customFormat="false" ht="39" hidden="false" customHeight="true" outlineLevel="0" collapsed="false">
      <c r="A149" s="255" t="s">
        <v>11422</v>
      </c>
      <c r="B149" s="255" t="s">
        <v>7466</v>
      </c>
      <c r="C149" s="263" t="s">
        <v>11423</v>
      </c>
      <c r="D149" s="255" t="s">
        <v>11424</v>
      </c>
      <c r="E149" s="264" t="s">
        <v>11023</v>
      </c>
      <c r="F149" s="255" t="s">
        <v>11425</v>
      </c>
      <c r="G149" s="255" t="s">
        <v>11426</v>
      </c>
      <c r="H149" s="255" t="s">
        <v>11427</v>
      </c>
      <c r="I149" s="264" t="s">
        <v>11420</v>
      </c>
      <c r="J149" s="255" t="s">
        <v>11028</v>
      </c>
      <c r="K149" s="265" t="s">
        <v>11428</v>
      </c>
      <c r="L149" s="253" t="s">
        <v>10709</v>
      </c>
      <c r="M149" s="6" t="s">
        <v>5465</v>
      </c>
      <c r="N149" s="30" t="s">
        <v>809</v>
      </c>
      <c r="O149" s="30" t="s">
        <v>809</v>
      </c>
      <c r="P149" s="30" t="s">
        <v>10898</v>
      </c>
      <c r="Q149" s="253" t="s">
        <v>8373</v>
      </c>
    </row>
    <row r="150" customFormat="false" ht="77.25" hidden="false" customHeight="true" outlineLevel="0" collapsed="false">
      <c r="A150" s="255" t="s">
        <v>11429</v>
      </c>
      <c r="B150" s="255" t="s">
        <v>7466</v>
      </c>
      <c r="C150" s="263" t="s">
        <v>11430</v>
      </c>
      <c r="D150" s="255" t="s">
        <v>11093</v>
      </c>
      <c r="E150" s="264" t="s">
        <v>11023</v>
      </c>
      <c r="F150" s="255" t="s">
        <v>11431</v>
      </c>
      <c r="G150" s="255" t="s">
        <v>11432</v>
      </c>
      <c r="H150" s="255" t="s">
        <v>11433</v>
      </c>
      <c r="I150" s="264" t="s">
        <v>11420</v>
      </c>
      <c r="J150" s="255" t="s">
        <v>11028</v>
      </c>
      <c r="K150" s="265" t="s">
        <v>11434</v>
      </c>
      <c r="L150" s="253" t="s">
        <v>10709</v>
      </c>
      <c r="M150" s="6" t="s">
        <v>5510</v>
      </c>
      <c r="N150" s="30" t="s">
        <v>809</v>
      </c>
      <c r="O150" s="30" t="s">
        <v>809</v>
      </c>
      <c r="P150" s="30" t="s">
        <v>10898</v>
      </c>
      <c r="Q150" s="253" t="s">
        <v>8373</v>
      </c>
    </row>
    <row r="151" customFormat="false" ht="64.5" hidden="false" customHeight="true" outlineLevel="0" collapsed="false">
      <c r="A151" s="255" t="s">
        <v>11435</v>
      </c>
      <c r="B151" s="255" t="s">
        <v>7466</v>
      </c>
      <c r="C151" s="263" t="s">
        <v>11436</v>
      </c>
      <c r="D151" s="255" t="s">
        <v>11172</v>
      </c>
      <c r="E151" s="264" t="s">
        <v>11023</v>
      </c>
      <c r="F151" s="255" t="s">
        <v>11437</v>
      </c>
      <c r="G151" s="255" t="s">
        <v>11438</v>
      </c>
      <c r="H151" s="255" t="s">
        <v>11439</v>
      </c>
      <c r="I151" s="264" t="s">
        <v>11440</v>
      </c>
      <c r="J151" s="255" t="s">
        <v>11028</v>
      </c>
      <c r="K151" s="265" t="s">
        <v>11441</v>
      </c>
      <c r="L151" s="253" t="s">
        <v>10709</v>
      </c>
      <c r="M151" s="6" t="s">
        <v>5362</v>
      </c>
      <c r="N151" s="30" t="s">
        <v>809</v>
      </c>
      <c r="O151" s="253" t="s">
        <v>11442</v>
      </c>
      <c r="P151" s="30" t="s">
        <v>10898</v>
      </c>
      <c r="Q151" s="253" t="s">
        <v>8373</v>
      </c>
    </row>
    <row r="152" customFormat="false" ht="64.5" hidden="false" customHeight="true" outlineLevel="0" collapsed="false">
      <c r="A152" s="255" t="s">
        <v>6969</v>
      </c>
      <c r="B152" s="255" t="s">
        <v>7466</v>
      </c>
      <c r="C152" s="263" t="s">
        <v>11443</v>
      </c>
      <c r="D152" s="264" t="s">
        <v>11444</v>
      </c>
      <c r="E152" s="264" t="s">
        <v>11396</v>
      </c>
      <c r="F152" s="255" t="s">
        <v>11445</v>
      </c>
      <c r="G152" s="255" t="s">
        <v>11446</v>
      </c>
      <c r="H152" s="255" t="s">
        <v>11447</v>
      </c>
      <c r="I152" s="264" t="s">
        <v>11448</v>
      </c>
      <c r="J152" s="255" t="s">
        <v>11028</v>
      </c>
      <c r="K152" s="265" t="s">
        <v>11449</v>
      </c>
      <c r="L152" s="253" t="s">
        <v>10709</v>
      </c>
      <c r="M152" s="6" t="s">
        <v>809</v>
      </c>
      <c r="N152" s="30" t="s">
        <v>809</v>
      </c>
      <c r="O152" s="30" t="s">
        <v>11290</v>
      </c>
      <c r="P152" s="30" t="s">
        <v>128</v>
      </c>
      <c r="Q152" s="30" t="s">
        <v>809</v>
      </c>
    </row>
    <row r="153" customFormat="false" ht="126.75" hidden="false" customHeight="true" outlineLevel="0" collapsed="false">
      <c r="A153" s="255" t="s">
        <v>11450</v>
      </c>
      <c r="B153" s="255" t="s">
        <v>7486</v>
      </c>
      <c r="C153" s="263" t="s">
        <v>11451</v>
      </c>
      <c r="D153" s="264" t="s">
        <v>11452</v>
      </c>
      <c r="E153" s="264" t="s">
        <v>11396</v>
      </c>
      <c r="F153" s="255" t="s">
        <v>11453</v>
      </c>
      <c r="G153" s="255" t="s">
        <v>11454</v>
      </c>
      <c r="H153" s="264" t="s">
        <v>11455</v>
      </c>
      <c r="I153" s="264" t="s">
        <v>11456</v>
      </c>
      <c r="J153" s="255" t="s">
        <v>11028</v>
      </c>
      <c r="K153" s="265" t="s">
        <v>11457</v>
      </c>
      <c r="L153" s="253" t="s">
        <v>10709</v>
      </c>
      <c r="M153" s="6" t="s">
        <v>809</v>
      </c>
      <c r="N153" s="30" t="s">
        <v>809</v>
      </c>
      <c r="O153" s="30" t="s">
        <v>809</v>
      </c>
      <c r="P153" s="30" t="s">
        <v>128</v>
      </c>
      <c r="Q153" s="30" t="s">
        <v>809</v>
      </c>
    </row>
    <row r="154" customFormat="false" ht="101.25" hidden="false" customHeight="true" outlineLevel="0" collapsed="false">
      <c r="A154" s="255" t="s">
        <v>11458</v>
      </c>
      <c r="B154" s="255" t="s">
        <v>7486</v>
      </c>
      <c r="C154" s="263" t="s">
        <v>11459</v>
      </c>
      <c r="D154" s="255" t="s">
        <v>11460</v>
      </c>
      <c r="E154" s="264" t="s">
        <v>11023</v>
      </c>
      <c r="F154" s="255" t="s">
        <v>11461</v>
      </c>
      <c r="G154" s="255" t="s">
        <v>11462</v>
      </c>
      <c r="H154" s="255" t="s">
        <v>11463</v>
      </c>
      <c r="I154" s="264" t="s">
        <v>11464</v>
      </c>
      <c r="J154" s="255" t="s">
        <v>11028</v>
      </c>
      <c r="K154" s="265" t="s">
        <v>11465</v>
      </c>
      <c r="L154" s="253" t="s">
        <v>10709</v>
      </c>
      <c r="M154" s="6" t="s">
        <v>809</v>
      </c>
      <c r="N154" s="30" t="s">
        <v>809</v>
      </c>
      <c r="O154" s="30" t="s">
        <v>809</v>
      </c>
      <c r="P154" s="30" t="s">
        <v>133</v>
      </c>
      <c r="Q154" s="253" t="s">
        <v>8480</v>
      </c>
    </row>
    <row r="155" customFormat="false" ht="102.75" hidden="false" customHeight="true" outlineLevel="0" collapsed="false">
      <c r="A155" s="255" t="s">
        <v>11466</v>
      </c>
      <c r="B155" s="255" t="s">
        <v>7486</v>
      </c>
      <c r="C155" s="263" t="s">
        <v>11467</v>
      </c>
      <c r="D155" s="264" t="s">
        <v>11468</v>
      </c>
      <c r="E155" s="264" t="s">
        <v>11396</v>
      </c>
      <c r="F155" s="255" t="s">
        <v>11469</v>
      </c>
      <c r="G155" s="255" t="s">
        <v>11470</v>
      </c>
      <c r="H155" s="264" t="s">
        <v>11471</v>
      </c>
      <c r="I155" s="264" t="s">
        <v>11472</v>
      </c>
      <c r="J155" s="255" t="s">
        <v>11028</v>
      </c>
      <c r="K155" s="265" t="s">
        <v>11473</v>
      </c>
      <c r="L155" s="253" t="s">
        <v>10709</v>
      </c>
      <c r="M155" s="6" t="s">
        <v>809</v>
      </c>
      <c r="N155" s="30" t="s">
        <v>809</v>
      </c>
      <c r="O155" s="30" t="s">
        <v>809</v>
      </c>
      <c r="P155" s="30" t="s">
        <v>128</v>
      </c>
      <c r="Q155" s="253" t="s">
        <v>11474</v>
      </c>
    </row>
    <row r="156" customFormat="false" ht="90" hidden="false" customHeight="true" outlineLevel="0" collapsed="false">
      <c r="A156" s="255" t="s">
        <v>11475</v>
      </c>
      <c r="B156" s="255" t="s">
        <v>7486</v>
      </c>
      <c r="C156" s="263" t="s">
        <v>11476</v>
      </c>
      <c r="D156" s="255" t="s">
        <v>11477</v>
      </c>
      <c r="E156" s="264" t="s">
        <v>11023</v>
      </c>
      <c r="F156" s="255" t="s">
        <v>11478</v>
      </c>
      <c r="G156" s="255" t="s">
        <v>11479</v>
      </c>
      <c r="H156" s="264" t="s">
        <v>11480</v>
      </c>
      <c r="I156" s="264" t="s">
        <v>11481</v>
      </c>
      <c r="J156" s="255" t="s">
        <v>11028</v>
      </c>
      <c r="K156" s="265" t="s">
        <v>11482</v>
      </c>
      <c r="L156" s="253" t="s">
        <v>10709</v>
      </c>
      <c r="M156" s="6" t="s">
        <v>809</v>
      </c>
      <c r="N156" s="30" t="s">
        <v>809</v>
      </c>
      <c r="O156" s="30" t="s">
        <v>809</v>
      </c>
      <c r="P156" s="30" t="s">
        <v>133</v>
      </c>
      <c r="Q156" s="253" t="s">
        <v>8480</v>
      </c>
    </row>
    <row r="157" customFormat="false" ht="64.5" hidden="false" customHeight="true" outlineLevel="0" collapsed="false">
      <c r="A157" s="255" t="s">
        <v>11483</v>
      </c>
      <c r="B157" s="255" t="s">
        <v>7486</v>
      </c>
      <c r="C157" s="263" t="s">
        <v>11484</v>
      </c>
      <c r="D157" s="264" t="s">
        <v>11485</v>
      </c>
      <c r="E157" s="264" t="s">
        <v>11338</v>
      </c>
      <c r="F157" s="255" t="s">
        <v>11486</v>
      </c>
      <c r="G157" s="255" t="s">
        <v>11487</v>
      </c>
      <c r="H157" s="255" t="s">
        <v>11488</v>
      </c>
      <c r="I157" s="264" t="s">
        <v>11481</v>
      </c>
      <c r="J157" s="255" t="s">
        <v>11028</v>
      </c>
      <c r="K157" s="265" t="s">
        <v>11489</v>
      </c>
      <c r="L157" s="253" t="s">
        <v>10709</v>
      </c>
      <c r="M157" s="6" t="s">
        <v>809</v>
      </c>
      <c r="N157" s="30" t="s">
        <v>809</v>
      </c>
      <c r="O157" s="30" t="s">
        <v>809</v>
      </c>
      <c r="P157" s="30" t="s">
        <v>133</v>
      </c>
      <c r="Q157" s="253" t="s">
        <v>11490</v>
      </c>
    </row>
    <row r="158" customFormat="false" ht="125.25" hidden="false" customHeight="true" outlineLevel="0" collapsed="false">
      <c r="A158" s="255" t="s">
        <v>11491</v>
      </c>
      <c r="B158" s="255" t="s">
        <v>7486</v>
      </c>
      <c r="C158" s="263" t="s">
        <v>11492</v>
      </c>
      <c r="D158" s="255" t="s">
        <v>11493</v>
      </c>
      <c r="E158" s="264" t="s">
        <v>11396</v>
      </c>
      <c r="F158" s="255" t="s">
        <v>11494</v>
      </c>
      <c r="G158" s="255" t="s">
        <v>11495</v>
      </c>
      <c r="H158" s="264" t="s">
        <v>11496</v>
      </c>
      <c r="I158" s="264" t="s">
        <v>11497</v>
      </c>
      <c r="J158" s="255" t="s">
        <v>11028</v>
      </c>
      <c r="K158" s="265" t="s">
        <v>11498</v>
      </c>
      <c r="L158" s="253" t="s">
        <v>10709</v>
      </c>
      <c r="M158" s="6" t="s">
        <v>809</v>
      </c>
      <c r="N158" s="30" t="s">
        <v>809</v>
      </c>
      <c r="O158" s="30" t="s">
        <v>809</v>
      </c>
      <c r="P158" s="30" t="s">
        <v>128</v>
      </c>
      <c r="Q158" s="30" t="s">
        <v>809</v>
      </c>
    </row>
    <row r="159" customFormat="false" ht="141" hidden="false" customHeight="true" outlineLevel="0" collapsed="false">
      <c r="A159" s="255" t="s">
        <v>11499</v>
      </c>
      <c r="B159" s="255" t="s">
        <v>7486</v>
      </c>
      <c r="C159" s="263" t="s">
        <v>11500</v>
      </c>
      <c r="D159" s="255" t="s">
        <v>11501</v>
      </c>
      <c r="E159" s="264" t="s">
        <v>11502</v>
      </c>
      <c r="F159" s="255" t="s">
        <v>11503</v>
      </c>
      <c r="G159" s="255" t="s">
        <v>11504</v>
      </c>
      <c r="H159" s="255" t="s">
        <v>11505</v>
      </c>
      <c r="I159" s="264" t="s">
        <v>11506</v>
      </c>
      <c r="J159" s="255" t="s">
        <v>11028</v>
      </c>
      <c r="K159" s="265" t="s">
        <v>11507</v>
      </c>
      <c r="L159" s="253" t="s">
        <v>10709</v>
      </c>
      <c r="M159" s="6" t="s">
        <v>809</v>
      </c>
      <c r="N159" s="30" t="s">
        <v>809</v>
      </c>
      <c r="O159" s="253" t="s">
        <v>11508</v>
      </c>
      <c r="P159" s="30" t="s">
        <v>133</v>
      </c>
      <c r="Q159" s="253" t="s">
        <v>11509</v>
      </c>
    </row>
    <row r="160" customFormat="false" ht="51.75" hidden="false" customHeight="true" outlineLevel="0" collapsed="false">
      <c r="A160" s="255" t="s">
        <v>11510</v>
      </c>
      <c r="B160" s="255" t="s">
        <v>7486</v>
      </c>
      <c r="C160" s="263" t="s">
        <v>11511</v>
      </c>
      <c r="D160" s="255" t="s">
        <v>11512</v>
      </c>
      <c r="E160" s="264" t="s">
        <v>11513</v>
      </c>
      <c r="F160" s="255" t="s">
        <v>11514</v>
      </c>
      <c r="G160" s="255" t="s">
        <v>11515</v>
      </c>
      <c r="H160" s="255" t="s">
        <v>11516</v>
      </c>
      <c r="I160" s="264" t="s">
        <v>11517</v>
      </c>
      <c r="J160" s="255" t="s">
        <v>7520</v>
      </c>
      <c r="K160" s="265" t="s">
        <v>11518</v>
      </c>
      <c r="L160" s="253" t="s">
        <v>10709</v>
      </c>
      <c r="M160" s="6" t="s">
        <v>809</v>
      </c>
      <c r="N160" s="30" t="s">
        <v>809</v>
      </c>
      <c r="O160" s="30" t="s">
        <v>809</v>
      </c>
      <c r="P160" s="30" t="s">
        <v>133</v>
      </c>
      <c r="Q160" s="253" t="s">
        <v>8480</v>
      </c>
    </row>
    <row r="161" customFormat="false" ht="51.75" hidden="false" customHeight="true" outlineLevel="0" collapsed="false">
      <c r="A161" s="255" t="s">
        <v>11519</v>
      </c>
      <c r="B161" s="255" t="s">
        <v>7486</v>
      </c>
      <c r="C161" s="263" t="s">
        <v>11520</v>
      </c>
      <c r="D161" s="255" t="s">
        <v>11512</v>
      </c>
      <c r="E161" s="264" t="s">
        <v>11513</v>
      </c>
      <c r="F161" s="255" t="s">
        <v>11521</v>
      </c>
      <c r="G161" s="264" t="s">
        <v>11522</v>
      </c>
      <c r="H161" s="264" t="s">
        <v>11523</v>
      </c>
      <c r="I161" s="264" t="s">
        <v>11524</v>
      </c>
      <c r="J161" s="255" t="s">
        <v>7520</v>
      </c>
      <c r="K161" s="265" t="s">
        <v>11525</v>
      </c>
      <c r="L161" s="253" t="s">
        <v>10709</v>
      </c>
      <c r="M161" s="6" t="s">
        <v>809</v>
      </c>
      <c r="N161" s="30" t="s">
        <v>809</v>
      </c>
      <c r="O161" s="30" t="s">
        <v>809</v>
      </c>
      <c r="P161" s="30" t="s">
        <v>133</v>
      </c>
      <c r="Q161" s="253" t="s">
        <v>11526</v>
      </c>
    </row>
    <row r="162" customFormat="false" ht="39" hidden="false" customHeight="true" outlineLevel="0" collapsed="false">
      <c r="A162" s="255" t="s">
        <v>11527</v>
      </c>
      <c r="B162" s="255" t="s">
        <v>7486</v>
      </c>
      <c r="C162" s="265" t="s">
        <v>11528</v>
      </c>
      <c r="D162" s="255" t="s">
        <v>11512</v>
      </c>
      <c r="E162" s="264" t="s">
        <v>11513</v>
      </c>
      <c r="F162" s="255" t="s">
        <v>11529</v>
      </c>
      <c r="G162" s="264" t="s">
        <v>11530</v>
      </c>
      <c r="H162" s="264" t="s">
        <v>11531</v>
      </c>
      <c r="I162" s="264" t="s">
        <v>11532</v>
      </c>
      <c r="J162" s="255" t="s">
        <v>7520</v>
      </c>
      <c r="K162" s="265" t="s">
        <v>11533</v>
      </c>
      <c r="L162" s="253" t="s">
        <v>10709</v>
      </c>
      <c r="M162" s="6" t="s">
        <v>809</v>
      </c>
      <c r="N162" s="30" t="s">
        <v>809</v>
      </c>
      <c r="O162" s="30" t="s">
        <v>809</v>
      </c>
      <c r="P162" s="30" t="s">
        <v>133</v>
      </c>
      <c r="Q162" s="253" t="s">
        <v>8480</v>
      </c>
    </row>
    <row r="163" customFormat="false" ht="51.75" hidden="false" customHeight="true" outlineLevel="0" collapsed="false">
      <c r="A163" s="255" t="s">
        <v>11534</v>
      </c>
      <c r="B163" s="255" t="s">
        <v>7486</v>
      </c>
      <c r="C163" s="263" t="s">
        <v>11535</v>
      </c>
      <c r="D163" s="255" t="s">
        <v>11512</v>
      </c>
      <c r="E163" s="264" t="s">
        <v>11513</v>
      </c>
      <c r="F163" s="255" t="s">
        <v>11536</v>
      </c>
      <c r="G163" s="264" t="s">
        <v>11537</v>
      </c>
      <c r="H163" s="264" t="s">
        <v>11538</v>
      </c>
      <c r="I163" s="264" t="s">
        <v>11539</v>
      </c>
      <c r="J163" s="255" t="s">
        <v>7520</v>
      </c>
      <c r="K163" s="265" t="s">
        <v>11540</v>
      </c>
      <c r="L163" s="253" t="s">
        <v>10709</v>
      </c>
      <c r="M163" s="6" t="s">
        <v>809</v>
      </c>
      <c r="N163" s="30" t="s">
        <v>809</v>
      </c>
      <c r="O163" s="30" t="s">
        <v>809</v>
      </c>
      <c r="P163" s="30" t="s">
        <v>133</v>
      </c>
      <c r="Q163" s="253" t="s">
        <v>8480</v>
      </c>
    </row>
    <row r="164" customFormat="false" ht="51.75" hidden="false" customHeight="true" outlineLevel="0" collapsed="false">
      <c r="A164" s="255" t="s">
        <v>11541</v>
      </c>
      <c r="B164" s="255" t="s">
        <v>7486</v>
      </c>
      <c r="C164" s="263" t="s">
        <v>11542</v>
      </c>
      <c r="D164" s="255" t="s">
        <v>11512</v>
      </c>
      <c r="E164" s="264" t="s">
        <v>11513</v>
      </c>
      <c r="F164" s="255" t="s">
        <v>11543</v>
      </c>
      <c r="G164" s="264" t="s">
        <v>11544</v>
      </c>
      <c r="H164" s="264" t="s">
        <v>11545</v>
      </c>
      <c r="I164" s="264" t="s">
        <v>11546</v>
      </c>
      <c r="J164" s="255" t="s">
        <v>7520</v>
      </c>
      <c r="K164" s="265" t="s">
        <v>11547</v>
      </c>
      <c r="L164" s="253" t="s">
        <v>10709</v>
      </c>
      <c r="M164" s="6" t="s">
        <v>809</v>
      </c>
      <c r="N164" s="30" t="s">
        <v>809</v>
      </c>
      <c r="O164" s="30" t="s">
        <v>809</v>
      </c>
      <c r="P164" s="30" t="s">
        <v>133</v>
      </c>
      <c r="Q164" s="253" t="s">
        <v>8480</v>
      </c>
    </row>
    <row r="165" customFormat="false" ht="51.75" hidden="false" customHeight="true" outlineLevel="0" collapsed="false">
      <c r="A165" s="255" t="s">
        <v>11548</v>
      </c>
      <c r="B165" s="255" t="s">
        <v>7486</v>
      </c>
      <c r="C165" s="263" t="s">
        <v>11549</v>
      </c>
      <c r="D165" s="255" t="s">
        <v>11512</v>
      </c>
      <c r="E165" s="264" t="s">
        <v>11513</v>
      </c>
      <c r="F165" s="255" t="s">
        <v>11550</v>
      </c>
      <c r="G165" s="264" t="s">
        <v>11551</v>
      </c>
      <c r="H165" s="264" t="s">
        <v>11552</v>
      </c>
      <c r="I165" s="264" t="s">
        <v>11553</v>
      </c>
      <c r="J165" s="255" t="s">
        <v>7520</v>
      </c>
      <c r="K165" s="265" t="s">
        <v>11554</v>
      </c>
      <c r="L165" s="253" t="s">
        <v>10709</v>
      </c>
      <c r="M165" s="6" t="s">
        <v>809</v>
      </c>
      <c r="N165" s="30" t="s">
        <v>809</v>
      </c>
      <c r="O165" s="30" t="s">
        <v>11555</v>
      </c>
      <c r="P165" s="30" t="s">
        <v>133</v>
      </c>
      <c r="Q165" s="253" t="s">
        <v>8480</v>
      </c>
    </row>
    <row r="166" customFormat="false" ht="51.75" hidden="false" customHeight="true" outlineLevel="0" collapsed="false">
      <c r="A166" s="255" t="s">
        <v>11556</v>
      </c>
      <c r="B166" s="255" t="s">
        <v>7486</v>
      </c>
      <c r="C166" s="265" t="s">
        <v>11557</v>
      </c>
      <c r="D166" s="255" t="s">
        <v>11512</v>
      </c>
      <c r="E166" s="264" t="s">
        <v>11513</v>
      </c>
      <c r="F166" s="255" t="s">
        <v>11558</v>
      </c>
      <c r="G166" s="264" t="s">
        <v>11559</v>
      </c>
      <c r="H166" s="264" t="s">
        <v>11560</v>
      </c>
      <c r="I166" s="264" t="s">
        <v>11561</v>
      </c>
      <c r="J166" s="255" t="s">
        <v>7520</v>
      </c>
      <c r="K166" s="265" t="s">
        <v>11562</v>
      </c>
      <c r="L166" s="253" t="s">
        <v>10709</v>
      </c>
      <c r="M166" s="6" t="s">
        <v>809</v>
      </c>
      <c r="N166" s="30" t="s">
        <v>809</v>
      </c>
      <c r="O166" s="30" t="s">
        <v>809</v>
      </c>
      <c r="P166" s="30" t="s">
        <v>133</v>
      </c>
      <c r="Q166" s="253" t="s">
        <v>8480</v>
      </c>
    </row>
    <row r="167" customFormat="false" ht="51.75" hidden="false" customHeight="true" outlineLevel="0" collapsed="false">
      <c r="A167" s="255" t="s">
        <v>11563</v>
      </c>
      <c r="B167" s="255" t="s">
        <v>7486</v>
      </c>
      <c r="C167" s="265" t="s">
        <v>11564</v>
      </c>
      <c r="D167" s="255" t="s">
        <v>11512</v>
      </c>
      <c r="E167" s="264" t="s">
        <v>11513</v>
      </c>
      <c r="F167" s="255" t="s">
        <v>11565</v>
      </c>
      <c r="G167" s="255" t="s">
        <v>11566</v>
      </c>
      <c r="H167" s="264" t="s">
        <v>11567</v>
      </c>
      <c r="I167" s="264" t="s">
        <v>11568</v>
      </c>
      <c r="J167" s="255" t="s">
        <v>7520</v>
      </c>
      <c r="K167" s="265" t="s">
        <v>11569</v>
      </c>
      <c r="L167" s="253" t="s">
        <v>10709</v>
      </c>
      <c r="M167" s="6" t="s">
        <v>809</v>
      </c>
      <c r="N167" s="30" t="s">
        <v>809</v>
      </c>
      <c r="O167" s="30" t="s">
        <v>809</v>
      </c>
      <c r="P167" s="30" t="s">
        <v>133</v>
      </c>
      <c r="Q167" s="253" t="s">
        <v>8480</v>
      </c>
    </row>
    <row r="168" customFormat="false" ht="77.25" hidden="false" customHeight="true" outlineLevel="0" collapsed="false">
      <c r="A168" s="255" t="s">
        <v>11570</v>
      </c>
      <c r="B168" s="255" t="s">
        <v>7486</v>
      </c>
      <c r="C168" s="263" t="s">
        <v>11571</v>
      </c>
      <c r="D168" s="255" t="s">
        <v>11512</v>
      </c>
      <c r="E168" s="264" t="s">
        <v>11513</v>
      </c>
      <c r="F168" s="255" t="s">
        <v>11572</v>
      </c>
      <c r="G168" s="255" t="s">
        <v>11573</v>
      </c>
      <c r="H168" s="255" t="s">
        <v>11574</v>
      </c>
      <c r="I168" s="264" t="s">
        <v>11575</v>
      </c>
      <c r="J168" s="255" t="s">
        <v>7520</v>
      </c>
      <c r="K168" s="265" t="s">
        <v>11576</v>
      </c>
      <c r="L168" s="253" t="s">
        <v>10709</v>
      </c>
      <c r="M168" s="6" t="s">
        <v>809</v>
      </c>
      <c r="N168" s="30" t="s">
        <v>9429</v>
      </c>
      <c r="O168" s="30" t="s">
        <v>11577</v>
      </c>
      <c r="P168" s="30" t="s">
        <v>133</v>
      </c>
      <c r="Q168" s="253" t="s">
        <v>11578</v>
      </c>
      <c r="R168" s="245" t="s">
        <v>11579</v>
      </c>
    </row>
    <row r="169" customFormat="false" ht="115.5" hidden="false" customHeight="true" outlineLevel="0" collapsed="false">
      <c r="A169" s="255" t="s">
        <v>9429</v>
      </c>
      <c r="B169" s="255" t="s">
        <v>7486</v>
      </c>
      <c r="C169" s="263" t="s">
        <v>11580</v>
      </c>
      <c r="D169" s="255" t="s">
        <v>11581</v>
      </c>
      <c r="E169" s="264" t="s">
        <v>11023</v>
      </c>
      <c r="F169" s="255" t="s">
        <v>11572</v>
      </c>
      <c r="G169" s="255" t="s">
        <v>11582</v>
      </c>
      <c r="H169" s="255" t="s">
        <v>11583</v>
      </c>
      <c r="I169" s="255" t="s">
        <v>11584</v>
      </c>
      <c r="J169" s="255" t="s">
        <v>7541</v>
      </c>
      <c r="K169" s="265" t="s">
        <v>11585</v>
      </c>
      <c r="L169" s="253" t="s">
        <v>10709</v>
      </c>
      <c r="M169" s="6" t="s">
        <v>11586</v>
      </c>
      <c r="N169" s="30" t="s">
        <v>809</v>
      </c>
      <c r="O169" s="30" t="s">
        <v>11587</v>
      </c>
      <c r="P169" s="30" t="s">
        <v>10898</v>
      </c>
      <c r="Q169" s="253" t="s">
        <v>8373</v>
      </c>
      <c r="R169" s="245" t="s">
        <v>11588</v>
      </c>
    </row>
    <row r="170" customFormat="false" ht="115.5" hidden="false" customHeight="true" outlineLevel="0" collapsed="false">
      <c r="A170" s="255" t="s">
        <v>11589</v>
      </c>
      <c r="B170" s="255" t="s">
        <v>7486</v>
      </c>
      <c r="C170" s="265" t="s">
        <v>11590</v>
      </c>
      <c r="D170" s="264" t="s">
        <v>11591</v>
      </c>
      <c r="E170" s="264" t="s">
        <v>11513</v>
      </c>
      <c r="F170" s="255" t="s">
        <v>11592</v>
      </c>
      <c r="G170" s="255" t="s">
        <v>11593</v>
      </c>
      <c r="H170" s="264" t="s">
        <v>11594</v>
      </c>
      <c r="I170" s="255" t="s">
        <v>11595</v>
      </c>
      <c r="J170" s="255" t="s">
        <v>7548</v>
      </c>
      <c r="K170" s="265" t="s">
        <v>11596</v>
      </c>
      <c r="L170" s="253" t="s">
        <v>10709</v>
      </c>
      <c r="M170" s="6" t="s">
        <v>809</v>
      </c>
      <c r="N170" s="30" t="s">
        <v>809</v>
      </c>
      <c r="O170" s="30" t="s">
        <v>11597</v>
      </c>
      <c r="P170" s="30" t="s">
        <v>133</v>
      </c>
      <c r="Q170" s="253" t="s">
        <v>11598</v>
      </c>
    </row>
    <row r="171" customFormat="false" ht="153.75" hidden="false" customHeight="true" outlineLevel="0" collapsed="false">
      <c r="A171" s="255" t="s">
        <v>10069</v>
      </c>
      <c r="B171" s="255" t="s">
        <v>7570</v>
      </c>
      <c r="C171" s="263" t="s">
        <v>11599</v>
      </c>
      <c r="D171" s="255" t="s">
        <v>11600</v>
      </c>
      <c r="E171" s="266" t="s">
        <v>11023</v>
      </c>
      <c r="F171" s="255" t="s">
        <v>11601</v>
      </c>
      <c r="G171" s="255" t="s">
        <v>11602</v>
      </c>
      <c r="H171" s="266" t="s">
        <v>11603</v>
      </c>
      <c r="I171" s="266" t="s">
        <v>11604</v>
      </c>
      <c r="J171" s="255" t="s">
        <v>7576</v>
      </c>
      <c r="K171" s="267" t="s">
        <v>11605</v>
      </c>
      <c r="L171" s="207" t="s">
        <v>10709</v>
      </c>
      <c r="M171" s="6" t="s">
        <v>11606</v>
      </c>
      <c r="N171" s="30" t="s">
        <v>809</v>
      </c>
      <c r="O171" s="30" t="s">
        <v>11607</v>
      </c>
      <c r="P171" s="30" t="s">
        <v>10898</v>
      </c>
      <c r="Q171" s="207" t="s">
        <v>8373</v>
      </c>
      <c r="R171" s="245" t="s">
        <v>10736</v>
      </c>
    </row>
    <row r="172" customFormat="false" ht="264" hidden="false" customHeight="true" outlineLevel="0" collapsed="false">
      <c r="A172" s="255" t="s">
        <v>9133</v>
      </c>
      <c r="B172" s="255" t="s">
        <v>7570</v>
      </c>
      <c r="C172" s="263" t="s">
        <v>11608</v>
      </c>
      <c r="D172" s="255" t="s">
        <v>11609</v>
      </c>
      <c r="E172" s="266" t="s">
        <v>11023</v>
      </c>
      <c r="F172" s="255" t="s">
        <v>11610</v>
      </c>
      <c r="G172" s="255" t="s">
        <v>11611</v>
      </c>
      <c r="H172" s="255" t="s">
        <v>11612</v>
      </c>
      <c r="I172" s="266" t="s">
        <v>11613</v>
      </c>
      <c r="J172" s="255" t="s">
        <v>7576</v>
      </c>
      <c r="K172" s="267" t="s">
        <v>11614</v>
      </c>
      <c r="L172" s="207" t="s">
        <v>10709</v>
      </c>
      <c r="M172" s="6" t="s">
        <v>4024</v>
      </c>
      <c r="N172" s="30" t="s">
        <v>809</v>
      </c>
      <c r="O172" s="30" t="s">
        <v>11615</v>
      </c>
      <c r="P172" s="30" t="s">
        <v>10898</v>
      </c>
      <c r="Q172" s="207" t="s">
        <v>8480</v>
      </c>
    </row>
    <row r="173" customFormat="false" ht="80.25" hidden="false" customHeight="true" outlineLevel="0" collapsed="false">
      <c r="A173" s="255" t="s">
        <v>11616</v>
      </c>
      <c r="B173" s="255" t="s">
        <v>7570</v>
      </c>
      <c r="C173" s="263" t="s">
        <v>11617</v>
      </c>
      <c r="D173" s="255" t="s">
        <v>11618</v>
      </c>
      <c r="E173" s="266" t="s">
        <v>11023</v>
      </c>
      <c r="F173" s="255" t="s">
        <v>11619</v>
      </c>
      <c r="G173" s="255" t="s">
        <v>11620</v>
      </c>
      <c r="H173" s="255" t="s">
        <v>11621</v>
      </c>
      <c r="I173" s="266" t="s">
        <v>11622</v>
      </c>
      <c r="J173" s="255" t="s">
        <v>7576</v>
      </c>
      <c r="K173" s="267" t="s">
        <v>11623</v>
      </c>
      <c r="L173" s="207" t="s">
        <v>10709</v>
      </c>
      <c r="M173" s="6" t="s">
        <v>6597</v>
      </c>
      <c r="N173" s="30" t="s">
        <v>809</v>
      </c>
      <c r="O173" s="207" t="s">
        <v>11624</v>
      </c>
      <c r="P173" s="30" t="s">
        <v>10898</v>
      </c>
      <c r="Q173" s="207" t="s">
        <v>8480</v>
      </c>
      <c r="R173" s="245" t="s">
        <v>11625</v>
      </c>
    </row>
    <row r="174" customFormat="false" ht="29.25" hidden="false" customHeight="true" outlineLevel="0" collapsed="false">
      <c r="A174" s="255" t="s">
        <v>11626</v>
      </c>
      <c r="B174" s="255" t="s">
        <v>7570</v>
      </c>
      <c r="C174" s="267" t="s">
        <v>11627</v>
      </c>
      <c r="D174" s="255" t="s">
        <v>11628</v>
      </c>
      <c r="E174" s="266" t="s">
        <v>11513</v>
      </c>
      <c r="F174" s="255" t="s">
        <v>11629</v>
      </c>
      <c r="G174" s="255" t="s">
        <v>11630</v>
      </c>
      <c r="H174" s="266" t="s">
        <v>11631</v>
      </c>
      <c r="I174" s="266" t="s">
        <v>11632</v>
      </c>
      <c r="J174" s="255" t="s">
        <v>7576</v>
      </c>
      <c r="K174" s="267" t="s">
        <v>11633</v>
      </c>
      <c r="L174" s="207" t="s">
        <v>10709</v>
      </c>
      <c r="M174" s="6" t="s">
        <v>809</v>
      </c>
      <c r="N174" s="30" t="s">
        <v>809</v>
      </c>
      <c r="O174" s="207" t="s">
        <v>5238</v>
      </c>
      <c r="P174" s="30" t="s">
        <v>10844</v>
      </c>
      <c r="Q174" s="207" t="s">
        <v>11634</v>
      </c>
    </row>
    <row r="175" customFormat="false" ht="100.5" hidden="false" customHeight="true" outlineLevel="0" collapsed="false">
      <c r="A175" s="255" t="s">
        <v>11635</v>
      </c>
      <c r="B175" s="255" t="s">
        <v>4626</v>
      </c>
      <c r="C175" s="263" t="s">
        <v>11636</v>
      </c>
      <c r="D175" s="255" t="s">
        <v>11609</v>
      </c>
      <c r="E175" s="266" t="s">
        <v>11023</v>
      </c>
      <c r="F175" s="255" t="s">
        <v>11637</v>
      </c>
      <c r="G175" s="255" t="s">
        <v>11638</v>
      </c>
      <c r="H175" s="266" t="s">
        <v>11639</v>
      </c>
      <c r="I175" s="266" t="s">
        <v>11640</v>
      </c>
      <c r="J175" s="255" t="s">
        <v>7588</v>
      </c>
      <c r="K175" s="267" t="s">
        <v>11641</v>
      </c>
      <c r="L175" s="207" t="s">
        <v>10709</v>
      </c>
      <c r="M175" s="6" t="s">
        <v>4024</v>
      </c>
      <c r="N175" s="30" t="s">
        <v>809</v>
      </c>
      <c r="O175" s="30" t="s">
        <v>11615</v>
      </c>
      <c r="P175" s="30" t="s">
        <v>10898</v>
      </c>
      <c r="Q175" s="207" t="s">
        <v>8480</v>
      </c>
    </row>
    <row r="176" customFormat="false" ht="137.25" hidden="false" customHeight="true" outlineLevel="0" collapsed="false">
      <c r="A176" s="255" t="s">
        <v>11642</v>
      </c>
      <c r="B176" s="255" t="s">
        <v>4626</v>
      </c>
      <c r="C176" s="263" t="s">
        <v>11643</v>
      </c>
      <c r="D176" s="255" t="s">
        <v>11644</v>
      </c>
      <c r="E176" s="266" t="s">
        <v>11023</v>
      </c>
      <c r="F176" s="255" t="s">
        <v>11645</v>
      </c>
      <c r="G176" s="255" t="s">
        <v>11646</v>
      </c>
      <c r="H176" s="266" t="s">
        <v>11647</v>
      </c>
      <c r="I176" s="266" t="s">
        <v>11648</v>
      </c>
      <c r="J176" s="255" t="s">
        <v>7588</v>
      </c>
      <c r="K176" s="267" t="s">
        <v>11649</v>
      </c>
      <c r="L176" s="207" t="s">
        <v>10709</v>
      </c>
      <c r="M176" s="6" t="s">
        <v>6597</v>
      </c>
      <c r="N176" s="30" t="s">
        <v>809</v>
      </c>
      <c r="O176" s="207" t="s">
        <v>11624</v>
      </c>
      <c r="P176" s="30" t="s">
        <v>10898</v>
      </c>
      <c r="Q176" s="207" t="s">
        <v>8480</v>
      </c>
      <c r="R176" s="245" t="s">
        <v>11650</v>
      </c>
    </row>
    <row r="177" customFormat="false" ht="242.25" hidden="false" customHeight="true" outlineLevel="0" collapsed="false">
      <c r="A177" s="255" t="s">
        <v>9143</v>
      </c>
      <c r="B177" s="255" t="s">
        <v>4626</v>
      </c>
      <c r="C177" s="263" t="s">
        <v>11651</v>
      </c>
      <c r="D177" s="255" t="s">
        <v>11652</v>
      </c>
      <c r="E177" s="266" t="s">
        <v>11023</v>
      </c>
      <c r="F177" s="255" t="s">
        <v>11653</v>
      </c>
      <c r="G177" s="255" t="s">
        <v>11654</v>
      </c>
      <c r="H177" s="255" t="s">
        <v>11655</v>
      </c>
      <c r="I177" s="266" t="s">
        <v>11656</v>
      </c>
      <c r="J177" s="255" t="s">
        <v>7588</v>
      </c>
      <c r="K177" s="267" t="s">
        <v>11657</v>
      </c>
      <c r="L177" s="207" t="s">
        <v>10709</v>
      </c>
      <c r="M177" s="6" t="s">
        <v>11658</v>
      </c>
      <c r="N177" s="30" t="s">
        <v>809</v>
      </c>
      <c r="O177" s="207" t="s">
        <v>11659</v>
      </c>
      <c r="P177" s="30" t="s">
        <v>10898</v>
      </c>
      <c r="Q177" s="207" t="s">
        <v>8373</v>
      </c>
    </row>
    <row r="178" customFormat="false" ht="156.75" hidden="false" customHeight="true" outlineLevel="0" collapsed="false">
      <c r="A178" s="255" t="s">
        <v>11660</v>
      </c>
      <c r="B178" s="255" t="s">
        <v>4626</v>
      </c>
      <c r="C178" s="267" t="s">
        <v>11661</v>
      </c>
      <c r="D178" s="255" t="s">
        <v>11662</v>
      </c>
      <c r="E178" s="255" t="s">
        <v>11663</v>
      </c>
      <c r="F178" s="255" t="s">
        <v>11664</v>
      </c>
      <c r="G178" s="255" t="s">
        <v>11665</v>
      </c>
      <c r="H178" s="266" t="s">
        <v>11666</v>
      </c>
      <c r="I178" s="266" t="s">
        <v>11667</v>
      </c>
      <c r="J178" s="255" t="s">
        <v>7588</v>
      </c>
      <c r="K178" s="267" t="s">
        <v>11668</v>
      </c>
      <c r="L178" s="207" t="s">
        <v>10709</v>
      </c>
      <c r="M178" s="6" t="s">
        <v>11669</v>
      </c>
      <c r="N178" s="30" t="s">
        <v>809</v>
      </c>
      <c r="O178" s="30" t="s">
        <v>11670</v>
      </c>
      <c r="P178" s="30" t="s">
        <v>809</v>
      </c>
      <c r="Q178" s="30" t="s">
        <v>809</v>
      </c>
      <c r="R178" s="245" t="s">
        <v>11671</v>
      </c>
    </row>
    <row r="179" customFormat="false" ht="57.75" hidden="false" customHeight="true" outlineLevel="0" collapsed="false">
      <c r="A179" s="255" t="s">
        <v>11672</v>
      </c>
      <c r="B179" s="255" t="s">
        <v>4626</v>
      </c>
      <c r="C179" s="263" t="s">
        <v>11673</v>
      </c>
      <c r="D179" s="255" t="s">
        <v>11674</v>
      </c>
      <c r="E179" s="266" t="s">
        <v>11513</v>
      </c>
      <c r="F179" s="255" t="s">
        <v>11675</v>
      </c>
      <c r="G179" s="255" t="s">
        <v>11676</v>
      </c>
      <c r="H179" s="266" t="s">
        <v>11677</v>
      </c>
      <c r="I179" s="266" t="s">
        <v>11678</v>
      </c>
      <c r="J179" s="255" t="s">
        <v>7588</v>
      </c>
      <c r="K179" s="267" t="s">
        <v>11679</v>
      </c>
      <c r="L179" s="207" t="s">
        <v>10709</v>
      </c>
      <c r="M179" s="6" t="s">
        <v>809</v>
      </c>
      <c r="N179" s="30" t="s">
        <v>809</v>
      </c>
      <c r="O179" s="207" t="s">
        <v>5238</v>
      </c>
      <c r="P179" s="30" t="s">
        <v>10844</v>
      </c>
      <c r="Q179" s="207" t="s">
        <v>11680</v>
      </c>
    </row>
    <row r="180" customFormat="false" ht="86.25" hidden="false" customHeight="true" outlineLevel="0" collapsed="false">
      <c r="A180" s="255" t="s">
        <v>11681</v>
      </c>
      <c r="B180" s="255" t="s">
        <v>4626</v>
      </c>
      <c r="C180" s="263" t="s">
        <v>11682</v>
      </c>
      <c r="D180" s="255" t="s">
        <v>11683</v>
      </c>
      <c r="E180" s="255" t="s">
        <v>11684</v>
      </c>
      <c r="F180" s="255" t="s">
        <v>11685</v>
      </c>
      <c r="G180" s="255" t="s">
        <v>11686</v>
      </c>
      <c r="H180" s="255" t="s">
        <v>11687</v>
      </c>
      <c r="I180" s="266" t="s">
        <v>11688</v>
      </c>
      <c r="J180" s="255" t="s">
        <v>7595</v>
      </c>
      <c r="K180" s="267" t="s">
        <v>11689</v>
      </c>
      <c r="L180" s="207" t="s">
        <v>10709</v>
      </c>
      <c r="M180" s="6" t="s">
        <v>4122</v>
      </c>
      <c r="N180" s="30" t="s">
        <v>809</v>
      </c>
      <c r="O180" s="207" t="s">
        <v>11690</v>
      </c>
      <c r="P180" s="30" t="s">
        <v>10872</v>
      </c>
      <c r="Q180" s="207" t="s">
        <v>8373</v>
      </c>
      <c r="R180" s="245" t="s">
        <v>11691</v>
      </c>
    </row>
    <row r="181" customFormat="false" ht="57.75" hidden="false" customHeight="true" outlineLevel="0" collapsed="false">
      <c r="A181" s="255" t="s">
        <v>11692</v>
      </c>
      <c r="B181" s="255" t="s">
        <v>4626</v>
      </c>
      <c r="C181" s="263" t="s">
        <v>11693</v>
      </c>
      <c r="D181" s="255" t="s">
        <v>11694</v>
      </c>
      <c r="E181" s="255" t="s">
        <v>11695</v>
      </c>
      <c r="F181" s="255" t="s">
        <v>11696</v>
      </c>
      <c r="G181" s="255" t="s">
        <v>11697</v>
      </c>
      <c r="H181" s="255" t="s">
        <v>11698</v>
      </c>
      <c r="I181" s="266" t="s">
        <v>11688</v>
      </c>
      <c r="J181" s="255" t="s">
        <v>7595</v>
      </c>
      <c r="K181" s="263" t="s">
        <v>11699</v>
      </c>
      <c r="L181" s="207" t="s">
        <v>10709</v>
      </c>
      <c r="M181" s="6" t="s">
        <v>6724</v>
      </c>
      <c r="N181" s="30" t="s">
        <v>809</v>
      </c>
      <c r="O181" s="207" t="s">
        <v>11690</v>
      </c>
      <c r="P181" s="30" t="s">
        <v>10898</v>
      </c>
      <c r="Q181" s="207" t="s">
        <v>8373</v>
      </c>
      <c r="R181" s="245" t="s">
        <v>11691</v>
      </c>
    </row>
    <row r="182" customFormat="false" ht="72" hidden="false" customHeight="true" outlineLevel="0" collapsed="false">
      <c r="A182" s="255" t="s">
        <v>11700</v>
      </c>
      <c r="B182" s="255" t="s">
        <v>4626</v>
      </c>
      <c r="C182" s="267" t="s">
        <v>11701</v>
      </c>
      <c r="D182" s="255" t="s">
        <v>11702</v>
      </c>
      <c r="E182" s="255" t="s">
        <v>11703</v>
      </c>
      <c r="F182" s="255" t="s">
        <v>11704</v>
      </c>
      <c r="G182" s="255" t="s">
        <v>809</v>
      </c>
      <c r="H182" s="255" t="s">
        <v>809</v>
      </c>
      <c r="I182" s="266" t="s">
        <v>11688</v>
      </c>
      <c r="J182" s="255" t="s">
        <v>7595</v>
      </c>
      <c r="K182" s="267" t="s">
        <v>11705</v>
      </c>
      <c r="L182" s="207" t="s">
        <v>10709</v>
      </c>
      <c r="M182" s="6" t="s">
        <v>4122</v>
      </c>
      <c r="N182" s="30" t="s">
        <v>809</v>
      </c>
      <c r="O182" s="207" t="s">
        <v>11690</v>
      </c>
      <c r="P182" s="30" t="s">
        <v>10872</v>
      </c>
      <c r="Q182" s="207" t="s">
        <v>11706</v>
      </c>
      <c r="R182" s="245" t="s">
        <v>11691</v>
      </c>
    </row>
    <row r="183" customFormat="false" ht="171" hidden="false" customHeight="true" outlineLevel="0" collapsed="false">
      <c r="A183" s="255" t="s">
        <v>10090</v>
      </c>
      <c r="B183" s="255" t="s">
        <v>4626</v>
      </c>
      <c r="C183" s="263" t="s">
        <v>11707</v>
      </c>
      <c r="D183" s="255" t="s">
        <v>11708</v>
      </c>
      <c r="E183" s="255" t="s">
        <v>11709</v>
      </c>
      <c r="F183" s="255" t="s">
        <v>11710</v>
      </c>
      <c r="G183" s="255" t="s">
        <v>11711</v>
      </c>
      <c r="H183" s="255" t="s">
        <v>11712</v>
      </c>
      <c r="I183" s="266" t="s">
        <v>11713</v>
      </c>
      <c r="J183" s="255" t="s">
        <v>7595</v>
      </c>
      <c r="K183" s="267" t="s">
        <v>11714</v>
      </c>
      <c r="L183" s="207" t="s">
        <v>10709</v>
      </c>
      <c r="M183" s="6" t="s">
        <v>11715</v>
      </c>
      <c r="N183" s="30" t="s">
        <v>10084</v>
      </c>
      <c r="O183" s="30" t="s">
        <v>11716</v>
      </c>
      <c r="P183" s="30" t="s">
        <v>10872</v>
      </c>
      <c r="Q183" s="207" t="s">
        <v>8373</v>
      </c>
    </row>
    <row r="184" customFormat="false" ht="57.75" hidden="false" customHeight="true" outlineLevel="0" collapsed="false">
      <c r="A184" s="255" t="s">
        <v>11717</v>
      </c>
      <c r="B184" s="255" t="s">
        <v>4626</v>
      </c>
      <c r="C184" s="263" t="s">
        <v>11718</v>
      </c>
      <c r="D184" s="255" t="s">
        <v>11719</v>
      </c>
      <c r="E184" s="255" t="s">
        <v>809</v>
      </c>
      <c r="F184" s="255" t="s">
        <v>11720</v>
      </c>
      <c r="G184" s="255" t="s">
        <v>11721</v>
      </c>
      <c r="H184" s="266" t="s">
        <v>11390</v>
      </c>
      <c r="I184" s="266" t="s">
        <v>11722</v>
      </c>
      <c r="J184" s="255" t="s">
        <v>7595</v>
      </c>
      <c r="K184" s="267" t="s">
        <v>11723</v>
      </c>
      <c r="L184" s="207" t="s">
        <v>10709</v>
      </c>
      <c r="M184" s="6" t="s">
        <v>11724</v>
      </c>
      <c r="N184" s="30" t="s">
        <v>809</v>
      </c>
      <c r="O184" s="207" t="s">
        <v>5238</v>
      </c>
      <c r="P184" s="30" t="s">
        <v>809</v>
      </c>
      <c r="Q184" s="30" t="s">
        <v>809</v>
      </c>
      <c r="R184" s="245" t="s">
        <v>11725</v>
      </c>
    </row>
    <row r="185" customFormat="false" ht="129" hidden="false" customHeight="true" outlineLevel="0" collapsed="false">
      <c r="A185" s="255" t="s">
        <v>11726</v>
      </c>
      <c r="B185" s="255" t="s">
        <v>4626</v>
      </c>
      <c r="C185" s="267" t="s">
        <v>11727</v>
      </c>
      <c r="D185" s="255" t="s">
        <v>11728</v>
      </c>
      <c r="E185" s="255" t="s">
        <v>11729</v>
      </c>
      <c r="F185" s="255" t="s">
        <v>11730</v>
      </c>
      <c r="G185" s="255" t="s">
        <v>11731</v>
      </c>
      <c r="H185" s="266" t="s">
        <v>11732</v>
      </c>
      <c r="I185" s="266" t="s">
        <v>11733</v>
      </c>
      <c r="J185" s="255" t="s">
        <v>7595</v>
      </c>
      <c r="K185" s="263" t="s">
        <v>11734</v>
      </c>
      <c r="L185" s="207" t="s">
        <v>10709</v>
      </c>
      <c r="M185" s="6" t="s">
        <v>11735</v>
      </c>
      <c r="N185" s="30" t="s">
        <v>809</v>
      </c>
      <c r="O185" s="30" t="s">
        <v>11736</v>
      </c>
      <c r="P185" s="30" t="s">
        <v>10898</v>
      </c>
      <c r="Q185" s="207" t="s">
        <v>8373</v>
      </c>
    </row>
    <row r="186" customFormat="false" ht="100.5" hidden="false" customHeight="true" outlineLevel="0" collapsed="false">
      <c r="A186" s="255" t="s">
        <v>11737</v>
      </c>
      <c r="B186" s="255" t="s">
        <v>4626</v>
      </c>
      <c r="C186" s="263" t="s">
        <v>11738</v>
      </c>
      <c r="D186" s="255" t="s">
        <v>11739</v>
      </c>
      <c r="E186" s="255" t="s">
        <v>11740</v>
      </c>
      <c r="F186" s="255" t="s">
        <v>11741</v>
      </c>
      <c r="G186" s="266" t="s">
        <v>11742</v>
      </c>
      <c r="H186" s="255" t="s">
        <v>809</v>
      </c>
      <c r="I186" s="266" t="s">
        <v>11743</v>
      </c>
      <c r="J186" s="255" t="s">
        <v>7595</v>
      </c>
      <c r="K186" s="267" t="s">
        <v>11744</v>
      </c>
      <c r="L186" s="207" t="s">
        <v>10709</v>
      </c>
      <c r="M186" s="6" t="s">
        <v>809</v>
      </c>
      <c r="N186" s="30" t="s">
        <v>809</v>
      </c>
      <c r="O186" s="30" t="s">
        <v>11745</v>
      </c>
      <c r="P186" s="30" t="s">
        <v>809</v>
      </c>
      <c r="Q186" s="30" t="s">
        <v>809</v>
      </c>
    </row>
    <row r="187" customFormat="false" ht="57.75" hidden="false" customHeight="true" outlineLevel="0" collapsed="false">
      <c r="A187" s="255" t="s">
        <v>11746</v>
      </c>
      <c r="B187" s="255" t="s">
        <v>4626</v>
      </c>
      <c r="C187" s="263" t="s">
        <v>11747</v>
      </c>
      <c r="D187" s="255" t="s">
        <v>11748</v>
      </c>
      <c r="E187" s="255" t="s">
        <v>11749</v>
      </c>
      <c r="F187" s="255" t="s">
        <v>11750</v>
      </c>
      <c r="G187" s="255" t="s">
        <v>11751</v>
      </c>
      <c r="H187" s="266" t="s">
        <v>11752</v>
      </c>
      <c r="I187" s="266" t="s">
        <v>11753</v>
      </c>
      <c r="J187" s="255" t="s">
        <v>7673</v>
      </c>
      <c r="K187" s="267" t="s">
        <v>11754</v>
      </c>
      <c r="L187" s="207" t="s">
        <v>10709</v>
      </c>
      <c r="M187" s="6" t="s">
        <v>5434</v>
      </c>
      <c r="N187" s="30" t="s">
        <v>809</v>
      </c>
      <c r="O187" s="30" t="s">
        <v>11755</v>
      </c>
      <c r="P187" s="30" t="s">
        <v>10872</v>
      </c>
      <c r="Q187" s="207" t="s">
        <v>8373</v>
      </c>
    </row>
    <row r="188" customFormat="false" ht="72" hidden="false" customHeight="true" outlineLevel="0" collapsed="false">
      <c r="A188" s="255" t="s">
        <v>8722</v>
      </c>
      <c r="B188" s="255" t="s">
        <v>4626</v>
      </c>
      <c r="C188" s="263" t="s">
        <v>11756</v>
      </c>
      <c r="D188" s="255" t="s">
        <v>11757</v>
      </c>
      <c r="E188" s="255" t="s">
        <v>11749</v>
      </c>
      <c r="F188" s="255" t="s">
        <v>11758</v>
      </c>
      <c r="G188" s="255" t="s">
        <v>11759</v>
      </c>
      <c r="H188" s="255" t="s">
        <v>11760</v>
      </c>
      <c r="I188" s="266" t="s">
        <v>11761</v>
      </c>
      <c r="J188" s="255" t="s">
        <v>7673</v>
      </c>
      <c r="K188" s="267" t="s">
        <v>11762</v>
      </c>
      <c r="L188" s="207" t="s">
        <v>10709</v>
      </c>
      <c r="M188" s="6" t="s">
        <v>8716</v>
      </c>
      <c r="N188" s="30" t="s">
        <v>809</v>
      </c>
      <c r="O188" s="30" t="s">
        <v>11755</v>
      </c>
      <c r="P188" s="30" t="s">
        <v>10872</v>
      </c>
      <c r="Q188" s="207" t="s">
        <v>8373</v>
      </c>
      <c r="R188" s="245" t="s">
        <v>10736</v>
      </c>
    </row>
    <row r="189" customFormat="false" ht="72" hidden="false" customHeight="true" outlineLevel="0" collapsed="false">
      <c r="A189" s="255" t="s">
        <v>11763</v>
      </c>
      <c r="B189" s="255" t="s">
        <v>4626</v>
      </c>
      <c r="C189" s="263" t="s">
        <v>11764</v>
      </c>
      <c r="D189" s="255" t="s">
        <v>11765</v>
      </c>
      <c r="E189" s="255" t="s">
        <v>11766</v>
      </c>
      <c r="F189" s="255" t="s">
        <v>11767</v>
      </c>
      <c r="G189" s="255" t="s">
        <v>11768</v>
      </c>
      <c r="H189" s="255" t="s">
        <v>11769</v>
      </c>
      <c r="I189" s="266" t="s">
        <v>11770</v>
      </c>
      <c r="J189" s="255" t="s">
        <v>7673</v>
      </c>
      <c r="K189" s="267" t="s">
        <v>11771</v>
      </c>
      <c r="L189" s="207" t="s">
        <v>10709</v>
      </c>
      <c r="M189" s="6" t="s">
        <v>11772</v>
      </c>
      <c r="N189" s="30" t="s">
        <v>809</v>
      </c>
      <c r="O189" s="30" t="s">
        <v>11755</v>
      </c>
      <c r="P189" s="30" t="s">
        <v>10872</v>
      </c>
      <c r="Q189" s="207" t="s">
        <v>8480</v>
      </c>
    </row>
    <row r="190" customFormat="false" ht="72" hidden="false" customHeight="true" outlineLevel="0" collapsed="false">
      <c r="A190" s="255" t="s">
        <v>8838</v>
      </c>
      <c r="B190" s="255" t="s">
        <v>4626</v>
      </c>
      <c r="C190" s="263" t="s">
        <v>11773</v>
      </c>
      <c r="D190" s="255" t="s">
        <v>11774</v>
      </c>
      <c r="E190" s="255" t="s">
        <v>11775</v>
      </c>
      <c r="F190" s="255" t="s">
        <v>11776</v>
      </c>
      <c r="G190" s="255" t="s">
        <v>809</v>
      </c>
      <c r="H190" s="255" t="s">
        <v>11777</v>
      </c>
      <c r="I190" s="266" t="s">
        <v>11778</v>
      </c>
      <c r="J190" s="255" t="s">
        <v>7673</v>
      </c>
      <c r="K190" s="263" t="s">
        <v>11779</v>
      </c>
      <c r="L190" s="207" t="s">
        <v>10709</v>
      </c>
      <c r="M190" s="6" t="s">
        <v>4313</v>
      </c>
      <c r="N190" s="30" t="s">
        <v>809</v>
      </c>
      <c r="O190" s="30" t="s">
        <v>11780</v>
      </c>
      <c r="P190" s="30" t="s">
        <v>10898</v>
      </c>
      <c r="Q190" s="207" t="s">
        <v>8373</v>
      </c>
    </row>
    <row r="191" customFormat="false" ht="72" hidden="false" customHeight="true" outlineLevel="0" collapsed="false">
      <c r="A191" s="255" t="s">
        <v>11781</v>
      </c>
      <c r="B191" s="255" t="s">
        <v>4626</v>
      </c>
      <c r="C191" s="263" t="s">
        <v>11782</v>
      </c>
      <c r="D191" s="255" t="s">
        <v>11783</v>
      </c>
      <c r="E191" s="255" t="s">
        <v>11784</v>
      </c>
      <c r="F191" s="255" t="s">
        <v>11785</v>
      </c>
      <c r="G191" s="255" t="s">
        <v>11786</v>
      </c>
      <c r="H191" s="255" t="s">
        <v>11787</v>
      </c>
      <c r="I191" s="266" t="s">
        <v>11788</v>
      </c>
      <c r="J191" s="255" t="s">
        <v>7673</v>
      </c>
      <c r="K191" s="267" t="s">
        <v>11789</v>
      </c>
      <c r="L191" s="207" t="s">
        <v>10709</v>
      </c>
      <c r="M191" s="6" t="s">
        <v>5437</v>
      </c>
      <c r="N191" s="30" t="s">
        <v>809</v>
      </c>
      <c r="O191" s="30" t="s">
        <v>11790</v>
      </c>
      <c r="P191" s="30" t="s">
        <v>10872</v>
      </c>
      <c r="Q191" s="207" t="s">
        <v>8480</v>
      </c>
    </row>
    <row r="192" customFormat="false" ht="57.75" hidden="false" customHeight="true" outlineLevel="0" collapsed="false">
      <c r="A192" s="255" t="s">
        <v>8733</v>
      </c>
      <c r="B192" s="255" t="s">
        <v>4626</v>
      </c>
      <c r="C192" s="263" t="s">
        <v>11791</v>
      </c>
      <c r="D192" s="255" t="s">
        <v>11792</v>
      </c>
      <c r="E192" s="255" t="s">
        <v>11793</v>
      </c>
      <c r="F192" s="255" t="s">
        <v>11794</v>
      </c>
      <c r="G192" s="255" t="s">
        <v>11795</v>
      </c>
      <c r="H192" s="266" t="s">
        <v>11796</v>
      </c>
      <c r="I192" s="266" t="s">
        <v>11797</v>
      </c>
      <c r="J192" s="255" t="s">
        <v>7673</v>
      </c>
      <c r="K192" s="267" t="s">
        <v>11798</v>
      </c>
      <c r="L192" s="207" t="s">
        <v>10709</v>
      </c>
      <c r="M192" s="6" t="s">
        <v>8726</v>
      </c>
      <c r="N192" s="30" t="s">
        <v>809</v>
      </c>
      <c r="O192" s="30" t="s">
        <v>809</v>
      </c>
      <c r="P192" s="30" t="s">
        <v>10898</v>
      </c>
      <c r="Q192" s="207" t="s">
        <v>8480</v>
      </c>
      <c r="R192" s="245" t="s">
        <v>10736</v>
      </c>
    </row>
    <row r="193" customFormat="false" ht="57.75" hidden="false" customHeight="true" outlineLevel="0" collapsed="false">
      <c r="A193" s="255" t="s">
        <v>11799</v>
      </c>
      <c r="B193" s="255" t="s">
        <v>4626</v>
      </c>
      <c r="C193" s="263" t="s">
        <v>11800</v>
      </c>
      <c r="D193" s="255" t="s">
        <v>11801</v>
      </c>
      <c r="E193" s="255" t="s">
        <v>11802</v>
      </c>
      <c r="F193" s="255" t="s">
        <v>11803</v>
      </c>
      <c r="G193" s="255" t="s">
        <v>11804</v>
      </c>
      <c r="H193" s="255" t="s">
        <v>11805</v>
      </c>
      <c r="I193" s="266" t="s">
        <v>11806</v>
      </c>
      <c r="J193" s="255" t="s">
        <v>7673</v>
      </c>
      <c r="K193" s="267" t="s">
        <v>11807</v>
      </c>
      <c r="L193" s="207" t="s">
        <v>10709</v>
      </c>
      <c r="M193" s="6" t="s">
        <v>8420</v>
      </c>
      <c r="N193" s="30" t="s">
        <v>809</v>
      </c>
      <c r="O193" s="30" t="s">
        <v>11755</v>
      </c>
      <c r="P193" s="30" t="s">
        <v>10844</v>
      </c>
      <c r="Q193" s="207" t="s">
        <v>8373</v>
      </c>
      <c r="R193" s="245" t="s">
        <v>11808</v>
      </c>
    </row>
    <row r="194" customFormat="false" ht="57.75" hidden="false" customHeight="true" outlineLevel="0" collapsed="false">
      <c r="A194" s="255" t="s">
        <v>11809</v>
      </c>
      <c r="B194" s="255" t="s">
        <v>4626</v>
      </c>
      <c r="C194" s="263" t="s">
        <v>11810</v>
      </c>
      <c r="D194" s="255" t="s">
        <v>11811</v>
      </c>
      <c r="E194" s="255" t="s">
        <v>11749</v>
      </c>
      <c r="F194" s="255" t="s">
        <v>809</v>
      </c>
      <c r="G194" s="255" t="s">
        <v>809</v>
      </c>
      <c r="H194" s="255" t="s">
        <v>11812</v>
      </c>
      <c r="I194" s="266" t="s">
        <v>11813</v>
      </c>
      <c r="J194" s="255" t="s">
        <v>7673</v>
      </c>
      <c r="K194" s="267" t="s">
        <v>11814</v>
      </c>
      <c r="L194" s="207" t="s">
        <v>10709</v>
      </c>
      <c r="M194" s="6" t="s">
        <v>809</v>
      </c>
      <c r="N194" s="30" t="s">
        <v>809</v>
      </c>
      <c r="O194" s="30" t="s">
        <v>809</v>
      </c>
      <c r="P194" s="30" t="s">
        <v>10872</v>
      </c>
      <c r="Q194" s="207" t="s">
        <v>8373</v>
      </c>
    </row>
    <row r="195" customFormat="false" ht="86.25" hidden="false" customHeight="true" outlineLevel="0" collapsed="false">
      <c r="A195" s="255" t="s">
        <v>11815</v>
      </c>
      <c r="B195" s="255" t="s">
        <v>4626</v>
      </c>
      <c r="C195" s="263" t="s">
        <v>11816</v>
      </c>
      <c r="D195" s="255" t="s">
        <v>11817</v>
      </c>
      <c r="E195" s="255" t="s">
        <v>11818</v>
      </c>
      <c r="F195" s="255" t="s">
        <v>11819</v>
      </c>
      <c r="G195" s="255" t="s">
        <v>11820</v>
      </c>
      <c r="H195" s="255" t="s">
        <v>11821</v>
      </c>
      <c r="I195" s="266" t="s">
        <v>11822</v>
      </c>
      <c r="J195" s="255" t="s">
        <v>7673</v>
      </c>
      <c r="K195" s="263" t="s">
        <v>11823</v>
      </c>
      <c r="L195" s="207" t="s">
        <v>10709</v>
      </c>
      <c r="M195" s="6" t="s">
        <v>809</v>
      </c>
      <c r="N195" s="30" t="s">
        <v>809</v>
      </c>
      <c r="O195" s="30" t="s">
        <v>11824</v>
      </c>
      <c r="P195" s="30" t="s">
        <v>10872</v>
      </c>
      <c r="Q195" s="207" t="s">
        <v>8373</v>
      </c>
    </row>
    <row r="196" customFormat="false" ht="100.5" hidden="false" customHeight="true" outlineLevel="0" collapsed="false">
      <c r="A196" s="255" t="s">
        <v>8847</v>
      </c>
      <c r="B196" s="255" t="s">
        <v>4626</v>
      </c>
      <c r="C196" s="263" t="s">
        <v>11825</v>
      </c>
      <c r="D196" s="255" t="s">
        <v>11826</v>
      </c>
      <c r="E196" s="255" t="s">
        <v>11827</v>
      </c>
      <c r="F196" s="255" t="s">
        <v>11828</v>
      </c>
      <c r="G196" s="255" t="s">
        <v>11829</v>
      </c>
      <c r="H196" s="266" t="s">
        <v>11830</v>
      </c>
      <c r="I196" s="266" t="s">
        <v>11831</v>
      </c>
      <c r="J196" s="255" t="s">
        <v>7673</v>
      </c>
      <c r="K196" s="263" t="s">
        <v>11832</v>
      </c>
      <c r="L196" s="207" t="s">
        <v>10709</v>
      </c>
      <c r="M196" s="6" t="s">
        <v>6801</v>
      </c>
      <c r="N196" s="30" t="s">
        <v>809</v>
      </c>
      <c r="O196" s="30" t="s">
        <v>11833</v>
      </c>
      <c r="P196" s="30" t="s">
        <v>10898</v>
      </c>
      <c r="Q196" s="207" t="s">
        <v>8373</v>
      </c>
    </row>
    <row r="197" customFormat="false" ht="72" hidden="false" customHeight="true" outlineLevel="0" collapsed="false">
      <c r="A197" s="255" t="s">
        <v>8855</v>
      </c>
      <c r="B197" s="255" t="s">
        <v>4626</v>
      </c>
      <c r="C197" s="263" t="s">
        <v>11834</v>
      </c>
      <c r="D197" s="255" t="s">
        <v>11835</v>
      </c>
      <c r="E197" s="255" t="s">
        <v>11827</v>
      </c>
      <c r="F197" s="255" t="s">
        <v>11836</v>
      </c>
      <c r="G197" s="255" t="s">
        <v>11837</v>
      </c>
      <c r="H197" s="266" t="s">
        <v>11838</v>
      </c>
      <c r="I197" s="266" t="s">
        <v>11839</v>
      </c>
      <c r="J197" s="255" t="s">
        <v>7673</v>
      </c>
      <c r="K197" s="267" t="s">
        <v>11840</v>
      </c>
      <c r="L197" s="207" t="s">
        <v>10709</v>
      </c>
      <c r="M197" s="6" t="s">
        <v>8848</v>
      </c>
      <c r="N197" s="30" t="s">
        <v>809</v>
      </c>
      <c r="O197" s="30" t="s">
        <v>11833</v>
      </c>
      <c r="P197" s="30" t="s">
        <v>10898</v>
      </c>
      <c r="Q197" s="207" t="s">
        <v>8373</v>
      </c>
    </row>
    <row r="198" customFormat="false" ht="72" hidden="false" customHeight="true" outlineLevel="0" collapsed="false">
      <c r="A198" s="255" t="s">
        <v>8865</v>
      </c>
      <c r="B198" s="255" t="s">
        <v>4626</v>
      </c>
      <c r="C198" s="263" t="s">
        <v>11841</v>
      </c>
      <c r="D198" s="255" t="s">
        <v>11842</v>
      </c>
      <c r="E198" s="255" t="s">
        <v>11843</v>
      </c>
      <c r="F198" s="255" t="s">
        <v>11844</v>
      </c>
      <c r="G198" s="255" t="s">
        <v>11837</v>
      </c>
      <c r="H198" s="255" t="s">
        <v>11845</v>
      </c>
      <c r="I198" s="266" t="s">
        <v>11846</v>
      </c>
      <c r="J198" s="255" t="s">
        <v>7673</v>
      </c>
      <c r="K198" s="267" t="s">
        <v>11847</v>
      </c>
      <c r="L198" s="207" t="s">
        <v>10709</v>
      </c>
      <c r="M198" s="6" t="s">
        <v>6813</v>
      </c>
      <c r="N198" s="30" t="s">
        <v>809</v>
      </c>
      <c r="O198" s="30" t="s">
        <v>11833</v>
      </c>
      <c r="P198" s="30" t="s">
        <v>10872</v>
      </c>
      <c r="Q198" s="207" t="s">
        <v>8373</v>
      </c>
    </row>
    <row r="199" customFormat="false" ht="57.75" hidden="false" customHeight="true" outlineLevel="0" collapsed="false">
      <c r="A199" s="255" t="s">
        <v>11848</v>
      </c>
      <c r="B199" s="255" t="s">
        <v>4626</v>
      </c>
      <c r="C199" s="263" t="s">
        <v>11849</v>
      </c>
      <c r="D199" s="255" t="s">
        <v>11850</v>
      </c>
      <c r="E199" s="255" t="s">
        <v>11851</v>
      </c>
      <c r="F199" s="255" t="s">
        <v>11852</v>
      </c>
      <c r="G199" s="255" t="s">
        <v>11853</v>
      </c>
      <c r="H199" s="255" t="s">
        <v>11854</v>
      </c>
      <c r="I199" s="266" t="s">
        <v>11855</v>
      </c>
      <c r="J199" s="255" t="s">
        <v>7673</v>
      </c>
      <c r="K199" s="267" t="s">
        <v>11856</v>
      </c>
      <c r="L199" s="207" t="s">
        <v>10709</v>
      </c>
      <c r="M199" s="6" t="s">
        <v>809</v>
      </c>
      <c r="N199" s="30" t="s">
        <v>809</v>
      </c>
      <c r="O199" s="30" t="s">
        <v>11833</v>
      </c>
      <c r="P199" s="30" t="s">
        <v>10872</v>
      </c>
      <c r="Q199" s="207" t="s">
        <v>8373</v>
      </c>
    </row>
    <row r="200" customFormat="false" ht="72" hidden="false" customHeight="true" outlineLevel="0" collapsed="false">
      <c r="A200" s="255" t="s">
        <v>11857</v>
      </c>
      <c r="B200" s="255" t="s">
        <v>4626</v>
      </c>
      <c r="C200" s="263" t="s">
        <v>11858</v>
      </c>
      <c r="D200" s="255" t="s">
        <v>11859</v>
      </c>
      <c r="E200" s="255" t="s">
        <v>11818</v>
      </c>
      <c r="F200" s="255" t="s">
        <v>11860</v>
      </c>
      <c r="G200" s="255" t="s">
        <v>11837</v>
      </c>
      <c r="H200" s="255" t="s">
        <v>11861</v>
      </c>
      <c r="I200" s="266" t="s">
        <v>11862</v>
      </c>
      <c r="J200" s="255" t="s">
        <v>7673</v>
      </c>
      <c r="K200" s="267" t="s">
        <v>11863</v>
      </c>
      <c r="L200" s="207" t="s">
        <v>10709</v>
      </c>
      <c r="M200" s="6" t="s">
        <v>809</v>
      </c>
      <c r="N200" s="30" t="s">
        <v>809</v>
      </c>
      <c r="O200" s="30" t="s">
        <v>11833</v>
      </c>
      <c r="P200" s="30" t="s">
        <v>10872</v>
      </c>
      <c r="Q200" s="207" t="s">
        <v>8373</v>
      </c>
    </row>
    <row r="201" customFormat="false" ht="57.75" hidden="false" customHeight="true" outlineLevel="0" collapsed="false">
      <c r="A201" s="255" t="s">
        <v>11864</v>
      </c>
      <c r="B201" s="255" t="s">
        <v>4626</v>
      </c>
      <c r="C201" s="267" t="s">
        <v>11865</v>
      </c>
      <c r="D201" s="255" t="s">
        <v>11866</v>
      </c>
      <c r="E201" s="255" t="s">
        <v>11867</v>
      </c>
      <c r="F201" s="255" t="s">
        <v>11868</v>
      </c>
      <c r="G201" s="255" t="s">
        <v>11869</v>
      </c>
      <c r="H201" s="255" t="s">
        <v>11870</v>
      </c>
      <c r="I201" s="266" t="s">
        <v>11871</v>
      </c>
      <c r="J201" s="255" t="s">
        <v>7673</v>
      </c>
      <c r="K201" s="267" t="s">
        <v>11872</v>
      </c>
      <c r="L201" s="207" t="s">
        <v>10709</v>
      </c>
      <c r="M201" s="6" t="s">
        <v>809</v>
      </c>
      <c r="N201" s="30" t="s">
        <v>809</v>
      </c>
      <c r="O201" s="30" t="s">
        <v>11873</v>
      </c>
      <c r="P201" s="30" t="s">
        <v>10844</v>
      </c>
      <c r="Q201" s="207" t="s">
        <v>8373</v>
      </c>
    </row>
    <row r="202" customFormat="false" ht="72" hidden="false" customHeight="true" outlineLevel="0" collapsed="false">
      <c r="A202" s="255" t="s">
        <v>11874</v>
      </c>
      <c r="B202" s="255" t="s">
        <v>4626</v>
      </c>
      <c r="C202" s="263" t="s">
        <v>11875</v>
      </c>
      <c r="D202" s="255" t="s">
        <v>11876</v>
      </c>
      <c r="E202" s="255" t="s">
        <v>11877</v>
      </c>
      <c r="F202" s="255" t="s">
        <v>11878</v>
      </c>
      <c r="G202" s="255" t="s">
        <v>11879</v>
      </c>
      <c r="H202" s="255" t="s">
        <v>11880</v>
      </c>
      <c r="I202" s="266" t="s">
        <v>11881</v>
      </c>
      <c r="J202" s="255" t="s">
        <v>7673</v>
      </c>
      <c r="K202" s="263" t="s">
        <v>11882</v>
      </c>
      <c r="L202" s="207" t="s">
        <v>10709</v>
      </c>
      <c r="M202" s="6" t="s">
        <v>809</v>
      </c>
      <c r="N202" s="30" t="s">
        <v>809</v>
      </c>
      <c r="O202" s="30" t="s">
        <v>11873</v>
      </c>
      <c r="P202" s="30" t="s">
        <v>10898</v>
      </c>
      <c r="Q202" s="207" t="s">
        <v>8373</v>
      </c>
      <c r="R202" s="245" t="s">
        <v>11883</v>
      </c>
    </row>
    <row r="203" customFormat="false" ht="72" hidden="false" customHeight="true" outlineLevel="0" collapsed="false">
      <c r="A203" s="255" t="s">
        <v>10100</v>
      </c>
      <c r="B203" s="255" t="s">
        <v>7700</v>
      </c>
      <c r="C203" s="263" t="s">
        <v>11884</v>
      </c>
      <c r="D203" s="255" t="s">
        <v>11885</v>
      </c>
      <c r="E203" s="255" t="s">
        <v>11886</v>
      </c>
      <c r="F203" s="255" t="s">
        <v>11887</v>
      </c>
      <c r="G203" s="255" t="s">
        <v>809</v>
      </c>
      <c r="H203" s="255" t="s">
        <v>11888</v>
      </c>
      <c r="I203" s="266" t="s">
        <v>11889</v>
      </c>
      <c r="J203" s="255" t="s">
        <v>7697</v>
      </c>
      <c r="K203" s="267" t="s">
        <v>11890</v>
      </c>
      <c r="L203" s="207" t="s">
        <v>10709</v>
      </c>
      <c r="M203" s="6" t="s">
        <v>11891</v>
      </c>
      <c r="N203" s="30" t="s">
        <v>809</v>
      </c>
      <c r="O203" s="30" t="s">
        <v>11892</v>
      </c>
      <c r="P203" s="30" t="s">
        <v>10898</v>
      </c>
      <c r="Q203" s="207" t="s">
        <v>8373</v>
      </c>
    </row>
    <row r="204" customFormat="false" ht="72" hidden="false" customHeight="true" outlineLevel="0" collapsed="false">
      <c r="A204" s="255" t="s">
        <v>10119</v>
      </c>
      <c r="B204" s="255" t="s">
        <v>7700</v>
      </c>
      <c r="C204" s="263" t="s">
        <v>11893</v>
      </c>
      <c r="D204" s="255" t="s">
        <v>11894</v>
      </c>
      <c r="E204" s="255" t="s">
        <v>11886</v>
      </c>
      <c r="F204" s="255" t="s">
        <v>11895</v>
      </c>
      <c r="G204" s="255" t="s">
        <v>809</v>
      </c>
      <c r="H204" s="255" t="s">
        <v>11896</v>
      </c>
      <c r="I204" s="266" t="s">
        <v>11897</v>
      </c>
      <c r="J204" s="255" t="s">
        <v>7697</v>
      </c>
      <c r="K204" s="263" t="s">
        <v>11898</v>
      </c>
      <c r="L204" s="207" t="s">
        <v>10709</v>
      </c>
      <c r="M204" s="6" t="s">
        <v>11899</v>
      </c>
      <c r="N204" s="30" t="s">
        <v>809</v>
      </c>
      <c r="O204" s="30" t="s">
        <v>11892</v>
      </c>
      <c r="P204" s="30" t="s">
        <v>10898</v>
      </c>
      <c r="Q204" s="207" t="s">
        <v>8373</v>
      </c>
    </row>
    <row r="205" customFormat="false" ht="72" hidden="false" customHeight="true" outlineLevel="0" collapsed="false">
      <c r="A205" s="255" t="s">
        <v>10128</v>
      </c>
      <c r="B205" s="255" t="s">
        <v>7700</v>
      </c>
      <c r="C205" s="263" t="s">
        <v>11900</v>
      </c>
      <c r="D205" s="255" t="s">
        <v>11901</v>
      </c>
      <c r="E205" s="255" t="s">
        <v>11749</v>
      </c>
      <c r="F205" s="255" t="s">
        <v>11902</v>
      </c>
      <c r="G205" s="255" t="s">
        <v>809</v>
      </c>
      <c r="H205" s="255" t="s">
        <v>11903</v>
      </c>
      <c r="I205" s="266" t="s">
        <v>11904</v>
      </c>
      <c r="J205" s="255" t="s">
        <v>7697</v>
      </c>
      <c r="K205" s="267" t="s">
        <v>11905</v>
      </c>
      <c r="L205" s="207" t="s">
        <v>10709</v>
      </c>
      <c r="M205" s="6" t="s">
        <v>11906</v>
      </c>
      <c r="N205" s="30" t="s">
        <v>809</v>
      </c>
      <c r="O205" s="30" t="s">
        <v>11892</v>
      </c>
      <c r="P205" s="30" t="s">
        <v>10872</v>
      </c>
      <c r="Q205" s="207" t="s">
        <v>8373</v>
      </c>
      <c r="R205" s="245" t="s">
        <v>10736</v>
      </c>
    </row>
    <row r="206" customFormat="false" ht="72" hidden="false" customHeight="true" outlineLevel="0" collapsed="false">
      <c r="A206" s="255" t="s">
        <v>10139</v>
      </c>
      <c r="B206" s="255" t="s">
        <v>7700</v>
      </c>
      <c r="C206" s="263" t="s">
        <v>11907</v>
      </c>
      <c r="D206" s="255" t="s">
        <v>11908</v>
      </c>
      <c r="E206" s="255" t="s">
        <v>11749</v>
      </c>
      <c r="F206" s="255" t="s">
        <v>11909</v>
      </c>
      <c r="G206" s="255" t="s">
        <v>809</v>
      </c>
      <c r="H206" s="255" t="s">
        <v>11910</v>
      </c>
      <c r="I206" s="266" t="s">
        <v>11911</v>
      </c>
      <c r="J206" s="255" t="s">
        <v>7697</v>
      </c>
      <c r="K206" s="267" t="s">
        <v>11912</v>
      </c>
      <c r="L206" s="207" t="s">
        <v>10709</v>
      </c>
      <c r="M206" s="6" t="s">
        <v>1580</v>
      </c>
      <c r="N206" s="30" t="s">
        <v>809</v>
      </c>
      <c r="O206" s="30" t="s">
        <v>11892</v>
      </c>
      <c r="P206" s="30" t="s">
        <v>10872</v>
      </c>
      <c r="Q206" s="207" t="s">
        <v>8373</v>
      </c>
    </row>
    <row r="207" customFormat="false" ht="72" hidden="false" customHeight="true" outlineLevel="0" collapsed="false">
      <c r="A207" s="255" t="s">
        <v>11913</v>
      </c>
      <c r="B207" s="255" t="s">
        <v>7700</v>
      </c>
      <c r="C207" s="263" t="s">
        <v>11914</v>
      </c>
      <c r="D207" s="255" t="s">
        <v>11915</v>
      </c>
      <c r="E207" s="255" t="s">
        <v>11749</v>
      </c>
      <c r="F207" s="255" t="s">
        <v>809</v>
      </c>
      <c r="G207" s="255" t="s">
        <v>809</v>
      </c>
      <c r="H207" s="255" t="s">
        <v>11916</v>
      </c>
      <c r="I207" s="266" t="s">
        <v>11917</v>
      </c>
      <c r="J207" s="255" t="s">
        <v>7697</v>
      </c>
      <c r="K207" s="267" t="s">
        <v>11918</v>
      </c>
      <c r="L207" s="207" t="s">
        <v>10709</v>
      </c>
      <c r="M207" s="6" t="s">
        <v>809</v>
      </c>
      <c r="N207" s="30" t="s">
        <v>809</v>
      </c>
      <c r="O207" s="30" t="s">
        <v>809</v>
      </c>
      <c r="P207" s="30" t="s">
        <v>10872</v>
      </c>
      <c r="Q207" s="207" t="s">
        <v>8373</v>
      </c>
      <c r="R207" s="245" t="s">
        <v>11919</v>
      </c>
    </row>
    <row r="208" customFormat="false" ht="72" hidden="false" customHeight="true" outlineLevel="0" collapsed="false">
      <c r="A208" s="255" t="s">
        <v>10146</v>
      </c>
      <c r="B208" s="255" t="s">
        <v>7700</v>
      </c>
      <c r="C208" s="263" t="s">
        <v>11920</v>
      </c>
      <c r="D208" s="255" t="s">
        <v>11921</v>
      </c>
      <c r="E208" s="255" t="s">
        <v>11922</v>
      </c>
      <c r="F208" s="255" t="s">
        <v>11902</v>
      </c>
      <c r="G208" s="255" t="s">
        <v>809</v>
      </c>
      <c r="H208" s="255" t="s">
        <v>11923</v>
      </c>
      <c r="I208" s="266" t="s">
        <v>11924</v>
      </c>
      <c r="J208" s="255" t="s">
        <v>7697</v>
      </c>
      <c r="K208" s="263" t="s">
        <v>11925</v>
      </c>
      <c r="L208" s="207" t="s">
        <v>10709</v>
      </c>
      <c r="M208" s="6" t="s">
        <v>11926</v>
      </c>
      <c r="N208" s="30" t="s">
        <v>809</v>
      </c>
      <c r="O208" s="30" t="s">
        <v>11892</v>
      </c>
      <c r="P208" s="30" t="s">
        <v>11927</v>
      </c>
      <c r="Q208" s="207" t="s">
        <v>8373</v>
      </c>
    </row>
    <row r="209" customFormat="false" ht="72" hidden="false" customHeight="true" outlineLevel="0" collapsed="false">
      <c r="A209" s="255" t="s">
        <v>10170</v>
      </c>
      <c r="B209" s="255" t="s">
        <v>7700</v>
      </c>
      <c r="C209" s="263" t="s">
        <v>11928</v>
      </c>
      <c r="D209" s="255" t="s">
        <v>11929</v>
      </c>
      <c r="E209" s="255" t="s">
        <v>11749</v>
      </c>
      <c r="F209" s="255" t="s">
        <v>11930</v>
      </c>
      <c r="G209" s="255" t="s">
        <v>809</v>
      </c>
      <c r="H209" s="255" t="s">
        <v>11931</v>
      </c>
      <c r="I209" s="266" t="s">
        <v>11932</v>
      </c>
      <c r="J209" s="255" t="s">
        <v>7697</v>
      </c>
      <c r="K209" s="267" t="s">
        <v>11933</v>
      </c>
      <c r="L209" s="207" t="s">
        <v>10709</v>
      </c>
      <c r="M209" s="6" t="s">
        <v>11934</v>
      </c>
      <c r="N209" s="30" t="s">
        <v>809</v>
      </c>
      <c r="O209" s="30" t="s">
        <v>809</v>
      </c>
      <c r="P209" s="30" t="s">
        <v>10872</v>
      </c>
      <c r="Q209" s="207" t="s">
        <v>8373</v>
      </c>
      <c r="R209" s="245" t="s">
        <v>10736</v>
      </c>
    </row>
    <row r="210" customFormat="false" ht="72" hidden="false" customHeight="true" outlineLevel="0" collapsed="false">
      <c r="A210" s="255" t="s">
        <v>10180</v>
      </c>
      <c r="B210" s="255" t="s">
        <v>7700</v>
      </c>
      <c r="C210" s="263" t="s">
        <v>11935</v>
      </c>
      <c r="D210" s="255" t="s">
        <v>11936</v>
      </c>
      <c r="E210" s="255" t="s">
        <v>11886</v>
      </c>
      <c r="F210" s="255" t="s">
        <v>11937</v>
      </c>
      <c r="G210" s="255" t="s">
        <v>809</v>
      </c>
      <c r="H210" s="255" t="s">
        <v>11938</v>
      </c>
      <c r="I210" s="266" t="s">
        <v>11939</v>
      </c>
      <c r="J210" s="255" t="s">
        <v>7697</v>
      </c>
      <c r="K210" s="263" t="s">
        <v>11940</v>
      </c>
      <c r="L210" s="207" t="s">
        <v>10709</v>
      </c>
      <c r="M210" s="6" t="s">
        <v>11941</v>
      </c>
      <c r="N210" s="30" t="s">
        <v>809</v>
      </c>
      <c r="O210" s="30" t="s">
        <v>809</v>
      </c>
      <c r="P210" s="30" t="s">
        <v>10898</v>
      </c>
      <c r="Q210" s="207" t="s">
        <v>8373</v>
      </c>
    </row>
    <row r="211" customFormat="false" ht="72" hidden="false" customHeight="true" outlineLevel="0" collapsed="false">
      <c r="A211" s="255" t="s">
        <v>10195</v>
      </c>
      <c r="B211" s="255" t="s">
        <v>7700</v>
      </c>
      <c r="C211" s="263" t="s">
        <v>11942</v>
      </c>
      <c r="D211" s="255" t="s">
        <v>11943</v>
      </c>
      <c r="E211" s="255" t="s">
        <v>11749</v>
      </c>
      <c r="F211" s="255" t="s">
        <v>11944</v>
      </c>
      <c r="G211" s="255" t="s">
        <v>809</v>
      </c>
      <c r="H211" s="266" t="s">
        <v>11945</v>
      </c>
      <c r="I211" s="266" t="s">
        <v>11946</v>
      </c>
      <c r="J211" s="255" t="s">
        <v>7697</v>
      </c>
      <c r="K211" s="267" t="s">
        <v>11947</v>
      </c>
      <c r="L211" s="207" t="s">
        <v>10709</v>
      </c>
      <c r="M211" s="6" t="s">
        <v>11948</v>
      </c>
      <c r="N211" s="30" t="s">
        <v>809</v>
      </c>
      <c r="O211" s="30" t="s">
        <v>809</v>
      </c>
      <c r="P211" s="30" t="s">
        <v>10872</v>
      </c>
      <c r="Q211" s="207" t="s">
        <v>8373</v>
      </c>
    </row>
    <row r="212" customFormat="false" ht="72" hidden="false" customHeight="true" outlineLevel="0" collapsed="false">
      <c r="A212" s="255" t="s">
        <v>10216</v>
      </c>
      <c r="B212" s="255" t="s">
        <v>7700</v>
      </c>
      <c r="C212" s="263" t="s">
        <v>11949</v>
      </c>
      <c r="D212" s="255" t="s">
        <v>11950</v>
      </c>
      <c r="E212" s="255" t="s">
        <v>11749</v>
      </c>
      <c r="F212" s="266" t="s">
        <v>11951</v>
      </c>
      <c r="G212" s="255" t="s">
        <v>11952</v>
      </c>
      <c r="H212" s="266" t="s">
        <v>11953</v>
      </c>
      <c r="I212" s="266" t="s">
        <v>11954</v>
      </c>
      <c r="J212" s="255" t="s">
        <v>7697</v>
      </c>
      <c r="K212" s="263" t="s">
        <v>11955</v>
      </c>
      <c r="L212" s="207" t="s">
        <v>10709</v>
      </c>
      <c r="M212" s="6" t="s">
        <v>11956</v>
      </c>
      <c r="N212" s="30" t="s">
        <v>809</v>
      </c>
      <c r="O212" s="30" t="s">
        <v>11892</v>
      </c>
      <c r="P212" s="30" t="s">
        <v>10872</v>
      </c>
      <c r="Q212" s="207" t="s">
        <v>8373</v>
      </c>
    </row>
    <row r="213" customFormat="false" ht="72" hidden="false" customHeight="true" outlineLevel="0" collapsed="false">
      <c r="A213" s="255" t="s">
        <v>10242</v>
      </c>
      <c r="B213" s="255" t="s">
        <v>7700</v>
      </c>
      <c r="C213" s="263" t="s">
        <v>11957</v>
      </c>
      <c r="D213" s="255" t="s">
        <v>11958</v>
      </c>
      <c r="E213" s="255" t="s">
        <v>11749</v>
      </c>
      <c r="F213" s="266" t="s">
        <v>11959</v>
      </c>
      <c r="G213" s="255" t="s">
        <v>809</v>
      </c>
      <c r="H213" s="255" t="s">
        <v>11960</v>
      </c>
      <c r="I213" s="266" t="s">
        <v>11961</v>
      </c>
      <c r="J213" s="255" t="s">
        <v>7697</v>
      </c>
      <c r="K213" s="267" t="s">
        <v>11962</v>
      </c>
      <c r="L213" s="207" t="s">
        <v>10709</v>
      </c>
      <c r="M213" s="6" t="s">
        <v>6899</v>
      </c>
      <c r="N213" s="30" t="s">
        <v>809</v>
      </c>
      <c r="O213" s="30" t="s">
        <v>809</v>
      </c>
      <c r="P213" s="30" t="s">
        <v>10872</v>
      </c>
      <c r="Q213" s="207" t="s">
        <v>8373</v>
      </c>
      <c r="R213" s="245" t="s">
        <v>10736</v>
      </c>
    </row>
    <row r="214" customFormat="false" ht="72" hidden="false" customHeight="true" outlineLevel="0" collapsed="false">
      <c r="A214" s="255" t="s">
        <v>10251</v>
      </c>
      <c r="B214" s="255" t="s">
        <v>7700</v>
      </c>
      <c r="C214" s="263" t="s">
        <v>11963</v>
      </c>
      <c r="D214" s="255" t="s">
        <v>11964</v>
      </c>
      <c r="E214" s="255" t="s">
        <v>11749</v>
      </c>
      <c r="F214" s="255" t="s">
        <v>11965</v>
      </c>
      <c r="G214" s="255" t="s">
        <v>809</v>
      </c>
      <c r="H214" s="255" t="s">
        <v>11966</v>
      </c>
      <c r="I214" s="266" t="s">
        <v>11967</v>
      </c>
      <c r="J214" s="255" t="s">
        <v>7697</v>
      </c>
      <c r="K214" s="263" t="s">
        <v>11968</v>
      </c>
      <c r="L214" s="207" t="s">
        <v>10709</v>
      </c>
      <c r="M214" s="6" t="s">
        <v>11969</v>
      </c>
      <c r="N214" s="30" t="s">
        <v>809</v>
      </c>
      <c r="O214" s="30" t="s">
        <v>809</v>
      </c>
      <c r="P214" s="30" t="s">
        <v>10872</v>
      </c>
      <c r="Q214" s="207" t="s">
        <v>8373</v>
      </c>
      <c r="R214" s="245" t="s">
        <v>11970</v>
      </c>
    </row>
    <row r="215" customFormat="false" ht="72" hidden="false" customHeight="true" outlineLevel="0" collapsed="false">
      <c r="A215" s="255" t="s">
        <v>10260</v>
      </c>
      <c r="B215" s="255" t="s">
        <v>7700</v>
      </c>
      <c r="C215" s="263" t="s">
        <v>11971</v>
      </c>
      <c r="D215" s="255" t="s">
        <v>11972</v>
      </c>
      <c r="E215" s="255" t="s">
        <v>11886</v>
      </c>
      <c r="F215" s="266" t="s">
        <v>11973</v>
      </c>
      <c r="G215" s="255" t="s">
        <v>809</v>
      </c>
      <c r="H215" s="255" t="s">
        <v>11974</v>
      </c>
      <c r="I215" s="266" t="s">
        <v>11975</v>
      </c>
      <c r="J215" s="255" t="s">
        <v>7697</v>
      </c>
      <c r="K215" s="267" t="s">
        <v>11976</v>
      </c>
      <c r="L215" s="207" t="s">
        <v>10709</v>
      </c>
      <c r="M215" s="6" t="s">
        <v>10254</v>
      </c>
      <c r="N215" s="30" t="s">
        <v>809</v>
      </c>
      <c r="O215" s="30" t="s">
        <v>11977</v>
      </c>
      <c r="P215" s="30" t="s">
        <v>10898</v>
      </c>
      <c r="Q215" s="207" t="s">
        <v>8373</v>
      </c>
    </row>
    <row r="216" customFormat="false" ht="72" hidden="false" customHeight="true" outlineLevel="0" collapsed="false">
      <c r="A216" s="255" t="s">
        <v>10269</v>
      </c>
      <c r="B216" s="255" t="s">
        <v>7700</v>
      </c>
      <c r="C216" s="263" t="s">
        <v>11978</v>
      </c>
      <c r="D216" s="255" t="s">
        <v>11979</v>
      </c>
      <c r="E216" s="255" t="s">
        <v>11886</v>
      </c>
      <c r="F216" s="266" t="s">
        <v>11980</v>
      </c>
      <c r="G216" s="255" t="s">
        <v>809</v>
      </c>
      <c r="H216" s="255" t="s">
        <v>11981</v>
      </c>
      <c r="I216" s="266" t="s">
        <v>11982</v>
      </c>
      <c r="J216" s="255" t="s">
        <v>7697</v>
      </c>
      <c r="K216" s="267" t="s">
        <v>11983</v>
      </c>
      <c r="L216" s="207" t="s">
        <v>10709</v>
      </c>
      <c r="M216" s="6" t="s">
        <v>10263</v>
      </c>
      <c r="N216" s="30" t="s">
        <v>809</v>
      </c>
      <c r="O216" s="30" t="s">
        <v>809</v>
      </c>
      <c r="P216" s="30" t="s">
        <v>10898</v>
      </c>
      <c r="Q216" s="207" t="s">
        <v>8373</v>
      </c>
    </row>
    <row r="217" customFormat="false" ht="72" hidden="false" customHeight="true" outlineLevel="0" collapsed="false">
      <c r="A217" s="255" t="s">
        <v>10278</v>
      </c>
      <c r="B217" s="255" t="s">
        <v>7700</v>
      </c>
      <c r="C217" s="263" t="s">
        <v>11984</v>
      </c>
      <c r="D217" s="255" t="s">
        <v>11985</v>
      </c>
      <c r="E217" s="255" t="s">
        <v>11986</v>
      </c>
      <c r="F217" s="255" t="s">
        <v>11987</v>
      </c>
      <c r="G217" s="255" t="s">
        <v>11988</v>
      </c>
      <c r="H217" s="255" t="s">
        <v>11989</v>
      </c>
      <c r="I217" s="266" t="s">
        <v>11990</v>
      </c>
      <c r="J217" s="255" t="s">
        <v>7697</v>
      </c>
      <c r="K217" s="263" t="s">
        <v>11991</v>
      </c>
      <c r="L217" s="207" t="s">
        <v>10709</v>
      </c>
      <c r="M217" s="6" t="s">
        <v>11992</v>
      </c>
      <c r="N217" s="30" t="s">
        <v>809</v>
      </c>
      <c r="O217" s="30" t="s">
        <v>11993</v>
      </c>
      <c r="P217" s="30" t="s">
        <v>10898</v>
      </c>
      <c r="Q217" s="207" t="s">
        <v>8480</v>
      </c>
      <c r="R217" s="245" t="s">
        <v>10736</v>
      </c>
    </row>
    <row r="218" customFormat="false" ht="72" hidden="false" customHeight="true" outlineLevel="0" collapsed="false">
      <c r="A218" s="255" t="s">
        <v>10293</v>
      </c>
      <c r="B218" s="255" t="s">
        <v>7700</v>
      </c>
      <c r="C218" s="263" t="s">
        <v>11994</v>
      </c>
      <c r="D218" s="255" t="s">
        <v>11995</v>
      </c>
      <c r="E218" s="255" t="s">
        <v>11749</v>
      </c>
      <c r="F218" s="255" t="s">
        <v>11996</v>
      </c>
      <c r="G218" s="255" t="s">
        <v>11988</v>
      </c>
      <c r="H218" s="255" t="s">
        <v>11997</v>
      </c>
      <c r="I218" s="266" t="s">
        <v>11998</v>
      </c>
      <c r="J218" s="255" t="s">
        <v>7697</v>
      </c>
      <c r="K218" s="267" t="s">
        <v>11999</v>
      </c>
      <c r="L218" s="207" t="s">
        <v>10709</v>
      </c>
      <c r="M218" s="6" t="s">
        <v>10286</v>
      </c>
      <c r="N218" s="30" t="s">
        <v>809</v>
      </c>
      <c r="O218" s="30" t="s">
        <v>11993</v>
      </c>
      <c r="P218" s="30" t="s">
        <v>10872</v>
      </c>
      <c r="Q218" s="207" t="s">
        <v>8373</v>
      </c>
      <c r="R218" s="245" t="s">
        <v>10736</v>
      </c>
    </row>
    <row r="219" customFormat="false" ht="72" hidden="false" customHeight="true" outlineLevel="0" collapsed="false">
      <c r="A219" s="255" t="s">
        <v>12000</v>
      </c>
      <c r="B219" s="255" t="s">
        <v>7700</v>
      </c>
      <c r="C219" s="263" t="s">
        <v>12001</v>
      </c>
      <c r="D219" s="255" t="s">
        <v>12002</v>
      </c>
      <c r="E219" s="255" t="s">
        <v>12003</v>
      </c>
      <c r="F219" s="255" t="s">
        <v>12004</v>
      </c>
      <c r="G219" s="255" t="s">
        <v>809</v>
      </c>
      <c r="H219" s="255" t="s">
        <v>809</v>
      </c>
      <c r="I219" s="266" t="s">
        <v>12005</v>
      </c>
      <c r="J219" s="255" t="s">
        <v>7697</v>
      </c>
      <c r="K219" s="263" t="s">
        <v>12006</v>
      </c>
      <c r="L219" s="207" t="s">
        <v>10709</v>
      </c>
      <c r="M219" s="6" t="s">
        <v>809</v>
      </c>
      <c r="N219" s="30" t="s">
        <v>809</v>
      </c>
      <c r="O219" s="30" t="s">
        <v>809</v>
      </c>
      <c r="P219" s="30" t="s">
        <v>10898</v>
      </c>
      <c r="Q219" s="207" t="s">
        <v>8373</v>
      </c>
    </row>
    <row r="220" customFormat="false" ht="72" hidden="false" customHeight="true" outlineLevel="0" collapsed="false">
      <c r="A220" s="255" t="s">
        <v>12007</v>
      </c>
      <c r="B220" s="255" t="s">
        <v>7700</v>
      </c>
      <c r="C220" s="263" t="s">
        <v>12008</v>
      </c>
      <c r="D220" s="255" t="s">
        <v>12009</v>
      </c>
      <c r="E220" s="255" t="s">
        <v>11749</v>
      </c>
      <c r="F220" s="255" t="s">
        <v>12010</v>
      </c>
      <c r="G220" s="255" t="s">
        <v>809</v>
      </c>
      <c r="H220" s="255" t="s">
        <v>12011</v>
      </c>
      <c r="I220" s="266" t="s">
        <v>12012</v>
      </c>
      <c r="J220" s="255" t="s">
        <v>7697</v>
      </c>
      <c r="K220" s="267" t="s">
        <v>12013</v>
      </c>
      <c r="L220" s="207" t="s">
        <v>10709</v>
      </c>
      <c r="M220" s="6" t="s">
        <v>809</v>
      </c>
      <c r="N220" s="30" t="s">
        <v>809</v>
      </c>
      <c r="O220" s="30" t="s">
        <v>809</v>
      </c>
      <c r="P220" s="30" t="s">
        <v>10872</v>
      </c>
      <c r="Q220" s="207" t="s">
        <v>8373</v>
      </c>
    </row>
    <row r="221" customFormat="false" ht="72" hidden="false" customHeight="true" outlineLevel="0" collapsed="false">
      <c r="A221" s="255" t="s">
        <v>12014</v>
      </c>
      <c r="B221" s="255" t="s">
        <v>7700</v>
      </c>
      <c r="C221" s="263" t="s">
        <v>12015</v>
      </c>
      <c r="D221" s="255" t="s">
        <v>12016</v>
      </c>
      <c r="E221" s="255" t="s">
        <v>12017</v>
      </c>
      <c r="F221" s="255" t="s">
        <v>12018</v>
      </c>
      <c r="G221" s="255" t="s">
        <v>809</v>
      </c>
      <c r="H221" s="255" t="s">
        <v>809</v>
      </c>
      <c r="I221" s="266" t="s">
        <v>12019</v>
      </c>
      <c r="J221" s="255" t="s">
        <v>7697</v>
      </c>
      <c r="K221" s="267" t="s">
        <v>12020</v>
      </c>
      <c r="L221" s="207" t="s">
        <v>10709</v>
      </c>
      <c r="M221" s="6" t="s">
        <v>809</v>
      </c>
      <c r="N221" s="30" t="s">
        <v>809</v>
      </c>
      <c r="O221" s="30" t="s">
        <v>809</v>
      </c>
      <c r="P221" s="30" t="s">
        <v>11927</v>
      </c>
      <c r="Q221" s="207" t="s">
        <v>8373</v>
      </c>
    </row>
    <row r="222" customFormat="false" ht="72" hidden="false" customHeight="true" outlineLevel="0" collapsed="false">
      <c r="A222" s="255" t="s">
        <v>12021</v>
      </c>
      <c r="B222" s="255" t="s">
        <v>7700</v>
      </c>
      <c r="C222" s="263" t="s">
        <v>12022</v>
      </c>
      <c r="D222" s="255" t="s">
        <v>12023</v>
      </c>
      <c r="E222" s="255" t="s">
        <v>11886</v>
      </c>
      <c r="F222" s="255" t="s">
        <v>12024</v>
      </c>
      <c r="G222" s="255" t="s">
        <v>809</v>
      </c>
      <c r="H222" s="255" t="s">
        <v>12025</v>
      </c>
      <c r="I222" s="266" t="s">
        <v>12026</v>
      </c>
      <c r="J222" s="255" t="s">
        <v>7697</v>
      </c>
      <c r="K222" s="267" t="s">
        <v>12027</v>
      </c>
      <c r="L222" s="207" t="s">
        <v>10709</v>
      </c>
      <c r="M222" s="6" t="s">
        <v>809</v>
      </c>
      <c r="N222" s="30" t="s">
        <v>809</v>
      </c>
      <c r="O222" s="30" t="s">
        <v>809</v>
      </c>
      <c r="P222" s="30" t="s">
        <v>10898</v>
      </c>
      <c r="Q222" s="207" t="s">
        <v>8373</v>
      </c>
    </row>
    <row r="223" customFormat="false" ht="72" hidden="false" customHeight="true" outlineLevel="0" collapsed="false">
      <c r="A223" s="255" t="s">
        <v>12028</v>
      </c>
      <c r="B223" s="255" t="s">
        <v>7700</v>
      </c>
      <c r="C223" s="263" t="s">
        <v>12029</v>
      </c>
      <c r="D223" s="255" t="s">
        <v>12030</v>
      </c>
      <c r="E223" s="255" t="s">
        <v>12031</v>
      </c>
      <c r="F223" s="255" t="s">
        <v>12032</v>
      </c>
      <c r="G223" s="255" t="s">
        <v>809</v>
      </c>
      <c r="H223" s="255" t="s">
        <v>809</v>
      </c>
      <c r="I223" s="266" t="s">
        <v>12033</v>
      </c>
      <c r="J223" s="255" t="s">
        <v>7697</v>
      </c>
      <c r="K223" s="267" t="s">
        <v>12034</v>
      </c>
      <c r="L223" s="207" t="s">
        <v>10709</v>
      </c>
      <c r="M223" s="6" t="s">
        <v>809</v>
      </c>
      <c r="N223" s="30" t="s">
        <v>809</v>
      </c>
      <c r="O223" s="30" t="s">
        <v>809</v>
      </c>
      <c r="P223" s="30" t="s">
        <v>10872</v>
      </c>
      <c r="Q223" s="207" t="s">
        <v>8373</v>
      </c>
    </row>
    <row r="224" customFormat="false" ht="72" hidden="false" customHeight="true" outlineLevel="0" collapsed="false">
      <c r="A224" s="255" t="s">
        <v>12035</v>
      </c>
      <c r="B224" s="255" t="s">
        <v>7700</v>
      </c>
      <c r="C224" s="263" t="s">
        <v>12036</v>
      </c>
      <c r="D224" s="255" t="s">
        <v>12037</v>
      </c>
      <c r="E224" s="255" t="s">
        <v>11749</v>
      </c>
      <c r="F224" s="255" t="s">
        <v>809</v>
      </c>
      <c r="G224" s="255" t="s">
        <v>809</v>
      </c>
      <c r="H224" s="255" t="s">
        <v>12038</v>
      </c>
      <c r="I224" s="266" t="s">
        <v>12039</v>
      </c>
      <c r="J224" s="255" t="s">
        <v>7697</v>
      </c>
      <c r="K224" s="267" t="s">
        <v>12040</v>
      </c>
      <c r="L224" s="207" t="s">
        <v>10709</v>
      </c>
      <c r="M224" s="6" t="s">
        <v>809</v>
      </c>
      <c r="N224" s="30" t="s">
        <v>809</v>
      </c>
      <c r="O224" s="30" t="s">
        <v>809</v>
      </c>
      <c r="P224" s="30" t="s">
        <v>10872</v>
      </c>
      <c r="Q224" s="207" t="s">
        <v>8373</v>
      </c>
    </row>
    <row r="225" customFormat="false" ht="72" hidden="false" customHeight="true" outlineLevel="0" collapsed="false">
      <c r="A225" s="255" t="s">
        <v>12041</v>
      </c>
      <c r="B225" s="255" t="s">
        <v>7700</v>
      </c>
      <c r="C225" s="263" t="s">
        <v>12042</v>
      </c>
      <c r="D225" s="255" t="s">
        <v>12043</v>
      </c>
      <c r="E225" s="255" t="s">
        <v>11802</v>
      </c>
      <c r="F225" s="266" t="s">
        <v>12044</v>
      </c>
      <c r="G225" s="255" t="s">
        <v>809</v>
      </c>
      <c r="H225" s="266" t="s">
        <v>12045</v>
      </c>
      <c r="I225" s="266" t="s">
        <v>12046</v>
      </c>
      <c r="J225" s="255" t="s">
        <v>7697</v>
      </c>
      <c r="K225" s="267" t="s">
        <v>12047</v>
      </c>
      <c r="L225" s="207" t="s">
        <v>10709</v>
      </c>
      <c r="M225" s="6" t="s">
        <v>809</v>
      </c>
      <c r="N225" s="30" t="s">
        <v>809</v>
      </c>
      <c r="O225" s="30" t="s">
        <v>809</v>
      </c>
      <c r="P225" s="30" t="s">
        <v>10844</v>
      </c>
      <c r="Q225" s="207" t="s">
        <v>12048</v>
      </c>
      <c r="R225" s="245" t="s">
        <v>12049</v>
      </c>
    </row>
    <row r="226" customFormat="false" ht="100.5" hidden="false" customHeight="true" outlineLevel="0" collapsed="false">
      <c r="A226" s="255" t="s">
        <v>10301</v>
      </c>
      <c r="B226" s="255" t="s">
        <v>7733</v>
      </c>
      <c r="C226" s="263" t="s">
        <v>12050</v>
      </c>
      <c r="D226" s="255" t="s">
        <v>12051</v>
      </c>
      <c r="E226" s="255" t="s">
        <v>11886</v>
      </c>
      <c r="F226" s="255" t="s">
        <v>12052</v>
      </c>
      <c r="G226" s="255" t="s">
        <v>12053</v>
      </c>
      <c r="H226" s="255" t="s">
        <v>12054</v>
      </c>
      <c r="I226" s="266" t="s">
        <v>12055</v>
      </c>
      <c r="J226" s="255" t="s">
        <v>7730</v>
      </c>
      <c r="K226" s="267" t="s">
        <v>12056</v>
      </c>
      <c r="L226" s="207" t="s">
        <v>10709</v>
      </c>
      <c r="M226" s="6" t="s">
        <v>12057</v>
      </c>
      <c r="N226" s="30" t="s">
        <v>809</v>
      </c>
      <c r="O226" s="30" t="s">
        <v>12058</v>
      </c>
      <c r="P226" s="30" t="s">
        <v>10898</v>
      </c>
      <c r="Q226" s="207" t="s">
        <v>8373</v>
      </c>
    </row>
    <row r="227" customFormat="false" ht="86.25" hidden="false" customHeight="true" outlineLevel="0" collapsed="false">
      <c r="A227" s="255" t="s">
        <v>10310</v>
      </c>
      <c r="B227" s="255" t="s">
        <v>7733</v>
      </c>
      <c r="C227" s="263" t="s">
        <v>12059</v>
      </c>
      <c r="D227" s="255" t="s">
        <v>12060</v>
      </c>
      <c r="E227" s="255" t="s">
        <v>11886</v>
      </c>
      <c r="F227" s="266" t="s">
        <v>12061</v>
      </c>
      <c r="G227" s="255" t="s">
        <v>809</v>
      </c>
      <c r="H227" s="255" t="s">
        <v>12062</v>
      </c>
      <c r="I227" s="266" t="s">
        <v>12063</v>
      </c>
      <c r="J227" s="255" t="s">
        <v>7730</v>
      </c>
      <c r="K227" s="267" t="s">
        <v>12064</v>
      </c>
      <c r="L227" s="207" t="s">
        <v>10709</v>
      </c>
      <c r="M227" s="6" t="s">
        <v>6844</v>
      </c>
      <c r="N227" s="30" t="s">
        <v>809</v>
      </c>
      <c r="O227" s="30" t="s">
        <v>12065</v>
      </c>
      <c r="P227" s="30" t="s">
        <v>10898</v>
      </c>
      <c r="Q227" s="207" t="s">
        <v>8373</v>
      </c>
    </row>
    <row r="228" customFormat="false" ht="100.5" hidden="false" customHeight="true" outlineLevel="0" collapsed="false">
      <c r="A228" s="255" t="s">
        <v>10320</v>
      </c>
      <c r="B228" s="255" t="s">
        <v>7733</v>
      </c>
      <c r="C228" s="263" t="s">
        <v>12066</v>
      </c>
      <c r="D228" s="255" t="s">
        <v>12067</v>
      </c>
      <c r="E228" s="255" t="s">
        <v>12068</v>
      </c>
      <c r="F228" s="255" t="s">
        <v>12069</v>
      </c>
      <c r="G228" s="255" t="s">
        <v>12070</v>
      </c>
      <c r="H228" s="255" t="s">
        <v>12071</v>
      </c>
      <c r="I228" s="266" t="s">
        <v>12072</v>
      </c>
      <c r="J228" s="255" t="s">
        <v>7730</v>
      </c>
      <c r="K228" s="263" t="s">
        <v>12073</v>
      </c>
      <c r="L228" s="207" t="s">
        <v>10709</v>
      </c>
      <c r="M228" s="6" t="s">
        <v>10313</v>
      </c>
      <c r="N228" s="30" t="s">
        <v>809</v>
      </c>
      <c r="O228" s="30" t="s">
        <v>809</v>
      </c>
      <c r="P228" s="30" t="s">
        <v>10898</v>
      </c>
      <c r="Q228" s="207" t="s">
        <v>8480</v>
      </c>
      <c r="R228" s="245" t="s">
        <v>10736</v>
      </c>
    </row>
    <row r="229" customFormat="false" ht="86.25" hidden="false" customHeight="true" outlineLevel="0" collapsed="false">
      <c r="A229" s="255" t="s">
        <v>10330</v>
      </c>
      <c r="B229" s="255" t="s">
        <v>7733</v>
      </c>
      <c r="C229" s="263" t="s">
        <v>12074</v>
      </c>
      <c r="D229" s="255" t="s">
        <v>12075</v>
      </c>
      <c r="E229" s="255" t="s">
        <v>12068</v>
      </c>
      <c r="F229" s="255" t="s">
        <v>12069</v>
      </c>
      <c r="G229" s="255" t="s">
        <v>12070</v>
      </c>
      <c r="H229" s="255" t="s">
        <v>12076</v>
      </c>
      <c r="I229" s="266" t="s">
        <v>12077</v>
      </c>
      <c r="J229" s="255" t="s">
        <v>7730</v>
      </c>
      <c r="K229" s="267" t="s">
        <v>12078</v>
      </c>
      <c r="L229" s="207" t="s">
        <v>10709</v>
      </c>
      <c r="M229" s="6" t="s">
        <v>10323</v>
      </c>
      <c r="N229" s="30" t="s">
        <v>809</v>
      </c>
      <c r="O229" s="30" t="s">
        <v>809</v>
      </c>
      <c r="P229" s="30" t="s">
        <v>10898</v>
      </c>
      <c r="Q229" s="207" t="s">
        <v>8480</v>
      </c>
      <c r="R229" s="245" t="s">
        <v>10736</v>
      </c>
    </row>
    <row r="230" customFormat="false" ht="86.25" hidden="false" customHeight="true" outlineLevel="0" collapsed="false">
      <c r="A230" s="255" t="s">
        <v>10340</v>
      </c>
      <c r="B230" s="255" t="s">
        <v>7733</v>
      </c>
      <c r="C230" s="263" t="s">
        <v>12079</v>
      </c>
      <c r="D230" s="255" t="s">
        <v>12080</v>
      </c>
      <c r="E230" s="255" t="s">
        <v>12081</v>
      </c>
      <c r="F230" s="266" t="s">
        <v>12082</v>
      </c>
      <c r="G230" s="255" t="s">
        <v>809</v>
      </c>
      <c r="H230" s="255" t="s">
        <v>12083</v>
      </c>
      <c r="I230" s="266" t="s">
        <v>12084</v>
      </c>
      <c r="J230" s="255" t="s">
        <v>7730</v>
      </c>
      <c r="K230" s="267" t="s">
        <v>12085</v>
      </c>
      <c r="L230" s="207" t="s">
        <v>10709</v>
      </c>
      <c r="M230" s="6" t="s">
        <v>10333</v>
      </c>
      <c r="N230" s="30" t="s">
        <v>809</v>
      </c>
      <c r="O230" s="30" t="s">
        <v>809</v>
      </c>
      <c r="P230" s="30" t="s">
        <v>10872</v>
      </c>
      <c r="Q230" s="207" t="s">
        <v>8373</v>
      </c>
    </row>
    <row r="231" customFormat="false" ht="86.25" hidden="false" customHeight="true" outlineLevel="0" collapsed="false">
      <c r="A231" s="255" t="s">
        <v>10348</v>
      </c>
      <c r="B231" s="255" t="s">
        <v>7733</v>
      </c>
      <c r="C231" s="267" t="s">
        <v>12086</v>
      </c>
      <c r="D231" s="255" t="s">
        <v>12087</v>
      </c>
      <c r="E231" s="255" t="s">
        <v>11886</v>
      </c>
      <c r="F231" s="255" t="s">
        <v>12088</v>
      </c>
      <c r="G231" s="255" t="s">
        <v>809</v>
      </c>
      <c r="H231" s="255" t="s">
        <v>12089</v>
      </c>
      <c r="I231" s="266" t="s">
        <v>12090</v>
      </c>
      <c r="J231" s="255" t="s">
        <v>7730</v>
      </c>
      <c r="K231" s="267" t="s">
        <v>12091</v>
      </c>
      <c r="L231" s="207" t="s">
        <v>10709</v>
      </c>
      <c r="M231" s="6" t="s">
        <v>10343</v>
      </c>
      <c r="N231" s="30" t="s">
        <v>809</v>
      </c>
      <c r="O231" s="30" t="s">
        <v>809</v>
      </c>
      <c r="P231" s="30" t="s">
        <v>10898</v>
      </c>
      <c r="Q231" s="207" t="s">
        <v>8373</v>
      </c>
    </row>
    <row r="232" customFormat="false" ht="100.5" hidden="false" customHeight="true" outlineLevel="0" collapsed="false">
      <c r="A232" s="255" t="s">
        <v>10358</v>
      </c>
      <c r="B232" s="255" t="s">
        <v>7733</v>
      </c>
      <c r="C232" s="263" t="s">
        <v>12092</v>
      </c>
      <c r="D232" s="255" t="s">
        <v>12093</v>
      </c>
      <c r="E232" s="255" t="s">
        <v>11749</v>
      </c>
      <c r="F232" s="255" t="s">
        <v>12094</v>
      </c>
      <c r="G232" s="255" t="s">
        <v>809</v>
      </c>
      <c r="H232" s="255" t="s">
        <v>12095</v>
      </c>
      <c r="I232" s="266" t="s">
        <v>12096</v>
      </c>
      <c r="J232" s="255" t="s">
        <v>7730</v>
      </c>
      <c r="K232" s="267" t="s">
        <v>12097</v>
      </c>
      <c r="L232" s="207" t="s">
        <v>10709</v>
      </c>
      <c r="M232" s="6" t="s">
        <v>10351</v>
      </c>
      <c r="N232" s="30" t="s">
        <v>809</v>
      </c>
      <c r="O232" s="30" t="s">
        <v>809</v>
      </c>
      <c r="P232" s="30" t="s">
        <v>10872</v>
      </c>
      <c r="Q232" s="207" t="s">
        <v>8373</v>
      </c>
    </row>
    <row r="233" customFormat="false" ht="86.25" hidden="false" customHeight="true" outlineLevel="0" collapsed="false">
      <c r="A233" s="255" t="s">
        <v>10367</v>
      </c>
      <c r="B233" s="255" t="s">
        <v>7733</v>
      </c>
      <c r="C233" s="267" t="s">
        <v>12098</v>
      </c>
      <c r="D233" s="255" t="s">
        <v>12099</v>
      </c>
      <c r="E233" s="255" t="s">
        <v>11749</v>
      </c>
      <c r="F233" s="266" t="s">
        <v>12100</v>
      </c>
      <c r="G233" s="255" t="s">
        <v>809</v>
      </c>
      <c r="H233" s="255" t="s">
        <v>12101</v>
      </c>
      <c r="I233" s="266" t="s">
        <v>12102</v>
      </c>
      <c r="J233" s="255" t="s">
        <v>7730</v>
      </c>
      <c r="K233" s="267" t="s">
        <v>12103</v>
      </c>
      <c r="L233" s="207" t="s">
        <v>10709</v>
      </c>
      <c r="M233" s="6" t="s">
        <v>10361</v>
      </c>
      <c r="N233" s="30" t="s">
        <v>809</v>
      </c>
      <c r="O233" s="30" t="s">
        <v>12104</v>
      </c>
      <c r="P233" s="30" t="s">
        <v>10872</v>
      </c>
      <c r="Q233" s="207" t="s">
        <v>8373</v>
      </c>
      <c r="R233" s="245" t="s">
        <v>10736</v>
      </c>
    </row>
    <row r="234" customFormat="false" ht="86.25" hidden="false" customHeight="true" outlineLevel="0" collapsed="false">
      <c r="A234" s="255" t="s">
        <v>12105</v>
      </c>
      <c r="B234" s="255" t="s">
        <v>7733</v>
      </c>
      <c r="C234" s="263" t="s">
        <v>12106</v>
      </c>
      <c r="D234" s="255" t="s">
        <v>12107</v>
      </c>
      <c r="E234" s="255" t="s">
        <v>11749</v>
      </c>
      <c r="F234" s="266" t="s">
        <v>12108</v>
      </c>
      <c r="G234" s="255" t="s">
        <v>809</v>
      </c>
      <c r="H234" s="255" t="s">
        <v>12109</v>
      </c>
      <c r="I234" s="266" t="s">
        <v>12110</v>
      </c>
      <c r="J234" s="255" t="s">
        <v>7730</v>
      </c>
      <c r="K234" s="263" t="s">
        <v>12111</v>
      </c>
      <c r="L234" s="207" t="s">
        <v>10709</v>
      </c>
      <c r="M234" s="6" t="s">
        <v>809</v>
      </c>
      <c r="N234" s="30" t="s">
        <v>809</v>
      </c>
      <c r="O234" s="30" t="s">
        <v>809</v>
      </c>
      <c r="P234" s="30" t="s">
        <v>10872</v>
      </c>
      <c r="Q234" s="207" t="s">
        <v>12112</v>
      </c>
    </row>
    <row r="235" customFormat="false" ht="86.25" hidden="false" customHeight="true" outlineLevel="0" collapsed="false">
      <c r="A235" s="255" t="s">
        <v>10375</v>
      </c>
      <c r="B235" s="255" t="s">
        <v>7733</v>
      </c>
      <c r="C235" s="263" t="s">
        <v>12113</v>
      </c>
      <c r="D235" s="255" t="s">
        <v>12114</v>
      </c>
      <c r="E235" s="255" t="s">
        <v>11749</v>
      </c>
      <c r="F235" s="255" t="s">
        <v>12115</v>
      </c>
      <c r="G235" s="255" t="s">
        <v>809</v>
      </c>
      <c r="H235" s="255" t="s">
        <v>12116</v>
      </c>
      <c r="I235" s="266" t="s">
        <v>12117</v>
      </c>
      <c r="J235" s="255" t="s">
        <v>7730</v>
      </c>
      <c r="K235" s="267" t="s">
        <v>12118</v>
      </c>
      <c r="L235" s="207" t="s">
        <v>10709</v>
      </c>
      <c r="M235" s="6" t="s">
        <v>10370</v>
      </c>
      <c r="N235" s="30" t="s">
        <v>809</v>
      </c>
      <c r="O235" s="30" t="s">
        <v>809</v>
      </c>
      <c r="P235" s="30" t="s">
        <v>10872</v>
      </c>
      <c r="Q235" s="207" t="s">
        <v>8373</v>
      </c>
      <c r="R235" s="245" t="s">
        <v>10736</v>
      </c>
    </row>
    <row r="236" customFormat="false" ht="86.25" hidden="false" customHeight="true" outlineLevel="0" collapsed="false">
      <c r="A236" s="255" t="s">
        <v>10385</v>
      </c>
      <c r="B236" s="255" t="s">
        <v>7733</v>
      </c>
      <c r="C236" s="263" t="s">
        <v>12119</v>
      </c>
      <c r="D236" s="255" t="s">
        <v>12120</v>
      </c>
      <c r="E236" s="255" t="s">
        <v>11886</v>
      </c>
      <c r="F236" s="266" t="s">
        <v>12121</v>
      </c>
      <c r="G236" s="255" t="s">
        <v>809</v>
      </c>
      <c r="H236" s="255" t="s">
        <v>12122</v>
      </c>
      <c r="I236" s="266" t="s">
        <v>12123</v>
      </c>
      <c r="J236" s="255" t="s">
        <v>7730</v>
      </c>
      <c r="K236" s="267" t="s">
        <v>12124</v>
      </c>
      <c r="L236" s="207" t="s">
        <v>10709</v>
      </c>
      <c r="M236" s="6" t="s">
        <v>10378</v>
      </c>
      <c r="N236" s="30" t="s">
        <v>809</v>
      </c>
      <c r="O236" s="30" t="s">
        <v>809</v>
      </c>
      <c r="P236" s="30" t="s">
        <v>10898</v>
      </c>
      <c r="Q236" s="207" t="s">
        <v>8480</v>
      </c>
    </row>
    <row r="237" customFormat="false" ht="86.25" hidden="false" customHeight="true" outlineLevel="0" collapsed="false">
      <c r="A237" s="255" t="s">
        <v>12125</v>
      </c>
      <c r="B237" s="255" t="s">
        <v>7733</v>
      </c>
      <c r="C237" s="263" t="s">
        <v>12126</v>
      </c>
      <c r="D237" s="255" t="s">
        <v>12127</v>
      </c>
      <c r="E237" s="255" t="s">
        <v>11886</v>
      </c>
      <c r="F237" s="266" t="s">
        <v>12128</v>
      </c>
      <c r="G237" s="255" t="s">
        <v>12129</v>
      </c>
      <c r="H237" s="255" t="s">
        <v>12130</v>
      </c>
      <c r="I237" s="266" t="s">
        <v>12131</v>
      </c>
      <c r="J237" s="255" t="s">
        <v>7730</v>
      </c>
      <c r="K237" s="263" t="s">
        <v>12132</v>
      </c>
      <c r="L237" s="207" t="s">
        <v>10709</v>
      </c>
      <c r="M237" s="6" t="s">
        <v>10263</v>
      </c>
      <c r="N237" s="30" t="s">
        <v>809</v>
      </c>
      <c r="O237" s="30" t="s">
        <v>809</v>
      </c>
      <c r="P237" s="30" t="s">
        <v>10898</v>
      </c>
      <c r="Q237" s="207" t="s">
        <v>8373</v>
      </c>
      <c r="R237" s="245" t="s">
        <v>10736</v>
      </c>
    </row>
    <row r="238" customFormat="false" ht="100.5" hidden="false" customHeight="true" outlineLevel="0" collapsed="false">
      <c r="A238" s="255" t="s">
        <v>10392</v>
      </c>
      <c r="B238" s="255" t="s">
        <v>7733</v>
      </c>
      <c r="C238" s="263" t="s">
        <v>12133</v>
      </c>
      <c r="D238" s="255" t="s">
        <v>12134</v>
      </c>
      <c r="E238" s="255" t="s">
        <v>11749</v>
      </c>
      <c r="F238" s="266" t="s">
        <v>12135</v>
      </c>
      <c r="G238" s="255" t="s">
        <v>12136</v>
      </c>
      <c r="H238" s="255" t="s">
        <v>12137</v>
      </c>
      <c r="I238" s="266" t="s">
        <v>12138</v>
      </c>
      <c r="J238" s="255" t="s">
        <v>7730</v>
      </c>
      <c r="K238" s="267" t="s">
        <v>12139</v>
      </c>
      <c r="L238" s="207" t="s">
        <v>10709</v>
      </c>
      <c r="M238" s="6" t="s">
        <v>12140</v>
      </c>
      <c r="N238" s="30" t="s">
        <v>809</v>
      </c>
      <c r="O238" s="30" t="s">
        <v>809</v>
      </c>
      <c r="P238" s="30" t="s">
        <v>10872</v>
      </c>
      <c r="Q238" s="207" t="s">
        <v>8373</v>
      </c>
      <c r="R238" s="245" t="s">
        <v>12141</v>
      </c>
    </row>
    <row r="239" customFormat="false" ht="86.25" hidden="false" customHeight="true" outlineLevel="0" collapsed="false">
      <c r="A239" s="255" t="s">
        <v>10399</v>
      </c>
      <c r="B239" s="255" t="s">
        <v>7733</v>
      </c>
      <c r="C239" s="263" t="s">
        <v>12142</v>
      </c>
      <c r="D239" s="255" t="s">
        <v>11885</v>
      </c>
      <c r="E239" s="255" t="s">
        <v>11886</v>
      </c>
      <c r="F239" s="255" t="s">
        <v>12143</v>
      </c>
      <c r="G239" s="255" t="s">
        <v>12144</v>
      </c>
      <c r="H239" s="255" t="s">
        <v>12145</v>
      </c>
      <c r="I239" s="266" t="s">
        <v>12146</v>
      </c>
      <c r="J239" s="255" t="s">
        <v>7730</v>
      </c>
      <c r="K239" s="267" t="s">
        <v>12147</v>
      </c>
      <c r="L239" s="207" t="s">
        <v>10709</v>
      </c>
      <c r="M239" s="6" t="s">
        <v>12148</v>
      </c>
      <c r="N239" s="30" t="s">
        <v>809</v>
      </c>
      <c r="O239" s="30" t="s">
        <v>809</v>
      </c>
      <c r="P239" s="30" t="s">
        <v>10898</v>
      </c>
      <c r="Q239" s="207" t="s">
        <v>8373</v>
      </c>
      <c r="R239" s="245" t="s">
        <v>10736</v>
      </c>
    </row>
    <row r="240" customFormat="false" ht="86.25" hidden="false" customHeight="true" outlineLevel="0" collapsed="false">
      <c r="A240" s="255" t="s">
        <v>12149</v>
      </c>
      <c r="B240" s="255" t="s">
        <v>7733</v>
      </c>
      <c r="C240" s="263" t="s">
        <v>12150</v>
      </c>
      <c r="D240" s="255" t="s">
        <v>12151</v>
      </c>
      <c r="E240" s="255" t="s">
        <v>12152</v>
      </c>
      <c r="F240" s="255" t="s">
        <v>12153</v>
      </c>
      <c r="G240" s="255" t="s">
        <v>12154</v>
      </c>
      <c r="H240" s="255" t="s">
        <v>12155</v>
      </c>
      <c r="I240" s="266" t="s">
        <v>12156</v>
      </c>
      <c r="J240" s="255" t="s">
        <v>7730</v>
      </c>
      <c r="K240" s="267" t="s">
        <v>12157</v>
      </c>
      <c r="L240" s="207" t="s">
        <v>10709</v>
      </c>
      <c r="M240" s="6" t="s">
        <v>10026</v>
      </c>
      <c r="N240" s="30" t="s">
        <v>809</v>
      </c>
      <c r="O240" s="30" t="s">
        <v>809</v>
      </c>
      <c r="P240" s="30" t="s">
        <v>10872</v>
      </c>
      <c r="Q240" s="207" t="s">
        <v>8373</v>
      </c>
      <c r="R240" s="245" t="s">
        <v>10736</v>
      </c>
    </row>
    <row r="241" customFormat="false" ht="100.5" hidden="false" customHeight="true" outlineLevel="0" collapsed="false">
      <c r="A241" s="255" t="s">
        <v>10407</v>
      </c>
      <c r="B241" s="255" t="s">
        <v>7733</v>
      </c>
      <c r="C241" s="263" t="s">
        <v>12158</v>
      </c>
      <c r="D241" s="255" t="s">
        <v>12159</v>
      </c>
      <c r="E241" s="255" t="s">
        <v>11749</v>
      </c>
      <c r="F241" s="255" t="s">
        <v>12160</v>
      </c>
      <c r="G241" s="255" t="s">
        <v>12161</v>
      </c>
      <c r="H241" s="255" t="s">
        <v>12162</v>
      </c>
      <c r="I241" s="266" t="s">
        <v>12163</v>
      </c>
      <c r="J241" s="255" t="s">
        <v>7730</v>
      </c>
      <c r="K241" s="267" t="s">
        <v>12164</v>
      </c>
      <c r="L241" s="207" t="s">
        <v>10709</v>
      </c>
      <c r="M241" s="6" t="s">
        <v>12165</v>
      </c>
      <c r="N241" s="30" t="s">
        <v>809</v>
      </c>
      <c r="O241" s="30" t="s">
        <v>12166</v>
      </c>
      <c r="P241" s="30" t="s">
        <v>10872</v>
      </c>
      <c r="Q241" s="207" t="s">
        <v>12167</v>
      </c>
    </row>
    <row r="242" customFormat="false" ht="100.5" hidden="false" customHeight="true" outlineLevel="0" collapsed="false">
      <c r="A242" s="255" t="s">
        <v>12168</v>
      </c>
      <c r="B242" s="255" t="s">
        <v>7733</v>
      </c>
      <c r="C242" s="263" t="s">
        <v>12169</v>
      </c>
      <c r="D242" s="255" t="s">
        <v>12170</v>
      </c>
      <c r="E242" s="255" t="s">
        <v>11749</v>
      </c>
      <c r="F242" s="266" t="s">
        <v>12171</v>
      </c>
      <c r="G242" s="255" t="s">
        <v>809</v>
      </c>
      <c r="H242" s="255" t="s">
        <v>12172</v>
      </c>
      <c r="I242" s="266" t="s">
        <v>12173</v>
      </c>
      <c r="J242" s="255" t="s">
        <v>7730</v>
      </c>
      <c r="K242" s="267" t="s">
        <v>12174</v>
      </c>
      <c r="L242" s="207" t="s">
        <v>10709</v>
      </c>
      <c r="M242" s="6" t="s">
        <v>10402</v>
      </c>
      <c r="N242" s="30" t="s">
        <v>809</v>
      </c>
      <c r="O242" s="30" t="s">
        <v>809</v>
      </c>
      <c r="P242" s="30" t="s">
        <v>10872</v>
      </c>
      <c r="Q242" s="207" t="s">
        <v>8373</v>
      </c>
      <c r="R242" s="245" t="s">
        <v>10736</v>
      </c>
    </row>
    <row r="243" customFormat="false" ht="86.25" hidden="false" customHeight="true" outlineLevel="0" collapsed="false">
      <c r="A243" s="255" t="s">
        <v>12175</v>
      </c>
      <c r="B243" s="255" t="s">
        <v>7733</v>
      </c>
      <c r="C243" s="263" t="s">
        <v>12176</v>
      </c>
      <c r="D243" s="255" t="s">
        <v>12177</v>
      </c>
      <c r="E243" s="255" t="s">
        <v>12178</v>
      </c>
      <c r="F243" s="255" t="s">
        <v>12094</v>
      </c>
      <c r="G243" s="255" t="s">
        <v>809</v>
      </c>
      <c r="H243" s="255" t="s">
        <v>12179</v>
      </c>
      <c r="I243" s="266" t="s">
        <v>12180</v>
      </c>
      <c r="J243" s="255" t="s">
        <v>7730</v>
      </c>
      <c r="K243" s="267" t="s">
        <v>12181</v>
      </c>
      <c r="L243" s="207" t="s">
        <v>10709</v>
      </c>
      <c r="M243" s="6" t="s">
        <v>809</v>
      </c>
      <c r="N243" s="30" t="s">
        <v>809</v>
      </c>
      <c r="O243" s="30" t="s">
        <v>809</v>
      </c>
      <c r="P243" s="30" t="s">
        <v>10844</v>
      </c>
      <c r="Q243" s="207" t="s">
        <v>8480</v>
      </c>
    </row>
    <row r="244" customFormat="false" ht="86.25" hidden="false" customHeight="true" outlineLevel="0" collapsed="false">
      <c r="A244" s="255" t="s">
        <v>12182</v>
      </c>
      <c r="B244" s="255" t="s">
        <v>7733</v>
      </c>
      <c r="C244" s="263" t="s">
        <v>12183</v>
      </c>
      <c r="D244" s="255" t="s">
        <v>12184</v>
      </c>
      <c r="E244" s="255" t="s">
        <v>12178</v>
      </c>
      <c r="F244" s="255" t="s">
        <v>12185</v>
      </c>
      <c r="G244" s="255" t="s">
        <v>809</v>
      </c>
      <c r="H244" s="255" t="s">
        <v>12186</v>
      </c>
      <c r="I244" s="266" t="s">
        <v>12187</v>
      </c>
      <c r="J244" s="255" t="s">
        <v>7730</v>
      </c>
      <c r="K244" s="267" t="s">
        <v>12188</v>
      </c>
      <c r="L244" s="207" t="s">
        <v>10709</v>
      </c>
      <c r="M244" s="6" t="s">
        <v>809</v>
      </c>
      <c r="N244" s="30" t="s">
        <v>809</v>
      </c>
      <c r="O244" s="30" t="s">
        <v>809</v>
      </c>
      <c r="P244" s="30" t="s">
        <v>10844</v>
      </c>
      <c r="Q244" s="207" t="s">
        <v>8480</v>
      </c>
    </row>
    <row r="245" customFormat="false" ht="86.25" hidden="false" customHeight="true" outlineLevel="0" collapsed="false">
      <c r="A245" s="255" t="s">
        <v>10414</v>
      </c>
      <c r="B245" s="255" t="s">
        <v>7733</v>
      </c>
      <c r="C245" s="263" t="s">
        <v>12189</v>
      </c>
      <c r="D245" s="255" t="s">
        <v>12190</v>
      </c>
      <c r="E245" s="255" t="s">
        <v>11922</v>
      </c>
      <c r="F245" s="266" t="s">
        <v>12191</v>
      </c>
      <c r="G245" s="255" t="s">
        <v>809</v>
      </c>
      <c r="H245" s="255" t="s">
        <v>12192</v>
      </c>
      <c r="I245" s="266" t="s">
        <v>12193</v>
      </c>
      <c r="J245" s="255" t="s">
        <v>7730</v>
      </c>
      <c r="K245" s="263" t="s">
        <v>12194</v>
      </c>
      <c r="L245" s="207" t="s">
        <v>10709</v>
      </c>
      <c r="M245" s="6" t="s">
        <v>12195</v>
      </c>
      <c r="N245" s="30" t="s">
        <v>809</v>
      </c>
      <c r="O245" s="30" t="s">
        <v>809</v>
      </c>
      <c r="P245" s="30" t="s">
        <v>11927</v>
      </c>
      <c r="Q245" s="207" t="s">
        <v>8373</v>
      </c>
    </row>
    <row r="246" customFormat="false" ht="86.25" hidden="false" customHeight="true" outlineLevel="0" collapsed="false">
      <c r="A246" s="255" t="s">
        <v>12196</v>
      </c>
      <c r="B246" s="255" t="s">
        <v>7733</v>
      </c>
      <c r="C246" s="263" t="s">
        <v>12197</v>
      </c>
      <c r="D246" s="255" t="s">
        <v>12198</v>
      </c>
      <c r="E246" s="255" t="s">
        <v>12199</v>
      </c>
      <c r="F246" s="266" t="s">
        <v>12200</v>
      </c>
      <c r="G246" s="255" t="s">
        <v>809</v>
      </c>
      <c r="H246" s="255" t="s">
        <v>12201</v>
      </c>
      <c r="I246" s="266" t="s">
        <v>12202</v>
      </c>
      <c r="J246" s="255" t="s">
        <v>7730</v>
      </c>
      <c r="K246" s="263" t="s">
        <v>12203</v>
      </c>
      <c r="L246" s="207" t="s">
        <v>10709</v>
      </c>
      <c r="M246" s="6" t="s">
        <v>809</v>
      </c>
      <c r="N246" s="30" t="s">
        <v>809</v>
      </c>
      <c r="O246" s="30" t="s">
        <v>809</v>
      </c>
      <c r="P246" s="30" t="s">
        <v>10872</v>
      </c>
      <c r="Q246" s="207" t="s">
        <v>12112</v>
      </c>
    </row>
    <row r="247" customFormat="false" ht="86.25" hidden="false" customHeight="true" outlineLevel="0" collapsed="false">
      <c r="A247" s="255" t="s">
        <v>12204</v>
      </c>
      <c r="B247" s="255" t="s">
        <v>7733</v>
      </c>
      <c r="C247" s="263" t="s">
        <v>12205</v>
      </c>
      <c r="D247" s="266" t="s">
        <v>12206</v>
      </c>
      <c r="E247" s="255" t="s">
        <v>809</v>
      </c>
      <c r="F247" s="255" t="s">
        <v>12207</v>
      </c>
      <c r="G247" s="255" t="s">
        <v>12208</v>
      </c>
      <c r="H247" s="266" t="s">
        <v>12209</v>
      </c>
      <c r="I247" s="266" t="s">
        <v>12210</v>
      </c>
      <c r="J247" s="255" t="s">
        <v>7730</v>
      </c>
      <c r="K247" s="267" t="s">
        <v>12211</v>
      </c>
      <c r="L247" s="207" t="s">
        <v>10709</v>
      </c>
      <c r="M247" s="6" t="s">
        <v>809</v>
      </c>
      <c r="N247" s="30" t="s">
        <v>809</v>
      </c>
      <c r="O247" s="30" t="s">
        <v>809</v>
      </c>
      <c r="P247" s="30" t="s">
        <v>809</v>
      </c>
      <c r="Q247" s="30" t="s">
        <v>809</v>
      </c>
    </row>
    <row r="248" customFormat="false" ht="86.25" hidden="false" customHeight="true" outlineLevel="0" collapsed="false">
      <c r="A248" s="255" t="s">
        <v>12212</v>
      </c>
      <c r="B248" s="255" t="s">
        <v>7733</v>
      </c>
      <c r="C248" s="267" t="s">
        <v>12213</v>
      </c>
      <c r="D248" s="255" t="s">
        <v>12214</v>
      </c>
      <c r="E248" s="255" t="s">
        <v>809</v>
      </c>
      <c r="F248" s="255" t="s">
        <v>12215</v>
      </c>
      <c r="G248" s="255" t="s">
        <v>809</v>
      </c>
      <c r="H248" s="255" t="s">
        <v>809</v>
      </c>
      <c r="I248" s="266" t="s">
        <v>12216</v>
      </c>
      <c r="J248" s="255" t="s">
        <v>7730</v>
      </c>
      <c r="K248" s="267" t="s">
        <v>12217</v>
      </c>
      <c r="L248" s="207" t="s">
        <v>10709</v>
      </c>
      <c r="M248" s="6" t="s">
        <v>809</v>
      </c>
      <c r="N248" s="30" t="s">
        <v>809</v>
      </c>
      <c r="O248" s="30" t="s">
        <v>809</v>
      </c>
      <c r="P248" s="30" t="s">
        <v>809</v>
      </c>
      <c r="Q248" s="30" t="s">
        <v>809</v>
      </c>
    </row>
    <row r="249" customFormat="false" ht="114.75" hidden="false" customHeight="true" outlineLevel="0" collapsed="false">
      <c r="A249" s="255" t="s">
        <v>10440</v>
      </c>
      <c r="B249" s="255" t="s">
        <v>7772</v>
      </c>
      <c r="C249" s="263" t="s">
        <v>12218</v>
      </c>
      <c r="D249" s="255" t="s">
        <v>12219</v>
      </c>
      <c r="E249" s="255" t="s">
        <v>12220</v>
      </c>
      <c r="F249" s="255" t="s">
        <v>12221</v>
      </c>
      <c r="G249" s="255" t="s">
        <v>809</v>
      </c>
      <c r="H249" s="255" t="s">
        <v>12222</v>
      </c>
      <c r="I249" s="266" t="s">
        <v>12223</v>
      </c>
      <c r="J249" s="255" t="s">
        <v>7769</v>
      </c>
      <c r="K249" s="267" t="s">
        <v>12224</v>
      </c>
      <c r="L249" s="207" t="s">
        <v>10709</v>
      </c>
      <c r="M249" s="6" t="s">
        <v>10437</v>
      </c>
      <c r="N249" s="30" t="s">
        <v>809</v>
      </c>
      <c r="O249" s="30" t="s">
        <v>809</v>
      </c>
      <c r="P249" s="30" t="s">
        <v>10872</v>
      </c>
      <c r="Q249" s="207" t="s">
        <v>8373</v>
      </c>
    </row>
    <row r="250" customFormat="false" ht="114.75" hidden="false" customHeight="true" outlineLevel="0" collapsed="false">
      <c r="A250" s="255" t="s">
        <v>12225</v>
      </c>
      <c r="B250" s="255" t="s">
        <v>7772</v>
      </c>
      <c r="C250" s="263" t="s">
        <v>12226</v>
      </c>
      <c r="D250" s="255" t="s">
        <v>12227</v>
      </c>
      <c r="E250" s="255" t="s">
        <v>12220</v>
      </c>
      <c r="F250" s="255" t="s">
        <v>12228</v>
      </c>
      <c r="G250" s="255" t="s">
        <v>12229</v>
      </c>
      <c r="H250" s="255" t="s">
        <v>12230</v>
      </c>
      <c r="I250" s="266" t="s">
        <v>12231</v>
      </c>
      <c r="J250" s="255" t="s">
        <v>7769</v>
      </c>
      <c r="K250" s="267" t="s">
        <v>12232</v>
      </c>
      <c r="L250" s="207" t="s">
        <v>10709</v>
      </c>
      <c r="M250" s="6" t="s">
        <v>6899</v>
      </c>
      <c r="N250" s="30" t="s">
        <v>809</v>
      </c>
      <c r="O250" s="30" t="s">
        <v>809</v>
      </c>
      <c r="P250" s="30" t="s">
        <v>10872</v>
      </c>
      <c r="Q250" s="207" t="s">
        <v>8373</v>
      </c>
      <c r="R250" s="245" t="s">
        <v>12233</v>
      </c>
    </row>
    <row r="251" customFormat="false" ht="114.75" hidden="false" customHeight="true" outlineLevel="0" collapsed="false">
      <c r="A251" s="255" t="s">
        <v>10449</v>
      </c>
      <c r="B251" s="255" t="s">
        <v>7772</v>
      </c>
      <c r="C251" s="263" t="s">
        <v>12234</v>
      </c>
      <c r="D251" s="255" t="s">
        <v>12235</v>
      </c>
      <c r="E251" s="255" t="s">
        <v>12236</v>
      </c>
      <c r="F251" s="255" t="s">
        <v>12237</v>
      </c>
      <c r="G251" s="255" t="s">
        <v>12238</v>
      </c>
      <c r="H251" s="255" t="s">
        <v>12239</v>
      </c>
      <c r="I251" s="266" t="s">
        <v>12240</v>
      </c>
      <c r="J251" s="255" t="s">
        <v>7769</v>
      </c>
      <c r="K251" s="267" t="s">
        <v>12241</v>
      </c>
      <c r="L251" s="207" t="s">
        <v>10709</v>
      </c>
      <c r="M251" s="6" t="s">
        <v>10444</v>
      </c>
      <c r="N251" s="30" t="s">
        <v>809</v>
      </c>
      <c r="O251" s="30" t="s">
        <v>809</v>
      </c>
      <c r="P251" s="30" t="s">
        <v>10844</v>
      </c>
      <c r="Q251" s="207" t="s">
        <v>8373</v>
      </c>
    </row>
    <row r="252" customFormat="false" ht="114.75" hidden="false" customHeight="true" outlineLevel="0" collapsed="false">
      <c r="A252" s="255" t="s">
        <v>10456</v>
      </c>
      <c r="B252" s="255" t="s">
        <v>7772</v>
      </c>
      <c r="C252" s="263" t="s">
        <v>12242</v>
      </c>
      <c r="D252" s="255" t="s">
        <v>12243</v>
      </c>
      <c r="E252" s="266" t="s">
        <v>12244</v>
      </c>
      <c r="F252" s="255" t="s">
        <v>12245</v>
      </c>
      <c r="G252" s="255" t="s">
        <v>12246</v>
      </c>
      <c r="H252" s="255" t="s">
        <v>12247</v>
      </c>
      <c r="I252" s="266" t="s">
        <v>12248</v>
      </c>
      <c r="J252" s="255" t="s">
        <v>7769</v>
      </c>
      <c r="K252" s="267" t="s">
        <v>12249</v>
      </c>
      <c r="L252" s="207" t="s">
        <v>10709</v>
      </c>
      <c r="M252" s="6" t="s">
        <v>6855</v>
      </c>
      <c r="N252" s="30" t="s">
        <v>809</v>
      </c>
      <c r="O252" s="30" t="s">
        <v>12250</v>
      </c>
      <c r="P252" s="30" t="s">
        <v>10844</v>
      </c>
      <c r="Q252" s="207" t="s">
        <v>8373</v>
      </c>
    </row>
    <row r="253" customFormat="false" ht="114.75" hidden="false" customHeight="true" outlineLevel="0" collapsed="false">
      <c r="A253" s="255" t="s">
        <v>12251</v>
      </c>
      <c r="B253" s="255" t="s">
        <v>7772</v>
      </c>
      <c r="C253" s="263" t="s">
        <v>12252</v>
      </c>
      <c r="D253" s="255" t="s">
        <v>12253</v>
      </c>
      <c r="E253" s="255" t="s">
        <v>11749</v>
      </c>
      <c r="F253" s="255" t="s">
        <v>12254</v>
      </c>
      <c r="G253" s="255" t="s">
        <v>809</v>
      </c>
      <c r="H253" s="266" t="s">
        <v>12255</v>
      </c>
      <c r="I253" s="266" t="s">
        <v>12256</v>
      </c>
      <c r="J253" s="255" t="s">
        <v>7769</v>
      </c>
      <c r="K253" s="267" t="s">
        <v>12257</v>
      </c>
      <c r="L253" s="207" t="s">
        <v>10709</v>
      </c>
      <c r="M253" s="6" t="s">
        <v>6906</v>
      </c>
      <c r="N253" s="30" t="s">
        <v>809</v>
      </c>
      <c r="O253" s="30" t="s">
        <v>809</v>
      </c>
      <c r="P253" s="30" t="s">
        <v>10872</v>
      </c>
      <c r="Q253" s="207" t="s">
        <v>8373</v>
      </c>
      <c r="R253" s="245" t="s">
        <v>12258</v>
      </c>
    </row>
    <row r="254" customFormat="false" ht="129" hidden="false" customHeight="true" outlineLevel="0" collapsed="false">
      <c r="A254" s="255" t="s">
        <v>12259</v>
      </c>
      <c r="B254" s="255" t="s">
        <v>7772</v>
      </c>
      <c r="C254" s="263" t="s">
        <v>12260</v>
      </c>
      <c r="D254" s="255" t="s">
        <v>12261</v>
      </c>
      <c r="E254" s="255" t="s">
        <v>12262</v>
      </c>
      <c r="F254" s="255" t="s">
        <v>12263</v>
      </c>
      <c r="G254" s="255" t="s">
        <v>809</v>
      </c>
      <c r="H254" s="255" t="s">
        <v>12264</v>
      </c>
      <c r="I254" s="266" t="s">
        <v>12265</v>
      </c>
      <c r="J254" s="255" t="s">
        <v>7769</v>
      </c>
      <c r="K254" s="267" t="s">
        <v>12266</v>
      </c>
      <c r="L254" s="207" t="s">
        <v>10709</v>
      </c>
      <c r="M254" s="6" t="s">
        <v>809</v>
      </c>
      <c r="N254" s="30" t="s">
        <v>809</v>
      </c>
      <c r="O254" s="30" t="s">
        <v>809</v>
      </c>
      <c r="P254" s="30" t="s">
        <v>10844</v>
      </c>
      <c r="Q254" s="207" t="s">
        <v>8373</v>
      </c>
    </row>
    <row r="255" customFormat="false" ht="114.75" hidden="false" customHeight="true" outlineLevel="0" collapsed="false">
      <c r="A255" s="255" t="s">
        <v>12267</v>
      </c>
      <c r="B255" s="255" t="s">
        <v>7772</v>
      </c>
      <c r="C255" s="263" t="s">
        <v>12268</v>
      </c>
      <c r="D255" s="266" t="s">
        <v>12269</v>
      </c>
      <c r="E255" s="266" t="s">
        <v>12270</v>
      </c>
      <c r="F255" s="266" t="s">
        <v>12271</v>
      </c>
      <c r="G255" s="255" t="s">
        <v>809</v>
      </c>
      <c r="H255" s="255" t="s">
        <v>12272</v>
      </c>
      <c r="I255" s="266" t="s">
        <v>12273</v>
      </c>
      <c r="J255" s="255" t="s">
        <v>7769</v>
      </c>
      <c r="K255" s="267" t="s">
        <v>12274</v>
      </c>
      <c r="L255" s="207" t="s">
        <v>10709</v>
      </c>
      <c r="M255" s="6" t="s">
        <v>809</v>
      </c>
      <c r="N255" s="30" t="s">
        <v>809</v>
      </c>
      <c r="O255" s="30" t="s">
        <v>809</v>
      </c>
      <c r="P255" s="30" t="s">
        <v>10844</v>
      </c>
      <c r="Q255" s="207" t="s">
        <v>12275</v>
      </c>
    </row>
    <row r="256" customFormat="false" ht="114.75" hidden="false" customHeight="true" outlineLevel="0" collapsed="false">
      <c r="A256" s="255" t="s">
        <v>12276</v>
      </c>
      <c r="B256" s="255" t="s">
        <v>7772</v>
      </c>
      <c r="C256" s="263" t="s">
        <v>12277</v>
      </c>
      <c r="D256" s="255" t="s">
        <v>12278</v>
      </c>
      <c r="E256" s="255" t="s">
        <v>11749</v>
      </c>
      <c r="F256" s="255" t="s">
        <v>12279</v>
      </c>
      <c r="G256" s="255" t="s">
        <v>12280</v>
      </c>
      <c r="H256" s="255" t="s">
        <v>12281</v>
      </c>
      <c r="I256" s="266" t="s">
        <v>12282</v>
      </c>
      <c r="J256" s="255" t="s">
        <v>7769</v>
      </c>
      <c r="K256" s="267" t="s">
        <v>12283</v>
      </c>
      <c r="L256" s="207" t="s">
        <v>10709</v>
      </c>
      <c r="M256" s="6" t="s">
        <v>10388</v>
      </c>
      <c r="N256" s="30" t="s">
        <v>809</v>
      </c>
      <c r="O256" s="30" t="s">
        <v>809</v>
      </c>
      <c r="P256" s="30" t="s">
        <v>10872</v>
      </c>
      <c r="Q256" s="207" t="s">
        <v>8373</v>
      </c>
      <c r="R256" s="245" t="s">
        <v>12284</v>
      </c>
    </row>
    <row r="257" customFormat="false" ht="114.75" hidden="false" customHeight="true" outlineLevel="0" collapsed="false">
      <c r="A257" s="255" t="s">
        <v>12285</v>
      </c>
      <c r="B257" s="255" t="s">
        <v>7772</v>
      </c>
      <c r="C257" s="267" t="s">
        <v>12286</v>
      </c>
      <c r="D257" s="255" t="s">
        <v>12287</v>
      </c>
      <c r="E257" s="255" t="s">
        <v>12288</v>
      </c>
      <c r="F257" s="255" t="s">
        <v>12289</v>
      </c>
      <c r="G257" s="255" t="s">
        <v>12290</v>
      </c>
      <c r="H257" s="255" t="s">
        <v>12291</v>
      </c>
      <c r="I257" s="266" t="s">
        <v>12292</v>
      </c>
      <c r="J257" s="255" t="s">
        <v>7769</v>
      </c>
      <c r="K257" s="267" t="s">
        <v>12293</v>
      </c>
      <c r="L257" s="207" t="s">
        <v>10709</v>
      </c>
      <c r="M257" s="6" t="s">
        <v>809</v>
      </c>
      <c r="N257" s="30" t="s">
        <v>809</v>
      </c>
      <c r="O257" s="30" t="s">
        <v>12294</v>
      </c>
      <c r="P257" s="30" t="s">
        <v>10844</v>
      </c>
      <c r="Q257" s="207" t="s">
        <v>8373</v>
      </c>
    </row>
    <row r="258" customFormat="false" ht="114.75" hidden="false" customHeight="true" outlineLevel="0" collapsed="false">
      <c r="A258" s="255" t="s">
        <v>12295</v>
      </c>
      <c r="B258" s="255" t="s">
        <v>7772</v>
      </c>
      <c r="C258" s="263" t="s">
        <v>12296</v>
      </c>
      <c r="D258" s="266" t="s">
        <v>12297</v>
      </c>
      <c r="E258" s="255" t="s">
        <v>809</v>
      </c>
      <c r="F258" s="266" t="s">
        <v>12298</v>
      </c>
      <c r="G258" s="255" t="s">
        <v>809</v>
      </c>
      <c r="H258" s="266" t="s">
        <v>12209</v>
      </c>
      <c r="I258" s="266" t="s">
        <v>12299</v>
      </c>
      <c r="J258" s="255" t="s">
        <v>7769</v>
      </c>
      <c r="K258" s="267" t="s">
        <v>12300</v>
      </c>
      <c r="L258" s="207" t="s">
        <v>10709</v>
      </c>
      <c r="M258" s="6" t="s">
        <v>809</v>
      </c>
      <c r="N258" s="30" t="s">
        <v>809</v>
      </c>
      <c r="O258" s="30" t="s">
        <v>809</v>
      </c>
      <c r="P258" s="30" t="s">
        <v>809</v>
      </c>
      <c r="Q258" s="30" t="s">
        <v>809</v>
      </c>
    </row>
    <row r="259" customFormat="false" ht="114.75" hidden="false" customHeight="true" outlineLevel="0" collapsed="false">
      <c r="A259" s="255" t="s">
        <v>12301</v>
      </c>
      <c r="B259" s="255" t="s">
        <v>7772</v>
      </c>
      <c r="C259" s="267" t="s">
        <v>12302</v>
      </c>
      <c r="D259" s="266" t="s">
        <v>12303</v>
      </c>
      <c r="E259" s="255" t="s">
        <v>809</v>
      </c>
      <c r="F259" s="266" t="s">
        <v>12304</v>
      </c>
      <c r="G259" s="255" t="s">
        <v>809</v>
      </c>
      <c r="H259" s="266" t="s">
        <v>12209</v>
      </c>
      <c r="I259" s="266" t="s">
        <v>12305</v>
      </c>
      <c r="J259" s="255" t="s">
        <v>7769</v>
      </c>
      <c r="K259" s="267" t="s">
        <v>12306</v>
      </c>
      <c r="L259" s="207" t="s">
        <v>10709</v>
      </c>
      <c r="M259" s="6" t="s">
        <v>10263</v>
      </c>
      <c r="N259" s="30" t="s">
        <v>809</v>
      </c>
      <c r="O259" s="30" t="s">
        <v>809</v>
      </c>
      <c r="P259" s="30" t="s">
        <v>809</v>
      </c>
      <c r="Q259" s="30" t="s">
        <v>809</v>
      </c>
      <c r="R259" s="245" t="s">
        <v>12307</v>
      </c>
    </row>
    <row r="260" customFormat="false" ht="114.75" hidden="false" customHeight="true" outlineLevel="0" collapsed="false">
      <c r="A260" s="255" t="s">
        <v>12308</v>
      </c>
      <c r="B260" s="255" t="s">
        <v>7772</v>
      </c>
      <c r="C260" s="263" t="s">
        <v>12309</v>
      </c>
      <c r="D260" s="266" t="s">
        <v>12310</v>
      </c>
      <c r="E260" s="255" t="s">
        <v>12311</v>
      </c>
      <c r="F260" s="255" t="s">
        <v>12312</v>
      </c>
      <c r="G260" s="255" t="s">
        <v>809</v>
      </c>
      <c r="H260" s="266" t="s">
        <v>12313</v>
      </c>
      <c r="I260" s="266" t="s">
        <v>12314</v>
      </c>
      <c r="J260" s="255" t="s">
        <v>7769</v>
      </c>
      <c r="K260" s="267" t="s">
        <v>12315</v>
      </c>
      <c r="L260" s="207" t="s">
        <v>10709</v>
      </c>
      <c r="M260" s="6" t="s">
        <v>809</v>
      </c>
      <c r="N260" s="30" t="s">
        <v>809</v>
      </c>
      <c r="O260" s="30" t="s">
        <v>12316</v>
      </c>
      <c r="P260" s="30" t="s">
        <v>809</v>
      </c>
      <c r="Q260" s="207" t="s">
        <v>8480</v>
      </c>
    </row>
    <row r="261" customFormat="false" ht="114.75" hidden="false" customHeight="true" outlineLevel="0" collapsed="false">
      <c r="A261" s="255" t="s">
        <v>12317</v>
      </c>
      <c r="B261" s="255" t="s">
        <v>7772</v>
      </c>
      <c r="C261" s="263" t="s">
        <v>12318</v>
      </c>
      <c r="D261" s="255" t="s">
        <v>12319</v>
      </c>
      <c r="E261" s="255" t="s">
        <v>12320</v>
      </c>
      <c r="F261" s="255" t="s">
        <v>12321</v>
      </c>
      <c r="G261" s="255" t="s">
        <v>12322</v>
      </c>
      <c r="H261" s="255" t="s">
        <v>12323</v>
      </c>
      <c r="I261" s="266" t="s">
        <v>12324</v>
      </c>
      <c r="J261" s="255" t="s">
        <v>7769</v>
      </c>
      <c r="K261" s="267" t="s">
        <v>12325</v>
      </c>
      <c r="L261" s="207" t="s">
        <v>10709</v>
      </c>
      <c r="M261" s="6" t="s">
        <v>12326</v>
      </c>
      <c r="N261" s="30" t="s">
        <v>809</v>
      </c>
      <c r="O261" s="30" t="s">
        <v>809</v>
      </c>
      <c r="P261" s="30" t="s">
        <v>10872</v>
      </c>
      <c r="Q261" s="207" t="s">
        <v>8373</v>
      </c>
      <c r="R261" s="245" t="s">
        <v>12327</v>
      </c>
    </row>
    <row r="262" customFormat="false" ht="114.75" hidden="false" customHeight="true" outlineLevel="0" collapsed="false">
      <c r="A262" s="255" t="s">
        <v>12328</v>
      </c>
      <c r="B262" s="255" t="s">
        <v>7772</v>
      </c>
      <c r="C262" s="263" t="s">
        <v>12329</v>
      </c>
      <c r="D262" s="255" t="s">
        <v>12330</v>
      </c>
      <c r="E262" s="266" t="s">
        <v>12331</v>
      </c>
      <c r="F262" s="255" t="s">
        <v>12332</v>
      </c>
      <c r="G262" s="255" t="s">
        <v>809</v>
      </c>
      <c r="H262" s="266" t="s">
        <v>12333</v>
      </c>
      <c r="I262" s="266" t="s">
        <v>12334</v>
      </c>
      <c r="J262" s="255" t="s">
        <v>7802</v>
      </c>
      <c r="K262" s="267" t="s">
        <v>12335</v>
      </c>
      <c r="L262" s="207" t="s">
        <v>10709</v>
      </c>
      <c r="M262" s="6" t="s">
        <v>12336</v>
      </c>
      <c r="N262" s="30" t="s">
        <v>809</v>
      </c>
      <c r="O262" s="30" t="s">
        <v>12337</v>
      </c>
      <c r="P262" s="30" t="s">
        <v>10844</v>
      </c>
      <c r="Q262" s="207" t="s">
        <v>8373</v>
      </c>
      <c r="R262" s="245" t="s">
        <v>12338</v>
      </c>
    </row>
    <row r="263" customFormat="false" ht="114.75" hidden="false" customHeight="true" outlineLevel="0" collapsed="false">
      <c r="A263" s="255" t="s">
        <v>12339</v>
      </c>
      <c r="B263" s="255" t="s">
        <v>7772</v>
      </c>
      <c r="C263" s="263" t="s">
        <v>12340</v>
      </c>
      <c r="D263" s="255" t="s">
        <v>12341</v>
      </c>
      <c r="E263" s="266" t="s">
        <v>12342</v>
      </c>
      <c r="F263" s="255" t="s">
        <v>12343</v>
      </c>
      <c r="G263" s="255" t="s">
        <v>809</v>
      </c>
      <c r="H263" s="266" t="s">
        <v>12344</v>
      </c>
      <c r="I263" s="266" t="s">
        <v>12345</v>
      </c>
      <c r="J263" s="255" t="s">
        <v>7802</v>
      </c>
      <c r="K263" s="263" t="s">
        <v>12346</v>
      </c>
      <c r="L263" s="207" t="s">
        <v>10709</v>
      </c>
      <c r="M263" s="6" t="s">
        <v>809</v>
      </c>
      <c r="N263" s="30" t="s">
        <v>809</v>
      </c>
      <c r="O263" s="30" t="s">
        <v>12337</v>
      </c>
      <c r="P263" s="30" t="s">
        <v>10844</v>
      </c>
      <c r="Q263" s="207" t="s">
        <v>8373</v>
      </c>
    </row>
    <row r="264" customFormat="false" ht="114.75" hidden="false" customHeight="true" outlineLevel="0" collapsed="false">
      <c r="A264" s="255" t="s">
        <v>12347</v>
      </c>
      <c r="B264" s="255" t="s">
        <v>7772</v>
      </c>
      <c r="C264" s="263" t="s">
        <v>12348</v>
      </c>
      <c r="D264" s="255" t="s">
        <v>12349</v>
      </c>
      <c r="E264" s="266" t="s">
        <v>12350</v>
      </c>
      <c r="F264" s="255" t="s">
        <v>12351</v>
      </c>
      <c r="G264" s="255" t="s">
        <v>809</v>
      </c>
      <c r="H264" s="266" t="s">
        <v>12333</v>
      </c>
      <c r="I264" s="266" t="s">
        <v>12352</v>
      </c>
      <c r="J264" s="255" t="s">
        <v>7802</v>
      </c>
      <c r="K264" s="267" t="s">
        <v>12353</v>
      </c>
      <c r="L264" s="207" t="s">
        <v>10709</v>
      </c>
      <c r="M264" s="6" t="s">
        <v>809</v>
      </c>
      <c r="N264" s="30" t="s">
        <v>809</v>
      </c>
      <c r="O264" s="30" t="s">
        <v>12337</v>
      </c>
      <c r="P264" s="30" t="s">
        <v>10844</v>
      </c>
      <c r="Q264" s="207" t="s">
        <v>12275</v>
      </c>
    </row>
    <row r="265" customFormat="false" ht="114.75" hidden="false" customHeight="true" outlineLevel="0" collapsed="false">
      <c r="A265" s="255" t="s">
        <v>12354</v>
      </c>
      <c r="B265" s="255" t="s">
        <v>7772</v>
      </c>
      <c r="C265" s="263" t="s">
        <v>12355</v>
      </c>
      <c r="D265" s="266" t="s">
        <v>12356</v>
      </c>
      <c r="E265" s="255" t="s">
        <v>12311</v>
      </c>
      <c r="F265" s="255" t="s">
        <v>12357</v>
      </c>
      <c r="G265" s="255" t="s">
        <v>809</v>
      </c>
      <c r="H265" s="255" t="s">
        <v>12358</v>
      </c>
      <c r="I265" s="266" t="s">
        <v>12359</v>
      </c>
      <c r="J265" s="255" t="s">
        <v>7802</v>
      </c>
      <c r="K265" s="267" t="s">
        <v>12360</v>
      </c>
      <c r="L265" s="207" t="s">
        <v>10709</v>
      </c>
      <c r="M265" s="6" t="s">
        <v>809</v>
      </c>
      <c r="N265" s="30" t="s">
        <v>809</v>
      </c>
      <c r="O265" s="30" t="s">
        <v>12337</v>
      </c>
      <c r="P265" s="30" t="s">
        <v>809</v>
      </c>
      <c r="Q265" s="207" t="s">
        <v>8480</v>
      </c>
    </row>
    <row r="266" customFormat="false" ht="114.75" hidden="false" customHeight="true" outlineLevel="0" collapsed="false">
      <c r="A266" s="255" t="s">
        <v>12361</v>
      </c>
      <c r="B266" s="255" t="s">
        <v>7772</v>
      </c>
      <c r="C266" s="263" t="s">
        <v>12362</v>
      </c>
      <c r="D266" s="266" t="s">
        <v>12363</v>
      </c>
      <c r="E266" s="255" t="s">
        <v>12311</v>
      </c>
      <c r="F266" s="255" t="s">
        <v>12364</v>
      </c>
      <c r="G266" s="255" t="s">
        <v>809</v>
      </c>
      <c r="H266" s="266" t="s">
        <v>12365</v>
      </c>
      <c r="I266" s="266" t="s">
        <v>12366</v>
      </c>
      <c r="J266" s="255" t="s">
        <v>7802</v>
      </c>
      <c r="K266" s="267" t="s">
        <v>12367</v>
      </c>
      <c r="L266" s="207" t="s">
        <v>10709</v>
      </c>
      <c r="M266" s="6" t="s">
        <v>809</v>
      </c>
      <c r="N266" s="30" t="s">
        <v>809</v>
      </c>
      <c r="O266" s="30" t="s">
        <v>12337</v>
      </c>
      <c r="P266" s="30" t="s">
        <v>809</v>
      </c>
      <c r="Q266" s="207" t="s">
        <v>8480</v>
      </c>
    </row>
    <row r="267" customFormat="false" ht="114.75" hidden="false" customHeight="true" outlineLevel="0" collapsed="false">
      <c r="A267" s="255" t="s">
        <v>10463</v>
      </c>
      <c r="B267" s="255" t="s">
        <v>7772</v>
      </c>
      <c r="C267" s="263" t="s">
        <v>12368</v>
      </c>
      <c r="D267" s="255" t="s">
        <v>12369</v>
      </c>
      <c r="E267" s="255" t="s">
        <v>12220</v>
      </c>
      <c r="F267" s="255" t="s">
        <v>12370</v>
      </c>
      <c r="G267" s="255" t="s">
        <v>12371</v>
      </c>
      <c r="H267" s="255" t="s">
        <v>12372</v>
      </c>
      <c r="I267" s="266" t="s">
        <v>12373</v>
      </c>
      <c r="J267" s="255" t="s">
        <v>7802</v>
      </c>
      <c r="K267" s="267" t="s">
        <v>12374</v>
      </c>
      <c r="L267" s="207" t="s">
        <v>10709</v>
      </c>
      <c r="M267" s="6" t="s">
        <v>6975</v>
      </c>
      <c r="N267" s="30" t="s">
        <v>809</v>
      </c>
      <c r="O267" s="30" t="s">
        <v>809</v>
      </c>
      <c r="P267" s="30" t="s">
        <v>10872</v>
      </c>
      <c r="Q267" s="207" t="s">
        <v>8373</v>
      </c>
    </row>
    <row r="268" customFormat="false" ht="114.75" hidden="false" customHeight="true" outlineLevel="0" collapsed="false">
      <c r="A268" s="255" t="s">
        <v>12375</v>
      </c>
      <c r="B268" s="255" t="s">
        <v>7822</v>
      </c>
      <c r="C268" s="263" t="s">
        <v>12376</v>
      </c>
      <c r="D268" s="255" t="s">
        <v>12377</v>
      </c>
      <c r="E268" s="266" t="s">
        <v>12378</v>
      </c>
      <c r="F268" s="255" t="s">
        <v>12379</v>
      </c>
      <c r="G268" s="255" t="s">
        <v>809</v>
      </c>
      <c r="H268" s="255" t="s">
        <v>809</v>
      </c>
      <c r="I268" s="266" t="s">
        <v>12380</v>
      </c>
      <c r="J268" s="255" t="s">
        <v>7819</v>
      </c>
      <c r="K268" s="267" t="s">
        <v>12381</v>
      </c>
      <c r="L268" s="207" t="s">
        <v>10709</v>
      </c>
      <c r="M268" s="6" t="s">
        <v>809</v>
      </c>
      <c r="N268" s="30" t="s">
        <v>809</v>
      </c>
      <c r="O268" s="30" t="s">
        <v>809</v>
      </c>
      <c r="P268" s="30" t="s">
        <v>809</v>
      </c>
      <c r="Q268" s="207" t="s">
        <v>8480</v>
      </c>
    </row>
    <row r="269" customFormat="false" ht="100.5" hidden="false" customHeight="true" outlineLevel="0" collapsed="false">
      <c r="A269" s="255" t="s">
        <v>12382</v>
      </c>
      <c r="B269" s="255" t="s">
        <v>7822</v>
      </c>
      <c r="C269" s="263" t="s">
        <v>12383</v>
      </c>
      <c r="D269" s="255" t="s">
        <v>12384</v>
      </c>
      <c r="E269" s="255" t="s">
        <v>12385</v>
      </c>
      <c r="F269" s="255" t="s">
        <v>12386</v>
      </c>
      <c r="G269" s="255" t="s">
        <v>809</v>
      </c>
      <c r="H269" s="255" t="s">
        <v>12387</v>
      </c>
      <c r="I269" s="266" t="s">
        <v>12388</v>
      </c>
      <c r="J269" s="255" t="s">
        <v>7819</v>
      </c>
      <c r="K269" s="263" t="s">
        <v>12389</v>
      </c>
      <c r="L269" s="207" t="s">
        <v>10709</v>
      </c>
      <c r="M269" s="6" t="s">
        <v>809</v>
      </c>
      <c r="N269" s="30" t="s">
        <v>809</v>
      </c>
      <c r="O269" s="30" t="s">
        <v>809</v>
      </c>
      <c r="P269" s="30" t="s">
        <v>10872</v>
      </c>
      <c r="Q269" s="207" t="s">
        <v>8373</v>
      </c>
    </row>
    <row r="270" customFormat="false" ht="100.5" hidden="false" customHeight="true" outlineLevel="0" collapsed="false">
      <c r="A270" s="255" t="s">
        <v>12390</v>
      </c>
      <c r="B270" s="255" t="s">
        <v>7822</v>
      </c>
      <c r="C270" s="263" t="s">
        <v>12391</v>
      </c>
      <c r="D270" s="255" t="s">
        <v>12392</v>
      </c>
      <c r="E270" s="255" t="s">
        <v>12393</v>
      </c>
      <c r="F270" s="255" t="s">
        <v>12394</v>
      </c>
      <c r="G270" s="255" t="s">
        <v>12395</v>
      </c>
      <c r="H270" s="255" t="s">
        <v>12396</v>
      </c>
      <c r="I270" s="266" t="s">
        <v>12397</v>
      </c>
      <c r="J270" s="255" t="s">
        <v>7819</v>
      </c>
      <c r="K270" s="267" t="s">
        <v>12398</v>
      </c>
      <c r="L270" s="207" t="s">
        <v>10709</v>
      </c>
      <c r="M270" s="6" t="s">
        <v>809</v>
      </c>
      <c r="N270" s="30" t="s">
        <v>809</v>
      </c>
      <c r="O270" s="30" t="s">
        <v>12399</v>
      </c>
      <c r="P270" s="30" t="s">
        <v>10844</v>
      </c>
      <c r="Q270" s="207" t="s">
        <v>8373</v>
      </c>
    </row>
    <row r="271" customFormat="false" ht="100.5" hidden="false" customHeight="true" outlineLevel="0" collapsed="false">
      <c r="A271" s="255" t="s">
        <v>12400</v>
      </c>
      <c r="B271" s="255" t="s">
        <v>7822</v>
      </c>
      <c r="C271" s="263" t="s">
        <v>12401</v>
      </c>
      <c r="D271" s="255" t="s">
        <v>12402</v>
      </c>
      <c r="E271" s="255" t="s">
        <v>12403</v>
      </c>
      <c r="F271" s="255" t="s">
        <v>12404</v>
      </c>
      <c r="G271" s="255" t="s">
        <v>809</v>
      </c>
      <c r="H271" s="255" t="s">
        <v>809</v>
      </c>
      <c r="I271" s="266" t="s">
        <v>12405</v>
      </c>
      <c r="J271" s="255" t="s">
        <v>7819</v>
      </c>
      <c r="K271" s="267" t="s">
        <v>12406</v>
      </c>
      <c r="L271" s="207" t="s">
        <v>10709</v>
      </c>
      <c r="M271" s="6" t="s">
        <v>809</v>
      </c>
      <c r="N271" s="30" t="s">
        <v>809</v>
      </c>
      <c r="O271" s="30" t="s">
        <v>809</v>
      </c>
      <c r="P271" s="30" t="s">
        <v>10844</v>
      </c>
      <c r="Q271" s="207" t="s">
        <v>8373</v>
      </c>
    </row>
    <row r="272" customFormat="false" ht="114.75" hidden="false" customHeight="true" outlineLevel="0" collapsed="false">
      <c r="A272" s="255" t="s">
        <v>12407</v>
      </c>
      <c r="B272" s="255" t="s">
        <v>7822</v>
      </c>
      <c r="C272" s="263" t="s">
        <v>12408</v>
      </c>
      <c r="D272" s="255" t="s">
        <v>12409</v>
      </c>
      <c r="E272" s="255" t="s">
        <v>12410</v>
      </c>
      <c r="F272" s="255" t="s">
        <v>12404</v>
      </c>
      <c r="G272" s="255" t="s">
        <v>809</v>
      </c>
      <c r="H272" s="255" t="s">
        <v>12411</v>
      </c>
      <c r="I272" s="266" t="s">
        <v>12412</v>
      </c>
      <c r="J272" s="255" t="s">
        <v>7819</v>
      </c>
      <c r="K272" s="263" t="s">
        <v>12413</v>
      </c>
      <c r="L272" s="207" t="s">
        <v>10709</v>
      </c>
      <c r="M272" s="6" t="s">
        <v>809</v>
      </c>
      <c r="N272" s="30" t="s">
        <v>809</v>
      </c>
      <c r="O272" s="30" t="s">
        <v>809</v>
      </c>
      <c r="P272" s="30" t="s">
        <v>10844</v>
      </c>
      <c r="Q272" s="207" t="s">
        <v>8373</v>
      </c>
    </row>
    <row r="273" customFormat="false" ht="100.5" hidden="false" customHeight="true" outlineLevel="0" collapsed="false">
      <c r="A273" s="255" t="s">
        <v>12414</v>
      </c>
      <c r="B273" s="255" t="s">
        <v>7822</v>
      </c>
      <c r="C273" s="263" t="s">
        <v>12415</v>
      </c>
      <c r="D273" s="255" t="s">
        <v>12416</v>
      </c>
      <c r="E273" s="255" t="s">
        <v>12417</v>
      </c>
      <c r="F273" s="255" t="s">
        <v>12418</v>
      </c>
      <c r="G273" s="255" t="s">
        <v>809</v>
      </c>
      <c r="H273" s="255" t="s">
        <v>809</v>
      </c>
      <c r="I273" s="266" t="s">
        <v>12405</v>
      </c>
      <c r="J273" s="255" t="s">
        <v>7819</v>
      </c>
      <c r="K273" s="267" t="s">
        <v>12419</v>
      </c>
      <c r="L273" s="207" t="s">
        <v>10709</v>
      </c>
      <c r="M273" s="6" t="s">
        <v>809</v>
      </c>
      <c r="N273" s="30" t="s">
        <v>809</v>
      </c>
      <c r="O273" s="30" t="s">
        <v>809</v>
      </c>
      <c r="P273" s="30" t="s">
        <v>10844</v>
      </c>
      <c r="Q273" s="207" t="s">
        <v>8373</v>
      </c>
    </row>
    <row r="274" customFormat="false" ht="114.75" hidden="false" customHeight="true" outlineLevel="0" collapsed="false">
      <c r="A274" s="255" t="s">
        <v>12420</v>
      </c>
      <c r="B274" s="255" t="s">
        <v>7822</v>
      </c>
      <c r="C274" s="263" t="s">
        <v>12421</v>
      </c>
      <c r="D274" s="255" t="s">
        <v>12422</v>
      </c>
      <c r="E274" s="255" t="s">
        <v>12423</v>
      </c>
      <c r="F274" s="255" t="s">
        <v>10084</v>
      </c>
      <c r="G274" s="255" t="s">
        <v>12424</v>
      </c>
      <c r="H274" s="255" t="s">
        <v>12425</v>
      </c>
      <c r="I274" s="266" t="s">
        <v>12426</v>
      </c>
      <c r="J274" s="255" t="s">
        <v>7819</v>
      </c>
      <c r="K274" s="267" t="s">
        <v>12427</v>
      </c>
      <c r="L274" s="207" t="s">
        <v>10709</v>
      </c>
      <c r="M274" s="6" t="s">
        <v>10084</v>
      </c>
      <c r="N274" s="30" t="s">
        <v>809</v>
      </c>
      <c r="O274" s="30" t="s">
        <v>12428</v>
      </c>
      <c r="P274" s="30" t="s">
        <v>10872</v>
      </c>
      <c r="Q274" s="207" t="s">
        <v>8373</v>
      </c>
      <c r="R274" s="245" t="s">
        <v>12429</v>
      </c>
    </row>
    <row r="275" customFormat="false" ht="114.75" hidden="false" customHeight="true" outlineLevel="0" collapsed="false">
      <c r="A275" s="255" t="s">
        <v>12430</v>
      </c>
      <c r="B275" s="255" t="s">
        <v>7822</v>
      </c>
      <c r="C275" s="263" t="s">
        <v>12431</v>
      </c>
      <c r="D275" s="255" t="s">
        <v>12432</v>
      </c>
      <c r="E275" s="255" t="s">
        <v>12433</v>
      </c>
      <c r="F275" s="255" t="s">
        <v>12434</v>
      </c>
      <c r="G275" s="255" t="s">
        <v>809</v>
      </c>
      <c r="H275" s="255" t="s">
        <v>12435</v>
      </c>
      <c r="I275" s="266" t="s">
        <v>12436</v>
      </c>
      <c r="J275" s="255" t="s">
        <v>7819</v>
      </c>
      <c r="K275" s="263" t="s">
        <v>12437</v>
      </c>
      <c r="L275" s="207" t="s">
        <v>10709</v>
      </c>
      <c r="M275" s="6" t="s">
        <v>809</v>
      </c>
      <c r="N275" s="30" t="s">
        <v>809</v>
      </c>
      <c r="O275" s="30" t="s">
        <v>809</v>
      </c>
      <c r="P275" s="30" t="s">
        <v>10844</v>
      </c>
      <c r="Q275" s="207" t="s">
        <v>8373</v>
      </c>
    </row>
    <row r="276" customFormat="false" ht="114.75" hidden="false" customHeight="true" outlineLevel="0" collapsed="false">
      <c r="A276" s="255" t="s">
        <v>12438</v>
      </c>
      <c r="B276" s="255" t="s">
        <v>7822</v>
      </c>
      <c r="C276" s="263" t="s">
        <v>12439</v>
      </c>
      <c r="D276" s="255" t="s">
        <v>12440</v>
      </c>
      <c r="E276" s="255" t="s">
        <v>12441</v>
      </c>
      <c r="F276" s="255" t="s">
        <v>12442</v>
      </c>
      <c r="G276" s="255" t="s">
        <v>809</v>
      </c>
      <c r="H276" s="255" t="s">
        <v>809</v>
      </c>
      <c r="I276" s="266" t="s">
        <v>12443</v>
      </c>
      <c r="J276" s="255" t="s">
        <v>7819</v>
      </c>
      <c r="K276" s="267" t="s">
        <v>12444</v>
      </c>
      <c r="L276" s="207" t="s">
        <v>10709</v>
      </c>
      <c r="M276" s="6" t="s">
        <v>809</v>
      </c>
      <c r="N276" s="30" t="s">
        <v>809</v>
      </c>
      <c r="O276" s="30" t="s">
        <v>809</v>
      </c>
      <c r="P276" s="30" t="s">
        <v>10898</v>
      </c>
      <c r="Q276" s="207" t="s">
        <v>8480</v>
      </c>
    </row>
    <row r="277" customFormat="false" ht="100.5" hidden="false" customHeight="true" outlineLevel="0" collapsed="false">
      <c r="A277" s="255" t="s">
        <v>12445</v>
      </c>
      <c r="B277" s="255" t="s">
        <v>7822</v>
      </c>
      <c r="C277" s="267" t="s">
        <v>12446</v>
      </c>
      <c r="D277" s="255" t="s">
        <v>12447</v>
      </c>
      <c r="E277" s="255" t="s">
        <v>133</v>
      </c>
      <c r="F277" s="255" t="s">
        <v>12448</v>
      </c>
      <c r="G277" s="255" t="s">
        <v>809</v>
      </c>
      <c r="H277" s="255" t="s">
        <v>12449</v>
      </c>
      <c r="I277" s="266" t="s">
        <v>12443</v>
      </c>
      <c r="J277" s="255" t="s">
        <v>7819</v>
      </c>
      <c r="K277" s="267" t="s">
        <v>12450</v>
      </c>
      <c r="L277" s="207" t="s">
        <v>10709</v>
      </c>
      <c r="M277" s="6" t="s">
        <v>809</v>
      </c>
      <c r="N277" s="30" t="s">
        <v>809</v>
      </c>
      <c r="O277" s="30" t="s">
        <v>809</v>
      </c>
      <c r="P277" s="30" t="s">
        <v>10844</v>
      </c>
      <c r="Q277" s="207" t="s">
        <v>12275</v>
      </c>
    </row>
    <row r="278" customFormat="false" ht="114.75" hidden="false" customHeight="true" outlineLevel="0" collapsed="false">
      <c r="A278" s="255" t="s">
        <v>12451</v>
      </c>
      <c r="B278" s="255" t="s">
        <v>7822</v>
      </c>
      <c r="C278" s="263" t="s">
        <v>12452</v>
      </c>
      <c r="D278" s="255" t="s">
        <v>12453</v>
      </c>
      <c r="E278" s="255" t="s">
        <v>12454</v>
      </c>
      <c r="F278" s="255" t="s">
        <v>12455</v>
      </c>
      <c r="G278" s="255" t="s">
        <v>809</v>
      </c>
      <c r="H278" s="255" t="s">
        <v>12456</v>
      </c>
      <c r="I278" s="266" t="s">
        <v>12457</v>
      </c>
      <c r="J278" s="255" t="s">
        <v>7819</v>
      </c>
      <c r="K278" s="263" t="s">
        <v>12458</v>
      </c>
      <c r="L278" s="207" t="s">
        <v>10709</v>
      </c>
      <c r="M278" s="6" t="s">
        <v>809</v>
      </c>
      <c r="N278" s="30" t="s">
        <v>809</v>
      </c>
      <c r="O278" s="30" t="s">
        <v>809</v>
      </c>
      <c r="P278" s="30" t="s">
        <v>10844</v>
      </c>
      <c r="Q278" s="207" t="s">
        <v>12275</v>
      </c>
    </row>
    <row r="279" customFormat="false" ht="114.75" hidden="false" customHeight="true" outlineLevel="0" collapsed="false">
      <c r="A279" s="255" t="s">
        <v>12459</v>
      </c>
      <c r="B279" s="255" t="s">
        <v>7822</v>
      </c>
      <c r="C279" s="263" t="s">
        <v>12460</v>
      </c>
      <c r="D279" s="255" t="s">
        <v>12461</v>
      </c>
      <c r="E279" s="255" t="s">
        <v>12403</v>
      </c>
      <c r="F279" s="255" t="s">
        <v>12462</v>
      </c>
      <c r="G279" s="255" t="s">
        <v>809</v>
      </c>
      <c r="H279" s="255" t="s">
        <v>12463</v>
      </c>
      <c r="I279" s="266" t="s">
        <v>12457</v>
      </c>
      <c r="J279" s="255" t="s">
        <v>7819</v>
      </c>
      <c r="K279" s="263" t="s">
        <v>12464</v>
      </c>
      <c r="L279" s="207" t="s">
        <v>10709</v>
      </c>
      <c r="M279" s="6" t="s">
        <v>809</v>
      </c>
      <c r="N279" s="30" t="s">
        <v>809</v>
      </c>
      <c r="O279" s="30" t="s">
        <v>809</v>
      </c>
      <c r="P279" s="30" t="s">
        <v>10844</v>
      </c>
      <c r="Q279" s="207" t="s">
        <v>8373</v>
      </c>
    </row>
    <row r="280" customFormat="false" ht="114.75" hidden="false" customHeight="true" outlineLevel="0" collapsed="false">
      <c r="A280" s="255" t="s">
        <v>12465</v>
      </c>
      <c r="B280" s="255" t="s">
        <v>7822</v>
      </c>
      <c r="C280" s="267" t="s">
        <v>12466</v>
      </c>
      <c r="D280" s="255" t="s">
        <v>12467</v>
      </c>
      <c r="E280" s="255" t="s">
        <v>176</v>
      </c>
      <c r="F280" s="255" t="s">
        <v>12468</v>
      </c>
      <c r="G280" s="255" t="s">
        <v>12469</v>
      </c>
      <c r="H280" s="255" t="s">
        <v>12470</v>
      </c>
      <c r="I280" s="266" t="s">
        <v>12471</v>
      </c>
      <c r="J280" s="255" t="s">
        <v>7819</v>
      </c>
      <c r="K280" s="263" t="s">
        <v>12472</v>
      </c>
      <c r="L280" s="207" t="s">
        <v>10709</v>
      </c>
      <c r="M280" s="6" t="s">
        <v>809</v>
      </c>
      <c r="N280" s="30" t="s">
        <v>809</v>
      </c>
      <c r="O280" s="30" t="s">
        <v>12473</v>
      </c>
      <c r="P280" s="30" t="s">
        <v>809</v>
      </c>
      <c r="Q280" s="207" t="s">
        <v>8480</v>
      </c>
    </row>
    <row r="281" customFormat="false" ht="114.75" hidden="false" customHeight="true" outlineLevel="0" collapsed="false">
      <c r="A281" s="255" t="s">
        <v>12474</v>
      </c>
      <c r="B281" s="255" t="s">
        <v>7822</v>
      </c>
      <c r="C281" s="267" t="s">
        <v>12475</v>
      </c>
      <c r="D281" s="255" t="s">
        <v>12476</v>
      </c>
      <c r="E281" s="255" t="s">
        <v>176</v>
      </c>
      <c r="F281" s="266" t="s">
        <v>12477</v>
      </c>
      <c r="G281" s="255" t="s">
        <v>809</v>
      </c>
      <c r="H281" s="255" t="s">
        <v>12478</v>
      </c>
      <c r="I281" s="266" t="s">
        <v>12479</v>
      </c>
      <c r="J281" s="255" t="s">
        <v>7819</v>
      </c>
      <c r="K281" s="267" t="s">
        <v>12480</v>
      </c>
      <c r="L281" s="207" t="s">
        <v>10709</v>
      </c>
      <c r="M281" s="6" t="s">
        <v>809</v>
      </c>
      <c r="N281" s="30" t="s">
        <v>809</v>
      </c>
      <c r="O281" s="30" t="s">
        <v>12481</v>
      </c>
      <c r="P281" s="30" t="s">
        <v>809</v>
      </c>
      <c r="Q281" s="207" t="s">
        <v>8480</v>
      </c>
    </row>
    <row r="282" customFormat="false" ht="100.5" hidden="false" customHeight="true" outlineLevel="0" collapsed="false">
      <c r="A282" s="255" t="s">
        <v>12482</v>
      </c>
      <c r="B282" s="255" t="s">
        <v>7822</v>
      </c>
      <c r="C282" s="263" t="s">
        <v>12483</v>
      </c>
      <c r="D282" s="255" t="s">
        <v>12484</v>
      </c>
      <c r="E282" s="255" t="s">
        <v>12485</v>
      </c>
      <c r="F282" s="266" t="s">
        <v>12486</v>
      </c>
      <c r="G282" s="255" t="s">
        <v>809</v>
      </c>
      <c r="H282" s="266" t="s">
        <v>631</v>
      </c>
      <c r="I282" s="266" t="s">
        <v>12487</v>
      </c>
      <c r="J282" s="255" t="s">
        <v>7819</v>
      </c>
      <c r="K282" s="267" t="s">
        <v>12488</v>
      </c>
      <c r="L282" s="207" t="s">
        <v>10709</v>
      </c>
      <c r="M282" s="6" t="s">
        <v>809</v>
      </c>
      <c r="N282" s="30" t="s">
        <v>809</v>
      </c>
      <c r="O282" s="30" t="s">
        <v>4497</v>
      </c>
      <c r="P282" s="30" t="s">
        <v>10844</v>
      </c>
      <c r="Q282" s="207" t="s">
        <v>12275</v>
      </c>
    </row>
    <row r="283" customFormat="false" ht="114.75" hidden="false" customHeight="true" outlineLevel="0" collapsed="false">
      <c r="A283" s="255" t="s">
        <v>12489</v>
      </c>
      <c r="B283" s="255" t="s">
        <v>7822</v>
      </c>
      <c r="C283" s="263" t="s">
        <v>12490</v>
      </c>
      <c r="D283" s="255" t="s">
        <v>12491</v>
      </c>
      <c r="E283" s="266" t="s">
        <v>12378</v>
      </c>
      <c r="F283" s="255" t="s">
        <v>12492</v>
      </c>
      <c r="G283" s="255" t="s">
        <v>12493</v>
      </c>
      <c r="H283" s="255" t="s">
        <v>809</v>
      </c>
      <c r="I283" s="266" t="s">
        <v>12494</v>
      </c>
      <c r="J283" s="255" t="s">
        <v>7819</v>
      </c>
      <c r="K283" s="267" t="s">
        <v>12495</v>
      </c>
      <c r="L283" s="207" t="s">
        <v>10709</v>
      </c>
      <c r="M283" s="6" t="s">
        <v>809</v>
      </c>
      <c r="N283" s="30" t="s">
        <v>809</v>
      </c>
      <c r="O283" s="30" t="s">
        <v>809</v>
      </c>
      <c r="P283" s="30" t="s">
        <v>809</v>
      </c>
      <c r="Q283" s="207" t="s">
        <v>8480</v>
      </c>
    </row>
    <row r="284" customFormat="false" ht="114.75" hidden="false" customHeight="true" outlineLevel="0" collapsed="false">
      <c r="A284" s="255" t="s">
        <v>12496</v>
      </c>
      <c r="B284" s="255" t="s">
        <v>7822</v>
      </c>
      <c r="C284" s="267" t="s">
        <v>12497</v>
      </c>
      <c r="D284" s="255" t="s">
        <v>12498</v>
      </c>
      <c r="E284" s="255" t="s">
        <v>176</v>
      </c>
      <c r="F284" s="255" t="s">
        <v>12499</v>
      </c>
      <c r="G284" s="255" t="s">
        <v>12500</v>
      </c>
      <c r="H284" s="266" t="s">
        <v>12501</v>
      </c>
      <c r="I284" s="266" t="s">
        <v>12502</v>
      </c>
      <c r="J284" s="255" t="s">
        <v>7819</v>
      </c>
      <c r="K284" s="267" t="s">
        <v>12503</v>
      </c>
      <c r="L284" s="207" t="s">
        <v>10709</v>
      </c>
      <c r="M284" s="6" t="s">
        <v>809</v>
      </c>
      <c r="N284" s="30" t="s">
        <v>809</v>
      </c>
      <c r="O284" s="30" t="s">
        <v>12504</v>
      </c>
      <c r="P284" s="30" t="s">
        <v>809</v>
      </c>
      <c r="Q284" s="207" t="s">
        <v>8480</v>
      </c>
    </row>
    <row r="285" customFormat="false" ht="114.75" hidden="false" customHeight="true" outlineLevel="0" collapsed="false">
      <c r="A285" s="255" t="s">
        <v>12505</v>
      </c>
      <c r="B285" s="255" t="s">
        <v>7822</v>
      </c>
      <c r="C285" s="263" t="s">
        <v>12506</v>
      </c>
      <c r="D285" s="255" t="s">
        <v>12507</v>
      </c>
      <c r="E285" s="255" t="s">
        <v>12508</v>
      </c>
      <c r="F285" s="255" t="s">
        <v>10084</v>
      </c>
      <c r="G285" s="255" t="s">
        <v>12509</v>
      </c>
      <c r="H285" s="255" t="s">
        <v>12425</v>
      </c>
      <c r="I285" s="266" t="s">
        <v>12510</v>
      </c>
      <c r="J285" s="255" t="s">
        <v>7819</v>
      </c>
      <c r="K285" s="267" t="s">
        <v>12511</v>
      </c>
      <c r="L285" s="207" t="s">
        <v>10709</v>
      </c>
      <c r="M285" s="6" t="s">
        <v>10084</v>
      </c>
      <c r="N285" s="30" t="s">
        <v>809</v>
      </c>
      <c r="O285" s="30" t="s">
        <v>12512</v>
      </c>
      <c r="P285" s="30" t="s">
        <v>10872</v>
      </c>
      <c r="Q285" s="207" t="s">
        <v>8373</v>
      </c>
    </row>
    <row r="286" customFormat="false" ht="100.5" hidden="false" customHeight="true" outlineLevel="0" collapsed="false">
      <c r="A286" s="255" t="s">
        <v>12513</v>
      </c>
      <c r="B286" s="255" t="s">
        <v>7822</v>
      </c>
      <c r="C286" s="267" t="s">
        <v>12514</v>
      </c>
      <c r="D286" s="255" t="s">
        <v>12515</v>
      </c>
      <c r="E286" s="255" t="s">
        <v>12516</v>
      </c>
      <c r="F286" s="255" t="s">
        <v>12517</v>
      </c>
      <c r="G286" s="255" t="s">
        <v>12518</v>
      </c>
      <c r="H286" s="255" t="s">
        <v>12519</v>
      </c>
      <c r="I286" s="266" t="s">
        <v>12520</v>
      </c>
      <c r="J286" s="255" t="s">
        <v>7819</v>
      </c>
      <c r="K286" s="267" t="s">
        <v>12521</v>
      </c>
      <c r="L286" s="207" t="s">
        <v>10709</v>
      </c>
      <c r="M286" s="6" t="s">
        <v>4103</v>
      </c>
      <c r="N286" s="30" t="s">
        <v>809</v>
      </c>
      <c r="O286" s="30" t="s">
        <v>12522</v>
      </c>
      <c r="P286" s="30" t="s">
        <v>10872</v>
      </c>
      <c r="Q286" s="207" t="s">
        <v>8373</v>
      </c>
    </row>
    <row r="287" customFormat="false" ht="114.75" hidden="false" customHeight="true" outlineLevel="0" collapsed="false">
      <c r="A287" s="255" t="s">
        <v>10474</v>
      </c>
      <c r="B287" s="255" t="s">
        <v>7822</v>
      </c>
      <c r="C287" s="263" t="s">
        <v>12523</v>
      </c>
      <c r="D287" s="255" t="s">
        <v>12524</v>
      </c>
      <c r="E287" s="266" t="s">
        <v>12525</v>
      </c>
      <c r="F287" s="255" t="s">
        <v>12526</v>
      </c>
      <c r="G287" s="255" t="s">
        <v>12518</v>
      </c>
      <c r="H287" s="255" t="s">
        <v>12527</v>
      </c>
      <c r="I287" s="266" t="s">
        <v>12528</v>
      </c>
      <c r="J287" s="255" t="s">
        <v>7819</v>
      </c>
      <c r="K287" s="267" t="s">
        <v>12529</v>
      </c>
      <c r="L287" s="207" t="s">
        <v>10709</v>
      </c>
      <c r="M287" s="6" t="s">
        <v>12530</v>
      </c>
      <c r="N287" s="30" t="s">
        <v>809</v>
      </c>
      <c r="O287" s="30" t="s">
        <v>12531</v>
      </c>
      <c r="P287" s="30" t="s">
        <v>10872</v>
      </c>
      <c r="Q287" s="207" t="s">
        <v>8480</v>
      </c>
    </row>
    <row r="288" customFormat="false" ht="100.5" hidden="false" customHeight="true" outlineLevel="0" collapsed="false">
      <c r="A288" s="255" t="s">
        <v>12532</v>
      </c>
      <c r="B288" s="255" t="s">
        <v>7822</v>
      </c>
      <c r="C288" s="267" t="s">
        <v>12533</v>
      </c>
      <c r="D288" s="255" t="s">
        <v>12534</v>
      </c>
      <c r="E288" s="255" t="s">
        <v>12535</v>
      </c>
      <c r="F288" s="255" t="s">
        <v>12536</v>
      </c>
      <c r="G288" s="255" t="s">
        <v>809</v>
      </c>
      <c r="H288" s="255" t="s">
        <v>12435</v>
      </c>
      <c r="I288" s="266" t="s">
        <v>12537</v>
      </c>
      <c r="J288" s="255" t="s">
        <v>7819</v>
      </c>
      <c r="K288" s="267" t="s">
        <v>12538</v>
      </c>
      <c r="L288" s="207" t="s">
        <v>10709</v>
      </c>
      <c r="M288" s="6" t="s">
        <v>809</v>
      </c>
      <c r="N288" s="30" t="s">
        <v>809</v>
      </c>
      <c r="O288" s="30" t="s">
        <v>809</v>
      </c>
      <c r="P288" s="30" t="s">
        <v>10844</v>
      </c>
      <c r="Q288" s="207" t="s">
        <v>8373</v>
      </c>
    </row>
    <row r="289" customFormat="false" ht="114.75" hidden="false" customHeight="true" outlineLevel="0" collapsed="false">
      <c r="A289" s="255" t="s">
        <v>12539</v>
      </c>
      <c r="B289" s="255" t="s">
        <v>7822</v>
      </c>
      <c r="C289" s="263" t="s">
        <v>12540</v>
      </c>
      <c r="D289" s="255" t="s">
        <v>12541</v>
      </c>
      <c r="E289" s="255" t="s">
        <v>12393</v>
      </c>
      <c r="F289" s="255" t="s">
        <v>12394</v>
      </c>
      <c r="G289" s="255" t="s">
        <v>12395</v>
      </c>
      <c r="H289" s="255" t="s">
        <v>12542</v>
      </c>
      <c r="I289" s="266" t="s">
        <v>12543</v>
      </c>
      <c r="J289" s="255" t="s">
        <v>7819</v>
      </c>
      <c r="K289" s="267" t="s">
        <v>12544</v>
      </c>
      <c r="L289" s="207" t="s">
        <v>10709</v>
      </c>
      <c r="M289" s="6" t="s">
        <v>809</v>
      </c>
      <c r="N289" s="30" t="s">
        <v>809</v>
      </c>
      <c r="O289" s="30" t="s">
        <v>12399</v>
      </c>
      <c r="P289" s="30" t="s">
        <v>10844</v>
      </c>
      <c r="Q289" s="207" t="s">
        <v>8373</v>
      </c>
    </row>
    <row r="290" customFormat="false" ht="100.5" hidden="false" customHeight="true" outlineLevel="0" collapsed="false">
      <c r="A290" s="255" t="s">
        <v>12545</v>
      </c>
      <c r="B290" s="255" t="s">
        <v>7888</v>
      </c>
      <c r="C290" s="263" t="s">
        <v>12546</v>
      </c>
      <c r="D290" s="255" t="s">
        <v>12547</v>
      </c>
      <c r="E290" s="255" t="s">
        <v>12548</v>
      </c>
      <c r="F290" s="255" t="s">
        <v>12549</v>
      </c>
      <c r="G290" s="255" t="s">
        <v>12550</v>
      </c>
      <c r="H290" s="266" t="s">
        <v>12551</v>
      </c>
      <c r="I290" s="266" t="s">
        <v>12552</v>
      </c>
      <c r="J290" s="255" t="s">
        <v>7920</v>
      </c>
      <c r="K290" s="267" t="s">
        <v>12553</v>
      </c>
      <c r="L290" s="207" t="s">
        <v>10709</v>
      </c>
      <c r="M290" s="6" t="s">
        <v>809</v>
      </c>
      <c r="N290" s="30" t="s">
        <v>809</v>
      </c>
      <c r="O290" s="30" t="s">
        <v>12554</v>
      </c>
      <c r="P290" s="30" t="s">
        <v>10898</v>
      </c>
      <c r="Q290" s="207" t="s">
        <v>8373</v>
      </c>
    </row>
    <row r="291" customFormat="false" ht="72" hidden="false" customHeight="true" outlineLevel="0" collapsed="false">
      <c r="A291" s="255" t="s">
        <v>12555</v>
      </c>
      <c r="B291" s="255" t="s">
        <v>7888</v>
      </c>
      <c r="C291" s="263" t="s">
        <v>12556</v>
      </c>
      <c r="D291" s="255" t="s">
        <v>12557</v>
      </c>
      <c r="E291" s="255" t="s">
        <v>241</v>
      </c>
      <c r="F291" s="255" t="s">
        <v>12558</v>
      </c>
      <c r="G291" s="255" t="s">
        <v>12559</v>
      </c>
      <c r="H291" s="255" t="s">
        <v>12560</v>
      </c>
      <c r="I291" s="266" t="s">
        <v>12561</v>
      </c>
      <c r="J291" s="255" t="s">
        <v>7920</v>
      </c>
      <c r="K291" s="267" t="s">
        <v>12562</v>
      </c>
      <c r="L291" s="207" t="s">
        <v>10709</v>
      </c>
      <c r="M291" s="6" t="s">
        <v>809</v>
      </c>
      <c r="N291" s="30" t="s">
        <v>809</v>
      </c>
      <c r="O291" s="30" t="s">
        <v>12554</v>
      </c>
      <c r="P291" s="30" t="s">
        <v>10898</v>
      </c>
      <c r="Q291" s="207" t="s">
        <v>8373</v>
      </c>
    </row>
    <row r="292" customFormat="false" ht="72" hidden="false" customHeight="true" outlineLevel="0" collapsed="false">
      <c r="A292" s="255" t="s">
        <v>12563</v>
      </c>
      <c r="B292" s="255" t="s">
        <v>7888</v>
      </c>
      <c r="C292" s="263" t="s">
        <v>12564</v>
      </c>
      <c r="D292" s="255" t="s">
        <v>12565</v>
      </c>
      <c r="E292" s="255" t="s">
        <v>241</v>
      </c>
      <c r="F292" s="255" t="s">
        <v>12566</v>
      </c>
      <c r="G292" s="255" t="s">
        <v>809</v>
      </c>
      <c r="H292" s="255" t="s">
        <v>12567</v>
      </c>
      <c r="I292" s="266" t="s">
        <v>10706</v>
      </c>
      <c r="J292" s="255" t="s">
        <v>7920</v>
      </c>
      <c r="K292" s="267" t="s">
        <v>12568</v>
      </c>
      <c r="L292" s="207" t="s">
        <v>10709</v>
      </c>
      <c r="M292" s="6" t="s">
        <v>809</v>
      </c>
      <c r="N292" s="30" t="s">
        <v>809</v>
      </c>
      <c r="O292" s="30" t="s">
        <v>12554</v>
      </c>
      <c r="P292" s="30" t="s">
        <v>12569</v>
      </c>
      <c r="Q292" s="207" t="s">
        <v>8373</v>
      </c>
    </row>
    <row r="293" customFormat="false" ht="72" hidden="false" customHeight="true" outlineLevel="0" collapsed="false">
      <c r="A293" s="255" t="s">
        <v>12570</v>
      </c>
      <c r="B293" s="255" t="s">
        <v>7888</v>
      </c>
      <c r="C293" s="263" t="s">
        <v>12571</v>
      </c>
      <c r="D293" s="255" t="s">
        <v>12572</v>
      </c>
      <c r="E293" s="255" t="s">
        <v>176</v>
      </c>
      <c r="F293" s="255" t="s">
        <v>12573</v>
      </c>
      <c r="G293" s="255" t="s">
        <v>12574</v>
      </c>
      <c r="H293" s="266" t="s">
        <v>12575</v>
      </c>
      <c r="I293" s="266" t="s">
        <v>12576</v>
      </c>
      <c r="J293" s="255" t="s">
        <v>7920</v>
      </c>
      <c r="K293" s="267" t="s">
        <v>12577</v>
      </c>
      <c r="L293" s="207" t="s">
        <v>10709</v>
      </c>
      <c r="M293" s="6" t="s">
        <v>809</v>
      </c>
      <c r="N293" s="30" t="s">
        <v>809</v>
      </c>
      <c r="O293" s="30" t="s">
        <v>12554</v>
      </c>
      <c r="P293" s="30" t="s">
        <v>809</v>
      </c>
      <c r="Q293" s="207" t="s">
        <v>8480</v>
      </c>
    </row>
    <row r="294" customFormat="false" ht="72" hidden="false" customHeight="true" outlineLevel="0" collapsed="false">
      <c r="A294" s="255" t="s">
        <v>12578</v>
      </c>
      <c r="B294" s="255" t="s">
        <v>7888</v>
      </c>
      <c r="C294" s="267" t="s">
        <v>12579</v>
      </c>
      <c r="D294" s="255" t="s">
        <v>12580</v>
      </c>
      <c r="E294" s="255" t="s">
        <v>241</v>
      </c>
      <c r="F294" s="255" t="s">
        <v>12581</v>
      </c>
      <c r="G294" s="255" t="s">
        <v>809</v>
      </c>
      <c r="H294" s="255" t="s">
        <v>12582</v>
      </c>
      <c r="I294" s="266" t="s">
        <v>12583</v>
      </c>
      <c r="J294" s="255" t="s">
        <v>7920</v>
      </c>
      <c r="K294" s="267" t="s">
        <v>12584</v>
      </c>
      <c r="L294" s="207" t="s">
        <v>10709</v>
      </c>
      <c r="M294" s="6" t="s">
        <v>809</v>
      </c>
      <c r="N294" s="30" t="s">
        <v>809</v>
      </c>
      <c r="O294" s="30" t="s">
        <v>12554</v>
      </c>
      <c r="P294" s="30" t="s">
        <v>10898</v>
      </c>
      <c r="Q294" s="207" t="s">
        <v>8373</v>
      </c>
    </row>
    <row r="295" customFormat="false" ht="72" hidden="false" customHeight="true" outlineLevel="0" collapsed="false">
      <c r="A295" s="255" t="s">
        <v>12585</v>
      </c>
      <c r="B295" s="255" t="s">
        <v>7888</v>
      </c>
      <c r="C295" s="263" t="s">
        <v>12586</v>
      </c>
      <c r="D295" s="255" t="s">
        <v>12587</v>
      </c>
      <c r="E295" s="255" t="s">
        <v>176</v>
      </c>
      <c r="F295" s="255" t="s">
        <v>12588</v>
      </c>
      <c r="G295" s="255" t="s">
        <v>809</v>
      </c>
      <c r="H295" s="255" t="s">
        <v>12589</v>
      </c>
      <c r="I295" s="266" t="s">
        <v>12590</v>
      </c>
      <c r="J295" s="255" t="s">
        <v>7920</v>
      </c>
      <c r="K295" s="267" t="s">
        <v>12591</v>
      </c>
      <c r="L295" s="207" t="s">
        <v>10709</v>
      </c>
      <c r="M295" s="6" t="s">
        <v>809</v>
      </c>
      <c r="N295" s="30" t="s">
        <v>809</v>
      </c>
      <c r="O295" s="30" t="s">
        <v>12554</v>
      </c>
      <c r="P295" s="30" t="s">
        <v>12592</v>
      </c>
      <c r="Q295" s="207" t="s">
        <v>8480</v>
      </c>
    </row>
    <row r="296" customFormat="false" ht="100.5" hidden="false" customHeight="true" outlineLevel="0" collapsed="false">
      <c r="A296" s="255" t="s">
        <v>12593</v>
      </c>
      <c r="B296" s="255" t="s">
        <v>7888</v>
      </c>
      <c r="C296" s="263" t="s">
        <v>12594</v>
      </c>
      <c r="D296" s="266" t="s">
        <v>12595</v>
      </c>
      <c r="E296" s="255" t="s">
        <v>241</v>
      </c>
      <c r="F296" s="255" t="s">
        <v>12596</v>
      </c>
      <c r="G296" s="255" t="s">
        <v>809</v>
      </c>
      <c r="H296" s="255" t="s">
        <v>12597</v>
      </c>
      <c r="I296" s="266" t="s">
        <v>12598</v>
      </c>
      <c r="J296" s="255" t="s">
        <v>7920</v>
      </c>
      <c r="K296" s="263" t="s">
        <v>12599</v>
      </c>
      <c r="L296" s="207" t="s">
        <v>10709</v>
      </c>
      <c r="M296" s="6" t="s">
        <v>809</v>
      </c>
      <c r="N296" s="30" t="s">
        <v>809</v>
      </c>
      <c r="O296" s="30" t="s">
        <v>12554</v>
      </c>
      <c r="P296" s="30" t="s">
        <v>11927</v>
      </c>
      <c r="Q296" s="207" t="s">
        <v>8373</v>
      </c>
    </row>
    <row r="297" customFormat="false" ht="72" hidden="false" customHeight="true" outlineLevel="0" collapsed="false">
      <c r="A297" s="255" t="s">
        <v>12600</v>
      </c>
      <c r="B297" s="255" t="s">
        <v>7888</v>
      </c>
      <c r="C297" s="263" t="s">
        <v>12601</v>
      </c>
      <c r="D297" s="255" t="s">
        <v>12602</v>
      </c>
      <c r="E297" s="255" t="s">
        <v>241</v>
      </c>
      <c r="F297" s="266" t="s">
        <v>12603</v>
      </c>
      <c r="G297" s="255" t="s">
        <v>809</v>
      </c>
      <c r="H297" s="255" t="s">
        <v>12604</v>
      </c>
      <c r="I297" s="266" t="s">
        <v>12605</v>
      </c>
      <c r="J297" s="255" t="s">
        <v>7920</v>
      </c>
      <c r="K297" s="267" t="s">
        <v>12606</v>
      </c>
      <c r="L297" s="207" t="s">
        <v>10709</v>
      </c>
      <c r="M297" s="6" t="s">
        <v>809</v>
      </c>
      <c r="N297" s="30" t="s">
        <v>809</v>
      </c>
      <c r="O297" s="30" t="s">
        <v>12554</v>
      </c>
      <c r="P297" s="30" t="s">
        <v>10898</v>
      </c>
      <c r="Q297" s="207" t="s">
        <v>8373</v>
      </c>
    </row>
    <row r="298" customFormat="false" ht="86.25" hidden="false" customHeight="true" outlineLevel="0" collapsed="false">
      <c r="A298" s="255" t="s">
        <v>12607</v>
      </c>
      <c r="B298" s="255" t="s">
        <v>7888</v>
      </c>
      <c r="C298" s="263" t="s">
        <v>12608</v>
      </c>
      <c r="D298" s="255" t="s">
        <v>12609</v>
      </c>
      <c r="E298" s="255" t="s">
        <v>12610</v>
      </c>
      <c r="F298" s="255" t="s">
        <v>12611</v>
      </c>
      <c r="G298" s="255" t="s">
        <v>12612</v>
      </c>
      <c r="H298" s="255" t="s">
        <v>12613</v>
      </c>
      <c r="I298" s="266" t="s">
        <v>12614</v>
      </c>
      <c r="J298" s="255" t="s">
        <v>7974</v>
      </c>
      <c r="K298" s="263" t="s">
        <v>12615</v>
      </c>
      <c r="L298" s="207" t="s">
        <v>10709</v>
      </c>
      <c r="M298" s="6" t="s">
        <v>809</v>
      </c>
      <c r="N298" s="30" t="s">
        <v>809</v>
      </c>
      <c r="O298" s="30" t="s">
        <v>12616</v>
      </c>
      <c r="P298" s="30" t="s">
        <v>12617</v>
      </c>
      <c r="Q298" s="207" t="s">
        <v>8373</v>
      </c>
    </row>
    <row r="299" customFormat="false" ht="72" hidden="false" customHeight="true" outlineLevel="0" collapsed="false">
      <c r="A299" s="255" t="s">
        <v>12618</v>
      </c>
      <c r="B299" s="255" t="s">
        <v>7888</v>
      </c>
      <c r="C299" s="267" t="s">
        <v>12619</v>
      </c>
      <c r="D299" s="255" t="s">
        <v>12620</v>
      </c>
      <c r="E299" s="255" t="s">
        <v>12621</v>
      </c>
      <c r="F299" s="255" t="s">
        <v>12622</v>
      </c>
      <c r="G299" s="266" t="s">
        <v>12623</v>
      </c>
      <c r="H299" s="266" t="s">
        <v>12624</v>
      </c>
      <c r="I299" s="266" t="s">
        <v>12625</v>
      </c>
      <c r="J299" s="255" t="s">
        <v>7974</v>
      </c>
      <c r="K299" s="267" t="s">
        <v>12626</v>
      </c>
      <c r="L299" s="207" t="s">
        <v>10709</v>
      </c>
      <c r="M299" s="6" t="s">
        <v>809</v>
      </c>
      <c r="N299" s="30" t="s">
        <v>809</v>
      </c>
      <c r="O299" s="30" t="s">
        <v>12616</v>
      </c>
      <c r="P299" s="30" t="s">
        <v>10844</v>
      </c>
      <c r="Q299" s="207" t="s">
        <v>8480</v>
      </c>
    </row>
    <row r="300" customFormat="false" ht="72" hidden="false" customHeight="true" outlineLevel="0" collapsed="false">
      <c r="A300" s="255" t="s">
        <v>12627</v>
      </c>
      <c r="B300" s="255" t="s">
        <v>7888</v>
      </c>
      <c r="C300" s="263" t="s">
        <v>12628</v>
      </c>
      <c r="D300" s="255" t="s">
        <v>12629</v>
      </c>
      <c r="E300" s="255" t="s">
        <v>12630</v>
      </c>
      <c r="F300" s="255" t="s">
        <v>12631</v>
      </c>
      <c r="G300" s="255" t="s">
        <v>12632</v>
      </c>
      <c r="H300" s="255" t="s">
        <v>12633</v>
      </c>
      <c r="I300" s="266" t="s">
        <v>12634</v>
      </c>
      <c r="J300" s="255" t="s">
        <v>7974</v>
      </c>
      <c r="K300" s="267" t="s">
        <v>12635</v>
      </c>
      <c r="L300" s="207" t="s">
        <v>10709</v>
      </c>
      <c r="M300" s="6" t="s">
        <v>809</v>
      </c>
      <c r="N300" s="30" t="s">
        <v>809</v>
      </c>
      <c r="O300" s="30" t="s">
        <v>12616</v>
      </c>
      <c r="P300" s="30" t="s">
        <v>10844</v>
      </c>
      <c r="Q300" s="207" t="s">
        <v>8480</v>
      </c>
    </row>
    <row r="301" customFormat="false" ht="72" hidden="false" customHeight="true" outlineLevel="0" collapsed="false">
      <c r="A301" s="255" t="s">
        <v>12636</v>
      </c>
      <c r="B301" s="255" t="s">
        <v>7888</v>
      </c>
      <c r="C301" s="263" t="s">
        <v>12637</v>
      </c>
      <c r="D301" s="255" t="s">
        <v>12638</v>
      </c>
      <c r="E301" s="255" t="s">
        <v>12639</v>
      </c>
      <c r="F301" s="255" t="s">
        <v>12640</v>
      </c>
      <c r="G301" s="266" t="s">
        <v>12641</v>
      </c>
      <c r="H301" s="266" t="s">
        <v>12642</v>
      </c>
      <c r="I301" s="266" t="s">
        <v>12643</v>
      </c>
      <c r="J301" s="255" t="s">
        <v>7974</v>
      </c>
      <c r="K301" s="267" t="s">
        <v>12644</v>
      </c>
      <c r="L301" s="207" t="s">
        <v>10709</v>
      </c>
      <c r="M301" s="6" t="s">
        <v>809</v>
      </c>
      <c r="N301" s="30" t="s">
        <v>809</v>
      </c>
      <c r="O301" s="30" t="s">
        <v>12616</v>
      </c>
      <c r="P301" s="30" t="s">
        <v>12645</v>
      </c>
      <c r="Q301" s="207" t="s">
        <v>8480</v>
      </c>
    </row>
    <row r="302" customFormat="false" ht="86.25" hidden="false" customHeight="true" outlineLevel="0" collapsed="false">
      <c r="A302" s="255" t="s">
        <v>9462</v>
      </c>
      <c r="B302" s="255" t="s">
        <v>7888</v>
      </c>
      <c r="C302" s="263" t="s">
        <v>12646</v>
      </c>
      <c r="D302" s="255" t="s">
        <v>12647</v>
      </c>
      <c r="E302" s="266" t="s">
        <v>12648</v>
      </c>
      <c r="F302" s="255" t="s">
        <v>12649</v>
      </c>
      <c r="G302" s="255" t="s">
        <v>12650</v>
      </c>
      <c r="H302" s="266" t="s">
        <v>12651</v>
      </c>
      <c r="I302" s="266" t="s">
        <v>12652</v>
      </c>
      <c r="J302" s="255" t="s">
        <v>8038</v>
      </c>
      <c r="K302" s="267" t="s">
        <v>12653</v>
      </c>
      <c r="L302" s="207" t="s">
        <v>10709</v>
      </c>
      <c r="M302" s="6" t="s">
        <v>12654</v>
      </c>
      <c r="N302" s="30" t="s">
        <v>809</v>
      </c>
      <c r="O302" s="30" t="s">
        <v>12655</v>
      </c>
      <c r="P302" s="30" t="s">
        <v>12656</v>
      </c>
      <c r="Q302" s="207" t="s">
        <v>8373</v>
      </c>
    </row>
    <row r="303" customFormat="false" ht="171" hidden="false" customHeight="true" outlineLevel="0" collapsed="false">
      <c r="A303" s="255" t="s">
        <v>9508</v>
      </c>
      <c r="B303" s="255" t="s">
        <v>7888</v>
      </c>
      <c r="C303" s="267" t="s">
        <v>12657</v>
      </c>
      <c r="D303" s="255" t="s">
        <v>12658</v>
      </c>
      <c r="E303" s="255" t="s">
        <v>12659</v>
      </c>
      <c r="F303" s="255" t="s">
        <v>12660</v>
      </c>
      <c r="G303" s="255" t="s">
        <v>12661</v>
      </c>
      <c r="H303" s="255" t="s">
        <v>12662</v>
      </c>
      <c r="I303" s="266" t="s">
        <v>12663</v>
      </c>
      <c r="J303" s="255" t="s">
        <v>8084</v>
      </c>
      <c r="K303" s="267" t="s">
        <v>12664</v>
      </c>
      <c r="L303" s="207" t="s">
        <v>10709</v>
      </c>
      <c r="M303" s="6" t="s">
        <v>12665</v>
      </c>
      <c r="N303" s="30" t="s">
        <v>809</v>
      </c>
      <c r="O303" s="30" t="s">
        <v>12666</v>
      </c>
      <c r="P303" s="30" t="s">
        <v>11927</v>
      </c>
      <c r="Q303" s="207" t="s">
        <v>12667</v>
      </c>
    </row>
    <row r="304" customFormat="false" ht="83.25" hidden="false" customHeight="true" outlineLevel="0" collapsed="false">
      <c r="A304" s="255" t="s">
        <v>8740</v>
      </c>
      <c r="B304" s="255" t="s">
        <v>7888</v>
      </c>
      <c r="C304" s="267" t="s">
        <v>12668</v>
      </c>
      <c r="D304" s="255" t="s">
        <v>12669</v>
      </c>
      <c r="E304" s="255" t="s">
        <v>12670</v>
      </c>
      <c r="F304" s="255" t="s">
        <v>12671</v>
      </c>
      <c r="G304" s="266" t="s">
        <v>12672</v>
      </c>
      <c r="H304" s="266" t="s">
        <v>12673</v>
      </c>
      <c r="I304" s="266" t="s">
        <v>12674</v>
      </c>
      <c r="J304" s="255" t="s">
        <v>8152</v>
      </c>
      <c r="K304" s="267" t="s">
        <v>12675</v>
      </c>
      <c r="L304" s="207" t="s">
        <v>10709</v>
      </c>
      <c r="M304" s="6" t="s">
        <v>12676</v>
      </c>
      <c r="N304" s="30" t="s">
        <v>809</v>
      </c>
      <c r="O304" s="30" t="s">
        <v>12677</v>
      </c>
      <c r="P304" s="30" t="s">
        <v>10898</v>
      </c>
      <c r="Q304" s="207" t="s">
        <v>12678</v>
      </c>
    </row>
    <row r="305" customFormat="false" ht="72" hidden="false" customHeight="true" outlineLevel="0" collapsed="false">
      <c r="A305" s="255" t="s">
        <v>8873</v>
      </c>
      <c r="B305" s="255" t="s">
        <v>8215</v>
      </c>
      <c r="C305" s="263" t="s">
        <v>12679</v>
      </c>
      <c r="D305" s="255" t="s">
        <v>12680</v>
      </c>
      <c r="E305" s="255" t="s">
        <v>12681</v>
      </c>
      <c r="F305" s="255" t="s">
        <v>12682</v>
      </c>
      <c r="G305" s="255" t="s">
        <v>12683</v>
      </c>
      <c r="H305" s="255" t="s">
        <v>12684</v>
      </c>
      <c r="I305" s="266" t="s">
        <v>12685</v>
      </c>
      <c r="J305" s="255" t="s">
        <v>12686</v>
      </c>
      <c r="K305" s="263" t="s">
        <v>12687</v>
      </c>
      <c r="L305" s="207" t="s">
        <v>10709</v>
      </c>
      <c r="M305" s="6" t="s">
        <v>12688</v>
      </c>
      <c r="N305" s="30" t="s">
        <v>809</v>
      </c>
      <c r="O305" s="207" t="s">
        <v>12689</v>
      </c>
      <c r="P305" s="30" t="s">
        <v>10898</v>
      </c>
      <c r="Q305" s="207" t="s">
        <v>12690</v>
      </c>
      <c r="R305" s="245" t="s">
        <v>12691</v>
      </c>
    </row>
    <row r="306" customFormat="false" ht="72" hidden="false" customHeight="true" outlineLevel="0" collapsed="false">
      <c r="A306" s="255" t="s">
        <v>9818</v>
      </c>
      <c r="B306" s="255" t="s">
        <v>8215</v>
      </c>
      <c r="C306" s="263" t="s">
        <v>12692</v>
      </c>
      <c r="D306" s="255" t="s">
        <v>12693</v>
      </c>
      <c r="E306" s="255" t="s">
        <v>12694</v>
      </c>
      <c r="F306" s="255" t="s">
        <v>12695</v>
      </c>
      <c r="G306" s="255" t="s">
        <v>12696</v>
      </c>
      <c r="H306" s="255" t="s">
        <v>12697</v>
      </c>
      <c r="I306" s="266" t="s">
        <v>12698</v>
      </c>
      <c r="J306" s="255" t="s">
        <v>12686</v>
      </c>
      <c r="K306" s="263" t="s">
        <v>12699</v>
      </c>
      <c r="L306" s="207" t="s">
        <v>10709</v>
      </c>
      <c r="M306" s="6" t="s">
        <v>12700</v>
      </c>
      <c r="N306" s="30" t="s">
        <v>809</v>
      </c>
      <c r="O306" s="207" t="s">
        <v>12701</v>
      </c>
      <c r="P306" s="30" t="s">
        <v>10898</v>
      </c>
      <c r="Q306" s="207" t="s">
        <v>12702</v>
      </c>
      <c r="R306" s="245" t="s">
        <v>12703</v>
      </c>
    </row>
    <row r="307" customFormat="false" ht="72" hidden="false" customHeight="true" outlineLevel="0" collapsed="false">
      <c r="A307" s="255" t="s">
        <v>8755</v>
      </c>
      <c r="B307" s="255" t="s">
        <v>8215</v>
      </c>
      <c r="C307" s="263" t="s">
        <v>12704</v>
      </c>
      <c r="D307" s="255" t="s">
        <v>12705</v>
      </c>
      <c r="E307" s="255" t="s">
        <v>241</v>
      </c>
      <c r="F307" s="255" t="s">
        <v>12706</v>
      </c>
      <c r="G307" s="255" t="s">
        <v>12707</v>
      </c>
      <c r="H307" s="255" t="s">
        <v>12708</v>
      </c>
      <c r="I307" s="266" t="s">
        <v>12709</v>
      </c>
      <c r="J307" s="255" t="s">
        <v>12686</v>
      </c>
      <c r="K307" s="263" t="s">
        <v>12710</v>
      </c>
      <c r="L307" s="207" t="s">
        <v>10709</v>
      </c>
      <c r="M307" s="6" t="s">
        <v>12711</v>
      </c>
      <c r="N307" s="30" t="s">
        <v>809</v>
      </c>
      <c r="O307" s="207" t="s">
        <v>12712</v>
      </c>
      <c r="P307" s="30" t="s">
        <v>10898</v>
      </c>
      <c r="Q307" s="207" t="s">
        <v>8373</v>
      </c>
      <c r="R307" s="245" t="s">
        <v>12713</v>
      </c>
    </row>
    <row r="308" customFormat="false" ht="86.25" hidden="false" customHeight="true" outlineLevel="0" collapsed="false">
      <c r="A308" s="255" t="s">
        <v>12714</v>
      </c>
      <c r="B308" s="255" t="s">
        <v>8215</v>
      </c>
      <c r="C308" s="263" t="s">
        <v>12715</v>
      </c>
      <c r="D308" s="255" t="s">
        <v>12716</v>
      </c>
      <c r="E308" s="255" t="s">
        <v>809</v>
      </c>
      <c r="F308" s="255" t="s">
        <v>12717</v>
      </c>
      <c r="G308" s="255" t="s">
        <v>12718</v>
      </c>
      <c r="H308" s="266" t="s">
        <v>12719</v>
      </c>
      <c r="I308" s="266" t="s">
        <v>12720</v>
      </c>
      <c r="J308" s="255" t="s">
        <v>12686</v>
      </c>
      <c r="K308" s="263" t="s">
        <v>12721</v>
      </c>
      <c r="L308" s="207" t="s">
        <v>10743</v>
      </c>
      <c r="M308" s="6" t="s">
        <v>9455</v>
      </c>
      <c r="N308" s="30" t="s">
        <v>809</v>
      </c>
      <c r="O308" s="207" t="s">
        <v>12722</v>
      </c>
      <c r="P308" s="30" t="s">
        <v>809</v>
      </c>
      <c r="Q308" s="30" t="s">
        <v>809</v>
      </c>
      <c r="R308" s="245" t="s">
        <v>12723</v>
      </c>
    </row>
    <row r="309" customFormat="false" ht="72" hidden="false" customHeight="true" outlineLevel="0" collapsed="false">
      <c r="A309" s="255" t="s">
        <v>12724</v>
      </c>
      <c r="B309" s="255" t="s">
        <v>8215</v>
      </c>
      <c r="C309" s="263" t="s">
        <v>12725</v>
      </c>
      <c r="D309" s="255" t="s">
        <v>12726</v>
      </c>
      <c r="E309" s="255" t="s">
        <v>12727</v>
      </c>
      <c r="F309" s="255" t="s">
        <v>12728</v>
      </c>
      <c r="G309" s="255" t="s">
        <v>12729</v>
      </c>
      <c r="H309" s="255" t="s">
        <v>12730</v>
      </c>
      <c r="I309" s="266" t="s">
        <v>12731</v>
      </c>
      <c r="J309" s="255" t="s">
        <v>12686</v>
      </c>
      <c r="K309" s="263" t="s">
        <v>12732</v>
      </c>
      <c r="L309" s="207" t="s">
        <v>10743</v>
      </c>
      <c r="M309" s="6" t="s">
        <v>809</v>
      </c>
      <c r="N309" s="30" t="s">
        <v>809</v>
      </c>
      <c r="O309" s="207" t="s">
        <v>12733</v>
      </c>
      <c r="P309" s="30" t="s">
        <v>809</v>
      </c>
      <c r="Q309" s="30" t="s">
        <v>809</v>
      </c>
      <c r="R309" s="245" t="s">
        <v>12734</v>
      </c>
    </row>
    <row r="310" customFormat="false" ht="72" hidden="false" customHeight="true" outlineLevel="0" collapsed="false">
      <c r="A310" s="255" t="s">
        <v>12735</v>
      </c>
      <c r="B310" s="255" t="s">
        <v>8215</v>
      </c>
      <c r="C310" s="263" t="s">
        <v>12736</v>
      </c>
      <c r="D310" s="255" t="s">
        <v>12737</v>
      </c>
      <c r="E310" s="255" t="s">
        <v>12738</v>
      </c>
      <c r="F310" s="255" t="s">
        <v>12739</v>
      </c>
      <c r="G310" s="255" t="s">
        <v>12740</v>
      </c>
      <c r="H310" s="255" t="s">
        <v>12741</v>
      </c>
      <c r="I310" s="266" t="s">
        <v>12742</v>
      </c>
      <c r="J310" s="255" t="s">
        <v>12686</v>
      </c>
      <c r="K310" s="263" t="s">
        <v>12743</v>
      </c>
      <c r="L310" s="207" t="s">
        <v>10709</v>
      </c>
      <c r="M310" s="6" t="s">
        <v>809</v>
      </c>
      <c r="N310" s="30" t="s">
        <v>809</v>
      </c>
      <c r="O310" s="207" t="s">
        <v>12733</v>
      </c>
      <c r="P310" s="30" t="s">
        <v>10844</v>
      </c>
      <c r="Q310" s="207" t="s">
        <v>12275</v>
      </c>
      <c r="R310" s="245" t="s">
        <v>12744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2026-10-17T03:40:49Z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