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charts/chart2.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3.xml" ContentType="application/vnd.openxmlformats-officedocument.spreadsheetml.comments+xml"/>
  <Override PartName="/xl/charts/chart4.xml" ContentType="application/vnd.openxmlformats-officedocument.drawingml.chart+xml"/>
  <Override PartName="/xl/drawings/drawing11.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5.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psf\Home\Desktop\"/>
    </mc:Choice>
  </mc:AlternateContent>
  <bookViews>
    <workbookView xWindow="0" yWindow="-465" windowWidth="27315" windowHeight="15360"/>
  </bookViews>
  <sheets>
    <sheet name="Ch2_ Q21" sheetId="1" r:id="rId1"/>
    <sheet name="Ch2_Q30" sheetId="2" r:id="rId2"/>
    <sheet name="Ch2_ Q33" sheetId="3" r:id="rId3"/>
    <sheet name="Ch3_Q25" sheetId="4" r:id="rId4"/>
    <sheet name="STS_Ch3_Q25" sheetId="13" r:id="rId5"/>
    <sheet name="CH3_Q26" sheetId="5" r:id="rId6"/>
    <sheet name="STS_Ch3_Q26" sheetId="16" r:id="rId7"/>
    <sheet name="Ch3_Q29_a" sheetId="6" r:id="rId8"/>
    <sheet name="Ch3_Q29 _b" sheetId="23" r:id="rId9"/>
    <sheet name="STS1_Ch3_Q29_b" sheetId="26" r:id="rId10"/>
    <sheet name="STSTS2_Ch3_Q29_b" sheetId="28" r:id="rId11"/>
    <sheet name="Ch3_Q32_a" sheetId="7" r:id="rId12"/>
    <sheet name="Ch3_Q32_b" sheetId="18" r:id="rId13"/>
    <sheet name="Ch3_Q25_STS" sheetId="8" state="veryHidden" r:id="rId14"/>
    <sheet name="STS_Ch3_Q32_b" sheetId="22" r:id="rId15"/>
    <sheet name="Ch3_Q29 _b_STS" sheetId="24" state="veryHidden" r:id="rId16"/>
    <sheet name="Ch3_Q32_b_STS" sheetId="19" state="veryHidden" r:id="rId17"/>
    <sheet name="CH3_Q26_STS" sheetId="15" state="veryHidden" r:id="rId18"/>
  </sheets>
  <definedNames>
    <definedName name="ChartData" localSheetId="4">STS_Ch3_Q25!$K$5:$K$805</definedName>
    <definedName name="ChartData" localSheetId="6">STS_Ch3_Q26!$K$5:$K$25</definedName>
    <definedName name="ChartData" localSheetId="9">STS1_Ch3_Q29_b!$K$5:$K$15</definedName>
    <definedName name="ChartData" localSheetId="10">STSTS2_Ch3_Q29_b!$K$5:$K$105</definedName>
    <definedName name="ChartData1" localSheetId="14">STS_Ch3_Q32_b!$K$5:$K$11</definedName>
    <definedName name="ChartData2" localSheetId="14">STS_Ch3_Q32_b!$O$5:$O$11</definedName>
    <definedName name="Concession_profit">'Ch2_ Q21'!$B$21</definedName>
    <definedName name="Contribution">CH3_Q26!$B$15:$C$15</definedName>
    <definedName name="Cost_per_night">'Ch2_ Q21'!$B$15</definedName>
    <definedName name="Costant">Ch2_Q30!$B$15</definedName>
    <definedName name="Demand">Ch2_Q30!$B$20</definedName>
    <definedName name="Demand_Q25">Ch3_Q25!$B$28:$D$28</definedName>
    <definedName name="Demand_Q29" localSheetId="8">'Ch3_Q29 _b'!$B$27:$D$27</definedName>
    <definedName name="Demand_Q29">Ch3_Q29_a!$B$21:$D$21</definedName>
    <definedName name="Demand_Q33">'Ch2_ Q33'!$B$8</definedName>
    <definedName name="Demands">'Ch2_ Q33'!$B$18:$K$18</definedName>
    <definedName name="Development_cost">'Ch2_ Q21'!$B$14</definedName>
    <definedName name="Exchange_rate">Ch2_Q30!$B$14</definedName>
    <definedName name="Exponebt">Ch2_Q30!$B$16</definedName>
    <definedName name="Grow_rate">'Ch2_ Q33'!$B$9</definedName>
    <definedName name="InputValues" localSheetId="4">STS_Ch3_Q25!$A$5:$A$805</definedName>
    <definedName name="InputValues" localSheetId="6">STS_Ch3_Q26!$A$5:$A$25</definedName>
    <definedName name="InputValues" localSheetId="9">STS1_Ch3_Q29_b!$A$5:$A$15</definedName>
    <definedName name="InputValues" localSheetId="10">STSTS2_Ch3_Q29_b!$A$5:$A$105</definedName>
    <definedName name="InputValues1" localSheetId="12">Ch3_Q32_b!$A$5:$A$11</definedName>
    <definedName name="InputValues1" localSheetId="14">STS_Ch3_Q32_b!$A$5:$A$11</definedName>
    <definedName name="InputValues2" localSheetId="12">STS_Ch3_Q32_b!$B$4:$H$4</definedName>
    <definedName name="InputValues2" localSheetId="14">STS_Ch3_Q32_b!$B$4:$H$4</definedName>
    <definedName name="Number_of_weeks">'Ch2_ Q21'!$B$26</definedName>
    <definedName name="On_hand_to_mrry_demand" localSheetId="8">'Ch3_Q29 _b'!$B$25:$D$25</definedName>
    <definedName name="On_hand_to_mrry_demand">Ch3_Q29_a!$B$19:$D$19</definedName>
    <definedName name="Operation_cost">'Ch2_ Q33'!$B$13</definedName>
    <definedName name="OutputAddresses" localSheetId="12">Ch3_Q32_b!$AZ$2</definedName>
    <definedName name="OutputAddresses" localSheetId="4">STS_Ch3_Q25!$B$4:$D$4</definedName>
    <definedName name="OutputAddresses" localSheetId="6">STS_Ch3_Q26!$B$4:$D$4</definedName>
    <definedName name="OutputAddresses" localSheetId="14">STS_Ch3_Q32_b!$AZ$2</definedName>
    <definedName name="OutputAddresses" localSheetId="9">STS1_Ch3_Q29_b!$B$4:$E$4</definedName>
    <definedName name="OutputAddresses" localSheetId="10">STSTS2_Ch3_Q29_b!$B$4:$E$4</definedName>
    <definedName name="OutputValues" localSheetId="4">STS_Ch3_Q25!$B$5:$D$805</definedName>
    <definedName name="OutputValues" localSheetId="6">STS_Ch3_Q26!$B$5:$D$25</definedName>
    <definedName name="OutputValues" localSheetId="9">STS1_Ch3_Q29_b!$B$5:$E$15</definedName>
    <definedName name="OutputValues" localSheetId="10">STSTS2_Ch3_Q29_b!$B$5:$E$105</definedName>
    <definedName name="OutputValues_1" localSheetId="14">STS_Ch3_Q32_b!$B$5:$H$11</definedName>
    <definedName name="Plant_capacity">'Ch2_ Q33'!$B$16</definedName>
    <definedName name="Production">'Ch2_ Q33'!$B$19:$K$19</definedName>
    <definedName name="Production_cost">'Ch2_ Q33'!$B$12</definedName>
    <definedName name="Production_Q26">CH3_Q26!$B$19:$C$19</definedName>
    <definedName name="Production_Q29" localSheetId="8">'Ch3_Q29 _b'!$B$22:$D$22</definedName>
    <definedName name="Production_Q29">Ch3_Q29_a!$B$16:$D$16</definedName>
    <definedName name="Profit">'Ch2_ Q21'!$B$23</definedName>
    <definedName name="Profit_by_this_time">'Ch2_ Q21'!$B$27</definedName>
    <definedName name="Profit_model">Ch2_Q30!$A$19:$B$23</definedName>
    <definedName name="Profit_Q26">CH3_Q26!$B$25</definedName>
    <definedName name="Quantity">Ch3_Q25!$B$26:$D$26</definedName>
    <definedName name="Quantity_Q32">Ch3_Q32_b!$B$16:$C$17</definedName>
    <definedName name="Return_on_investment">'Ch2_ Q21'!$B$28</definedName>
    <definedName name="Revenue">Ch2_Q30!$B$21</definedName>
    <definedName name="Seat_occupancy_rate">'Ch2_ Q21'!$B$19</definedName>
    <definedName name="Sell_price">Ch2_Q30!$B$19</definedName>
    <definedName name="Sensitivity_of_profit_to_exchange_rate">Ch2_Q30!$A$26:$B$37</definedName>
    <definedName name="Sensitivity_of_profit_to_exchange_rate_and_price">Ch2_Q30!$A$26:$L$37</definedName>
    <definedName name="Sensitivity_of_profit_to_seat_occupacy_rate">'Ch2_ Q21'!$E$14:$F$26</definedName>
    <definedName name="Sensitivity_of_Profit_to_ticket_price_and_total_weeks">'Ch2_ Q21'!$A$31:$H$42</definedName>
    <definedName name="Sensitivity_of_sell_price">Ch2_Q30!$D$13:$H$22</definedName>
    <definedName name="Shows_per_week">'Ch2_ Q21'!$B$16</definedName>
    <definedName name="solver_adj" localSheetId="2" hidden="1">'Ch2_ Q33'!$B$16</definedName>
    <definedName name="solver_adj" localSheetId="3" hidden="1">Ch3_Q25!$B$23:$B$24</definedName>
    <definedName name="solver_adj" localSheetId="5" hidden="1">CH3_Q26!$B$19:$C$19</definedName>
    <definedName name="solver_adj" localSheetId="8" hidden="1">'Ch3_Q29 _b'!$B$22:$D$22</definedName>
    <definedName name="solver_adj" localSheetId="7" hidden="1">Ch3_Q29_a!$B$16:$D$16</definedName>
    <definedName name="solver_adj" localSheetId="11" hidden="1">Ch3_Q32_a!$B$15:$C$16</definedName>
    <definedName name="solver_adj" localSheetId="12" hidden="1">Ch3_Q32_b!$B$16:$C$17</definedName>
    <definedName name="solver_cvg" localSheetId="2" hidden="1">0.0001</definedName>
    <definedName name="solver_cvg" localSheetId="3" hidden="1">0.0001</definedName>
    <definedName name="solver_cvg" localSheetId="5" hidden="1">0.0001</definedName>
    <definedName name="solver_cvg" localSheetId="8" hidden="1">0.0001</definedName>
    <definedName name="solver_cvg" localSheetId="7" hidden="1">0.0001</definedName>
    <definedName name="solver_cvg" localSheetId="11" hidden="1">0.0001</definedName>
    <definedName name="solver_cvg" localSheetId="12" hidden="1">0.0001</definedName>
    <definedName name="solver_drv" localSheetId="2" hidden="1">1</definedName>
    <definedName name="solver_drv" localSheetId="3" hidden="1">2</definedName>
    <definedName name="solver_drv" localSheetId="5" hidden="1">2</definedName>
    <definedName name="solver_drv" localSheetId="8" hidden="1">1</definedName>
    <definedName name="solver_drv" localSheetId="7" hidden="1">1</definedName>
    <definedName name="solver_drv" localSheetId="11" hidden="1">1</definedName>
    <definedName name="solver_drv" localSheetId="12" hidden="1">1</definedName>
    <definedName name="solver_eng" localSheetId="2" hidden="1">2</definedName>
    <definedName name="solver_eng" localSheetId="3" hidden="1">2</definedName>
    <definedName name="solver_eng" localSheetId="5" hidden="1">2</definedName>
    <definedName name="solver_eng" localSheetId="8" hidden="1">2</definedName>
    <definedName name="solver_eng" localSheetId="7" hidden="1">2</definedName>
    <definedName name="solver_eng" localSheetId="11" hidden="1">2</definedName>
    <definedName name="solver_eng" localSheetId="12" hidden="1">2</definedName>
    <definedName name="solver_est" localSheetId="2" hidden="1">1</definedName>
    <definedName name="solver_est" localSheetId="3" hidden="1">1</definedName>
    <definedName name="solver_est" localSheetId="5" hidden="1">1</definedName>
    <definedName name="solver_est" localSheetId="8" hidden="1">1</definedName>
    <definedName name="solver_est" localSheetId="7" hidden="1">1</definedName>
    <definedName name="solver_est" localSheetId="11" hidden="1">1</definedName>
    <definedName name="solver_est" localSheetId="12" hidden="1">1</definedName>
    <definedName name="solver_itr" localSheetId="2" hidden="1">2147483647</definedName>
    <definedName name="solver_itr" localSheetId="3" hidden="1">2147483647</definedName>
    <definedName name="solver_itr" localSheetId="5" hidden="1">2147483647</definedName>
    <definedName name="solver_itr" localSheetId="8" hidden="1">2147483647</definedName>
    <definedName name="solver_itr" localSheetId="7" hidden="1">2147483647</definedName>
    <definedName name="solver_itr" localSheetId="11" hidden="1">2147483647</definedName>
    <definedName name="solver_itr" localSheetId="12" hidden="1">2147483647</definedName>
    <definedName name="solver_lhs1" localSheetId="2" hidden="1">'Ch2_ Q33'!$B$16</definedName>
    <definedName name="solver_lhs1" localSheetId="3" hidden="1">Ch3_Q25!$B$26:$D$26</definedName>
    <definedName name="solver_lhs1" localSheetId="5" hidden="1">CH3_Q26!$B$19:$C$19</definedName>
    <definedName name="solver_lhs1" localSheetId="8" hidden="1">'Ch3_Q29 _b'!$B$22:$D$22</definedName>
    <definedName name="solver_lhs1" localSheetId="7" hidden="1">Ch3_Q29_a!$B$16:$D$16</definedName>
    <definedName name="solver_lhs1" localSheetId="11" hidden="1">Ch3_Q32_a!$B$15:$C$16</definedName>
    <definedName name="solver_lhs1" localSheetId="12" hidden="1">Ch3_Q32_b!$B$18:$C$18</definedName>
    <definedName name="solver_lhs2" localSheetId="2" hidden="1">'Ch2_ Q33'!$B$18:$K$18</definedName>
    <definedName name="solver_lhs2" localSheetId="5" hidden="1">CH3_Q26!$B$23</definedName>
    <definedName name="solver_lhs2" localSheetId="8" hidden="1">'Ch3_Q29 _b'!$B$25:$D$25</definedName>
    <definedName name="solver_lhs2" localSheetId="7" hidden="1">Ch3_Q29_a!$B$19:$D$19</definedName>
    <definedName name="solver_lhs2" localSheetId="11" hidden="1">Ch3_Q32_a!$B$17:$C$17</definedName>
    <definedName name="solver_lhs2" localSheetId="12" hidden="1">Ch3_Q32_b!$B$16:$C$17</definedName>
    <definedName name="solver_lhs3" localSheetId="5" hidden="1">CH3_Q26!$F$23</definedName>
    <definedName name="solver_mip" localSheetId="2" hidden="1">2147483647</definedName>
    <definedName name="solver_mip" localSheetId="3" hidden="1">2147483647</definedName>
    <definedName name="solver_mip" localSheetId="5" hidden="1">2147483647</definedName>
    <definedName name="solver_mip" localSheetId="8" hidden="1">2147483647</definedName>
    <definedName name="solver_mip" localSheetId="7" hidden="1">2147483647</definedName>
    <definedName name="solver_mip" localSheetId="11" hidden="1">2147483647</definedName>
    <definedName name="solver_mip" localSheetId="12" hidden="1">2147483647</definedName>
    <definedName name="solver_mni" localSheetId="2" hidden="1">30</definedName>
    <definedName name="solver_mni" localSheetId="3" hidden="1">30</definedName>
    <definedName name="solver_mni" localSheetId="5" hidden="1">30</definedName>
    <definedName name="solver_mni" localSheetId="8" hidden="1">30</definedName>
    <definedName name="solver_mni" localSheetId="7" hidden="1">30</definedName>
    <definedName name="solver_mni" localSheetId="11" hidden="1">30</definedName>
    <definedName name="solver_mni" localSheetId="12" hidden="1">30</definedName>
    <definedName name="solver_mrt" localSheetId="2" hidden="1">0.075</definedName>
    <definedName name="solver_mrt" localSheetId="3" hidden="1">0.075</definedName>
    <definedName name="solver_mrt" localSheetId="5" hidden="1">0.075</definedName>
    <definedName name="solver_mrt" localSheetId="8" hidden="1">0.075</definedName>
    <definedName name="solver_mrt" localSheetId="7" hidden="1">0.075</definedName>
    <definedName name="solver_mrt" localSheetId="11" hidden="1">0.075</definedName>
    <definedName name="solver_mrt" localSheetId="12" hidden="1">0.075</definedName>
    <definedName name="solver_msl" localSheetId="2" hidden="1">2</definedName>
    <definedName name="solver_msl" localSheetId="3" hidden="1">2</definedName>
    <definedName name="solver_msl" localSheetId="5" hidden="1">2</definedName>
    <definedName name="solver_msl" localSheetId="8" hidden="1">2</definedName>
    <definedName name="solver_msl" localSheetId="7" hidden="1">2</definedName>
    <definedName name="solver_msl" localSheetId="11" hidden="1">2</definedName>
    <definedName name="solver_msl" localSheetId="12" hidden="1">2</definedName>
    <definedName name="solver_neg" localSheetId="2" hidden="1">1</definedName>
    <definedName name="solver_neg" localSheetId="3" hidden="1">1</definedName>
    <definedName name="solver_neg" localSheetId="5" hidden="1">1</definedName>
    <definedName name="solver_neg" localSheetId="8" hidden="1">1</definedName>
    <definedName name="solver_neg" localSheetId="7" hidden="1">1</definedName>
    <definedName name="solver_neg" localSheetId="11" hidden="1">1</definedName>
    <definedName name="solver_neg" localSheetId="12" hidden="1">1</definedName>
    <definedName name="solver_nod" localSheetId="2" hidden="1">2147483647</definedName>
    <definedName name="solver_nod" localSheetId="3" hidden="1">2147483647</definedName>
    <definedName name="solver_nod" localSheetId="5" hidden="1">2147483647</definedName>
    <definedName name="solver_nod" localSheetId="8" hidden="1">2147483647</definedName>
    <definedName name="solver_nod" localSheetId="7" hidden="1">2147483647</definedName>
    <definedName name="solver_nod" localSheetId="11" hidden="1">2147483647</definedName>
    <definedName name="solver_nod" localSheetId="12" hidden="1">2147483647</definedName>
    <definedName name="solver_num" localSheetId="2" hidden="1">1</definedName>
    <definedName name="solver_num" localSheetId="3" hidden="1">1</definedName>
    <definedName name="solver_num" localSheetId="5" hidden="1">3</definedName>
    <definedName name="solver_num" localSheetId="8" hidden="1">2</definedName>
    <definedName name="solver_num" localSheetId="7" hidden="1">2</definedName>
    <definedName name="solver_num" localSheetId="11" hidden="1">2</definedName>
    <definedName name="solver_num" localSheetId="12" hidden="1">2</definedName>
    <definedName name="solver_nwt" localSheetId="2" hidden="1">1</definedName>
    <definedName name="solver_nwt" localSheetId="3" hidden="1">1</definedName>
    <definedName name="solver_nwt" localSheetId="5" hidden="1">1</definedName>
    <definedName name="solver_nwt" localSheetId="8" hidden="1">1</definedName>
    <definedName name="solver_nwt" localSheetId="7" hidden="1">1</definedName>
    <definedName name="solver_nwt" localSheetId="11" hidden="1">1</definedName>
    <definedName name="solver_nwt" localSheetId="12" hidden="1">1</definedName>
    <definedName name="solver_opt" localSheetId="2" hidden="1">'Ch2_ Q33'!$B$27</definedName>
    <definedName name="solver_opt" localSheetId="3" hidden="1">Ch3_Q25!$B$30</definedName>
    <definedName name="solver_opt" localSheetId="5" hidden="1">CH3_Q26!$B$25</definedName>
    <definedName name="solver_opt" localSheetId="8" hidden="1">'Ch3_Q29 _b'!$B$31</definedName>
    <definedName name="solver_opt" localSheetId="7" hidden="1">Ch3_Q29_a!$B$25</definedName>
    <definedName name="solver_opt" localSheetId="11" hidden="1">Ch3_Q32_a!$B$24</definedName>
    <definedName name="solver_opt" localSheetId="12" hidden="1">Ch3_Q32_b!$B$27</definedName>
    <definedName name="solver_pre" localSheetId="2" hidden="1">0.000001</definedName>
    <definedName name="solver_pre" localSheetId="3" hidden="1">0.000001</definedName>
    <definedName name="solver_pre" localSheetId="5" hidden="1">0.000001</definedName>
    <definedName name="solver_pre" localSheetId="8" hidden="1">0.000001</definedName>
    <definedName name="solver_pre" localSheetId="7" hidden="1">0.000001</definedName>
    <definedName name="solver_pre" localSheetId="11" hidden="1">0.000001</definedName>
    <definedName name="solver_pre" localSheetId="12" hidden="1">0.000001</definedName>
    <definedName name="solver_rbv" localSheetId="2" hidden="1">1</definedName>
    <definedName name="solver_rbv" localSheetId="3" hidden="1">2</definedName>
    <definedName name="solver_rbv" localSheetId="5" hidden="1">2</definedName>
    <definedName name="solver_rbv" localSheetId="8" hidden="1">1</definedName>
    <definedName name="solver_rbv" localSheetId="7" hidden="1">1</definedName>
    <definedName name="solver_rbv" localSheetId="11" hidden="1">1</definedName>
    <definedName name="solver_rbv" localSheetId="12" hidden="1">1</definedName>
    <definedName name="solver_rel1" localSheetId="2" hidden="1">4</definedName>
    <definedName name="solver_rel1" localSheetId="3" hidden="1">3</definedName>
    <definedName name="solver_rel1" localSheetId="5" hidden="1">4</definedName>
    <definedName name="solver_rel1" localSheetId="8" hidden="1">4</definedName>
    <definedName name="solver_rel1" localSheetId="7" hidden="1">4</definedName>
    <definedName name="solver_rel1" localSheetId="11" hidden="1">4</definedName>
    <definedName name="solver_rel1" localSheetId="12" hidden="1">1</definedName>
    <definedName name="solver_rel2" localSheetId="2" hidden="1">1</definedName>
    <definedName name="solver_rel2" localSheetId="5" hidden="1">3</definedName>
    <definedName name="solver_rel2" localSheetId="8" hidden="1">3</definedName>
    <definedName name="solver_rel2" localSheetId="7" hidden="1">3</definedName>
    <definedName name="solver_rel2" localSheetId="11" hidden="1">1</definedName>
    <definedName name="solver_rel2" localSheetId="12" hidden="1">4</definedName>
    <definedName name="solver_rel3" localSheetId="5" hidden="1">1</definedName>
    <definedName name="solver_rhs1" localSheetId="2" hidden="1">integer</definedName>
    <definedName name="solver_rhs1" localSheetId="3" hidden="1">Demand_Q25</definedName>
    <definedName name="solver_rhs1" localSheetId="5" hidden="1">integer</definedName>
    <definedName name="solver_rhs1" localSheetId="8" hidden="1">integer</definedName>
    <definedName name="solver_rhs1" localSheetId="7" hidden="1">integer</definedName>
    <definedName name="solver_rhs1" localSheetId="11" hidden="1">integer</definedName>
    <definedName name="solver_rhs1" localSheetId="12" hidden="1">Ch3_Q32_b!$B$20:$C$20</definedName>
    <definedName name="solver_rhs2" localSheetId="2" hidden="1">Plant_capacity</definedName>
    <definedName name="solver_rhs2" localSheetId="5" hidden="1">CH3_Q26!$D$23</definedName>
    <definedName name="solver_rhs2" localSheetId="8" hidden="1">'Ch3_Q29 _b'!$B$27:$D$27</definedName>
    <definedName name="solver_rhs2" localSheetId="7" hidden="1">Ch3_Q29_a!$B$21:$D$21</definedName>
    <definedName name="solver_rhs2" localSheetId="11" hidden="1">Ch3_Q32_a!$B$19:$C$19</definedName>
    <definedName name="solver_rhs2" localSheetId="12" hidden="1">integer</definedName>
    <definedName name="solver_rhs3" localSheetId="5" hidden="1">CH3_Q26!$H$23</definedName>
    <definedName name="solver_rlx" localSheetId="2" hidden="1">2</definedName>
    <definedName name="solver_rlx" localSheetId="3" hidden="1">2</definedName>
    <definedName name="solver_rlx" localSheetId="5" hidden="1">2</definedName>
    <definedName name="solver_rlx" localSheetId="8" hidden="1">2</definedName>
    <definedName name="solver_rlx" localSheetId="7" hidden="1">2</definedName>
    <definedName name="solver_rlx" localSheetId="11" hidden="1">2</definedName>
    <definedName name="solver_rlx" localSheetId="12" hidden="1">2</definedName>
    <definedName name="solver_rsd" localSheetId="2" hidden="1">0</definedName>
    <definedName name="solver_rsd" localSheetId="3" hidden="1">0</definedName>
    <definedName name="solver_rsd" localSheetId="5" hidden="1">0</definedName>
    <definedName name="solver_rsd" localSheetId="8" hidden="1">0</definedName>
    <definedName name="solver_rsd" localSheetId="7" hidden="1">0</definedName>
    <definedName name="solver_rsd" localSheetId="11" hidden="1">0</definedName>
    <definedName name="solver_rsd" localSheetId="12" hidden="1">0</definedName>
    <definedName name="solver_scl" localSheetId="2" hidden="1">1</definedName>
    <definedName name="solver_scl" localSheetId="3" hidden="1">2</definedName>
    <definedName name="solver_scl" localSheetId="5" hidden="1">2</definedName>
    <definedName name="solver_scl" localSheetId="8" hidden="1">1</definedName>
    <definedName name="solver_scl" localSheetId="7" hidden="1">1</definedName>
    <definedName name="solver_scl" localSheetId="11" hidden="1">1</definedName>
    <definedName name="solver_scl" localSheetId="12" hidden="1">1</definedName>
    <definedName name="solver_sho" localSheetId="2" hidden="1">2</definedName>
    <definedName name="solver_sho" localSheetId="3" hidden="1">2</definedName>
    <definedName name="solver_sho" localSheetId="5" hidden="1">2</definedName>
    <definedName name="solver_sho" localSheetId="8" hidden="1">2</definedName>
    <definedName name="solver_sho" localSheetId="7" hidden="1">2</definedName>
    <definedName name="solver_sho" localSheetId="11" hidden="1">2</definedName>
    <definedName name="solver_sho" localSheetId="12" hidden="1">2</definedName>
    <definedName name="solver_ssz" localSheetId="2" hidden="1">100</definedName>
    <definedName name="solver_ssz" localSheetId="3" hidden="1">100</definedName>
    <definedName name="solver_ssz" localSheetId="5" hidden="1">100</definedName>
    <definedName name="solver_ssz" localSheetId="8" hidden="1">100</definedName>
    <definedName name="solver_ssz" localSheetId="7" hidden="1">100</definedName>
    <definedName name="solver_ssz" localSheetId="11" hidden="1">100</definedName>
    <definedName name="solver_ssz" localSheetId="12" hidden="1">100</definedName>
    <definedName name="solver_tim" localSheetId="2" hidden="1">2147483647</definedName>
    <definedName name="solver_tim" localSheetId="3" hidden="1">2147483647</definedName>
    <definedName name="solver_tim" localSheetId="5" hidden="1">2147483647</definedName>
    <definedName name="solver_tim" localSheetId="8" hidden="1">2147483647</definedName>
    <definedName name="solver_tim" localSheetId="7" hidden="1">2147483647</definedName>
    <definedName name="solver_tim" localSheetId="11" hidden="1">2147483647</definedName>
    <definedName name="solver_tim" localSheetId="12" hidden="1">2147483647</definedName>
    <definedName name="solver_tol" localSheetId="2" hidden="1">0.01</definedName>
    <definedName name="solver_tol" localSheetId="3" hidden="1">0.01</definedName>
    <definedName name="solver_tol" localSheetId="5" hidden="1">0.01</definedName>
    <definedName name="solver_tol" localSheetId="8" hidden="1">0.01</definedName>
    <definedName name="solver_tol" localSheetId="7" hidden="1">0.01</definedName>
    <definedName name="solver_tol" localSheetId="11" hidden="1">0.01</definedName>
    <definedName name="solver_tol" localSheetId="12" hidden="1">0.01</definedName>
    <definedName name="solver_typ" localSheetId="2" hidden="1">1</definedName>
    <definedName name="solver_typ" localSheetId="3" hidden="1">2</definedName>
    <definedName name="solver_typ" localSheetId="5" hidden="1">1</definedName>
    <definedName name="solver_typ" localSheetId="8" hidden="1">2</definedName>
    <definedName name="solver_typ" localSheetId="7" hidden="1">2</definedName>
    <definedName name="solver_typ" localSheetId="11" hidden="1">1</definedName>
    <definedName name="solver_typ" localSheetId="12" hidden="1">1</definedName>
    <definedName name="solver_val" localSheetId="2" hidden="1">0</definedName>
    <definedName name="solver_val" localSheetId="3" hidden="1">0</definedName>
    <definedName name="solver_val" localSheetId="5" hidden="1">0</definedName>
    <definedName name="solver_val" localSheetId="8" hidden="1">0</definedName>
    <definedName name="solver_val" localSheetId="7" hidden="1">0</definedName>
    <definedName name="solver_val" localSheetId="11" hidden="1">0</definedName>
    <definedName name="solver_val" localSheetId="12" hidden="1">0</definedName>
    <definedName name="solver_ver" localSheetId="2" hidden="1">3</definedName>
    <definedName name="solver_ver" localSheetId="3" hidden="1">3</definedName>
    <definedName name="solver_ver" localSheetId="5" hidden="1">3</definedName>
    <definedName name="solver_ver" localSheetId="8" hidden="1">3</definedName>
    <definedName name="solver_ver" localSheetId="7" hidden="1">3</definedName>
    <definedName name="solver_ver" localSheetId="11" hidden="1">3</definedName>
    <definedName name="solver_ver" localSheetId="12" hidden="1">3</definedName>
    <definedName name="Theater_capacity">'Ch2_ Q21'!$B$18</definedName>
    <definedName name="Ticket_price">'Ch2_ Q21'!$B$20</definedName>
    <definedName name="Total_available">Ch3_Q32_b!$B$20:$C$20</definedName>
    <definedName name="Total_cost">Ch2_Q30!$B$22</definedName>
    <definedName name="Total_cost_Q25">Ch3_Q25!$B$30</definedName>
    <definedName name="Total_revenue">Ch3_Q32_b!$B$27</definedName>
    <definedName name="Total_used">Ch3_Q32_b!$B$18:$C$18</definedName>
    <definedName name="Total_weeks">'Ch2_ Q21'!$B$17</definedName>
    <definedName name="Unit_cost">Ch2_Q30!$B$13</definedName>
    <definedName name="Unit_cost_Q33">'Ch2_ Q33'!$B$10</definedName>
    <definedName name="Unit_sell_price">'Ch2_ Q33'!$B$11</definedName>
    <definedName name="Wood_requirement">CH3_Q26!$B$14:$C$14</definedName>
    <definedName name="Working_hour">Ch3_Q25!$B$23:$B$24</definedName>
  </definedNames>
  <calcPr calcId="152511" iterateDelta="9.9999999999999995E-7"/>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K1" i="28" l="1"/>
  <c r="K105" i="28"/>
  <c r="K103" i="28"/>
  <c r="K101" i="28"/>
  <c r="K99" i="28"/>
  <c r="K97" i="28"/>
  <c r="K95" i="28"/>
  <c r="K93" i="28"/>
  <c r="K91" i="28"/>
  <c r="K89" i="28"/>
  <c r="K87" i="28"/>
  <c r="K85" i="28"/>
  <c r="K83" i="28"/>
  <c r="K81" i="28"/>
  <c r="K79" i="28"/>
  <c r="K77" i="28"/>
  <c r="K75" i="28"/>
  <c r="K73" i="28"/>
  <c r="K71" i="28"/>
  <c r="K69" i="28"/>
  <c r="K67" i="28"/>
  <c r="K65" i="28"/>
  <c r="K63" i="28"/>
  <c r="K61" i="28"/>
  <c r="K59" i="28"/>
  <c r="K57" i="28"/>
  <c r="K55" i="28"/>
  <c r="K53" i="28"/>
  <c r="K51" i="28"/>
  <c r="K49" i="28"/>
  <c r="K47" i="28"/>
  <c r="K45" i="28"/>
  <c r="K43" i="28"/>
  <c r="K41" i="28"/>
  <c r="K39" i="28"/>
  <c r="K37" i="28"/>
  <c r="K35" i="28"/>
  <c r="K33" i="28"/>
  <c r="K31" i="28"/>
  <c r="K29" i="28"/>
  <c r="K27" i="28"/>
  <c r="K25" i="28"/>
  <c r="K23" i="28"/>
  <c r="K21" i="28"/>
  <c r="K19" i="28"/>
  <c r="K17" i="28"/>
  <c r="K15" i="28"/>
  <c r="K13" i="28"/>
  <c r="K11" i="28"/>
  <c r="K9" i="28"/>
  <c r="K7" i="28"/>
  <c r="K5" i="28"/>
  <c r="J4" i="28"/>
  <c r="K104" i="28" s="1"/>
  <c r="K1" i="26"/>
  <c r="K15" i="26"/>
  <c r="K13" i="26"/>
  <c r="K11" i="26"/>
  <c r="K9" i="26"/>
  <c r="K7" i="26"/>
  <c r="K5" i="26"/>
  <c r="J4" i="26"/>
  <c r="K14" i="26" s="1"/>
  <c r="D27" i="23"/>
  <c r="C27" i="23"/>
  <c r="B27" i="23"/>
  <c r="B28" i="23" s="1"/>
  <c r="B30" i="23" s="1"/>
  <c r="D24" i="23"/>
  <c r="C24" i="23"/>
  <c r="B24" i="23"/>
  <c r="B23" i="23"/>
  <c r="F23" i="5"/>
  <c r="B26" i="4"/>
  <c r="K6" i="28" l="1"/>
  <c r="K8" i="28"/>
  <c r="K10" i="28"/>
  <c r="K12" i="28"/>
  <c r="K14" i="28"/>
  <c r="K16" i="28"/>
  <c r="K18" i="28"/>
  <c r="K20" i="28"/>
  <c r="K22" i="28"/>
  <c r="K24" i="28"/>
  <c r="K26" i="28"/>
  <c r="K28" i="28"/>
  <c r="K30" i="28"/>
  <c r="K32" i="28"/>
  <c r="K34" i="28"/>
  <c r="K36" i="28"/>
  <c r="K38" i="28"/>
  <c r="K40" i="28"/>
  <c r="K42" i="28"/>
  <c r="K44" i="28"/>
  <c r="K46" i="28"/>
  <c r="K48" i="28"/>
  <c r="K50" i="28"/>
  <c r="K52" i="28"/>
  <c r="K54" i="28"/>
  <c r="K56" i="28"/>
  <c r="K58" i="28"/>
  <c r="K60" i="28"/>
  <c r="K62" i="28"/>
  <c r="K64" i="28"/>
  <c r="K66" i="28"/>
  <c r="K68" i="28"/>
  <c r="K70" i="28"/>
  <c r="K72" i="28"/>
  <c r="K74" i="28"/>
  <c r="K76" i="28"/>
  <c r="K78" i="28"/>
  <c r="K80" i="28"/>
  <c r="K82" i="28"/>
  <c r="K84" i="28"/>
  <c r="K86" i="28"/>
  <c r="K88" i="28"/>
  <c r="K90" i="28"/>
  <c r="K92" i="28"/>
  <c r="K94" i="28"/>
  <c r="K96" i="28"/>
  <c r="K98" i="28"/>
  <c r="K100" i="28"/>
  <c r="K102" i="28"/>
  <c r="K6" i="26"/>
  <c r="K8" i="26"/>
  <c r="K10" i="26"/>
  <c r="K12" i="26"/>
  <c r="B25" i="23"/>
  <c r="C23" i="23"/>
  <c r="C25" i="23" s="1"/>
  <c r="O1" i="22"/>
  <c r="K1" i="22"/>
  <c r="N4" i="22"/>
  <c r="N5" i="22" s="1"/>
  <c r="Q4" i="22"/>
  <c r="J4" i="22"/>
  <c r="J5" i="22"/>
  <c r="M4" i="22"/>
  <c r="C13" i="18"/>
  <c r="C25" i="18"/>
  <c r="B13" i="18"/>
  <c r="B24" i="18"/>
  <c r="C24" i="18"/>
  <c r="B25" i="18"/>
  <c r="B27" i="18"/>
  <c r="C18" i="18"/>
  <c r="B18" i="18"/>
  <c r="B23" i="7"/>
  <c r="C23" i="7"/>
  <c r="B24" i="7"/>
  <c r="C17" i="7"/>
  <c r="B17" i="7"/>
  <c r="B17" i="6"/>
  <c r="B22" i="6" s="1"/>
  <c r="C18" i="6"/>
  <c r="D18" i="6"/>
  <c r="B18" i="6"/>
  <c r="B19" i="6"/>
  <c r="K1" i="16"/>
  <c r="J4" i="16"/>
  <c r="K25" i="16" s="1"/>
  <c r="K24" i="16"/>
  <c r="K22" i="16"/>
  <c r="K20" i="16"/>
  <c r="K18" i="16"/>
  <c r="K16" i="16"/>
  <c r="K14" i="16"/>
  <c r="K12" i="16"/>
  <c r="K10" i="16"/>
  <c r="K8" i="16"/>
  <c r="K6" i="16"/>
  <c r="B25" i="5"/>
  <c r="D23" i="5"/>
  <c r="B23" i="5"/>
  <c r="K1" i="13"/>
  <c r="J4" i="13"/>
  <c r="K804" i="13" s="1"/>
  <c r="K802" i="13"/>
  <c r="K798" i="13"/>
  <c r="K794" i="13"/>
  <c r="K790" i="13"/>
  <c r="K786" i="13"/>
  <c r="K782" i="13"/>
  <c r="K778" i="13"/>
  <c r="K774" i="13"/>
  <c r="K770" i="13"/>
  <c r="K766" i="13"/>
  <c r="K762" i="13"/>
  <c r="K758" i="13"/>
  <c r="K754" i="13"/>
  <c r="K750" i="13"/>
  <c r="K746" i="13"/>
  <c r="K742" i="13"/>
  <c r="K738" i="13"/>
  <c r="K734" i="13"/>
  <c r="K730" i="13"/>
  <c r="K726" i="13"/>
  <c r="K722" i="13"/>
  <c r="K718" i="13"/>
  <c r="K714" i="13"/>
  <c r="K710" i="13"/>
  <c r="K706" i="13"/>
  <c r="K702" i="13"/>
  <c r="K698" i="13"/>
  <c r="K694" i="13"/>
  <c r="K690" i="13"/>
  <c r="K686" i="13"/>
  <c r="K682" i="13"/>
  <c r="K678" i="13"/>
  <c r="K674" i="13"/>
  <c r="K670" i="13"/>
  <c r="K666" i="13"/>
  <c r="K662" i="13"/>
  <c r="K660" i="13"/>
  <c r="K658" i="13"/>
  <c r="K656" i="13"/>
  <c r="K654" i="13"/>
  <c r="K652" i="13"/>
  <c r="K650" i="13"/>
  <c r="K648" i="13"/>
  <c r="K646" i="13"/>
  <c r="K644" i="13"/>
  <c r="K642" i="13"/>
  <c r="K640" i="13"/>
  <c r="K638" i="13"/>
  <c r="K636" i="13"/>
  <c r="K634" i="13"/>
  <c r="K632" i="13"/>
  <c r="K630" i="13"/>
  <c r="K628" i="13"/>
  <c r="K626" i="13"/>
  <c r="K624" i="13"/>
  <c r="K622" i="13"/>
  <c r="K621" i="13"/>
  <c r="K620" i="13"/>
  <c r="K619" i="13"/>
  <c r="K618" i="13"/>
  <c r="K617" i="13"/>
  <c r="K616" i="13"/>
  <c r="K615" i="13"/>
  <c r="K614" i="13"/>
  <c r="K613" i="13"/>
  <c r="K612" i="13"/>
  <c r="K611" i="13"/>
  <c r="K610" i="13"/>
  <c r="K609" i="13"/>
  <c r="K608" i="13"/>
  <c r="K607" i="13"/>
  <c r="K606" i="13"/>
  <c r="K605" i="13"/>
  <c r="K604" i="13"/>
  <c r="K603" i="13"/>
  <c r="K602" i="13"/>
  <c r="K601" i="13"/>
  <c r="K600" i="13"/>
  <c r="K599" i="13"/>
  <c r="K598" i="13"/>
  <c r="K597" i="13"/>
  <c r="K596" i="13"/>
  <c r="K595" i="13"/>
  <c r="K594" i="13"/>
  <c r="K593" i="13"/>
  <c r="K592" i="13"/>
  <c r="K591" i="13"/>
  <c r="K590" i="13"/>
  <c r="K589" i="13"/>
  <c r="K588" i="13"/>
  <c r="K587" i="13"/>
  <c r="K586" i="13"/>
  <c r="K585" i="13"/>
  <c r="K584" i="13"/>
  <c r="K583" i="13"/>
  <c r="K582" i="13"/>
  <c r="K581" i="13"/>
  <c r="K580" i="13"/>
  <c r="K579" i="13"/>
  <c r="K578" i="13"/>
  <c r="K577" i="13"/>
  <c r="K576" i="13"/>
  <c r="K575" i="13"/>
  <c r="K574" i="13"/>
  <c r="K573" i="13"/>
  <c r="K572" i="13"/>
  <c r="K571" i="13"/>
  <c r="K570" i="13"/>
  <c r="K569" i="13"/>
  <c r="K568" i="13"/>
  <c r="K567" i="13"/>
  <c r="K566" i="13"/>
  <c r="K565" i="13"/>
  <c r="K564" i="13"/>
  <c r="K563" i="13"/>
  <c r="K562" i="13"/>
  <c r="K561" i="13"/>
  <c r="K560" i="13"/>
  <c r="K559" i="13"/>
  <c r="K558" i="13"/>
  <c r="K557" i="13"/>
  <c r="K556" i="13"/>
  <c r="K555" i="13"/>
  <c r="K554" i="13"/>
  <c r="K553" i="13"/>
  <c r="K552" i="13"/>
  <c r="K551" i="13"/>
  <c r="K550" i="13"/>
  <c r="K549" i="13"/>
  <c r="K548" i="13"/>
  <c r="K547" i="13"/>
  <c r="K546" i="13"/>
  <c r="K545" i="13"/>
  <c r="K544" i="13"/>
  <c r="K543" i="13"/>
  <c r="K542" i="13"/>
  <c r="K541" i="13"/>
  <c r="K540" i="13"/>
  <c r="K539" i="13"/>
  <c r="K538" i="13"/>
  <c r="K537" i="13"/>
  <c r="K536" i="13"/>
  <c r="K535" i="13"/>
  <c r="K534" i="13"/>
  <c r="K533" i="13"/>
  <c r="K532" i="13"/>
  <c r="K531" i="13"/>
  <c r="K530" i="13"/>
  <c r="K529" i="13"/>
  <c r="K528" i="13"/>
  <c r="K527" i="13"/>
  <c r="K526" i="13"/>
  <c r="K525" i="13"/>
  <c r="K524" i="13"/>
  <c r="K523" i="13"/>
  <c r="K522" i="13"/>
  <c r="K521" i="13"/>
  <c r="K520" i="13"/>
  <c r="K519" i="13"/>
  <c r="K518" i="13"/>
  <c r="K517" i="13"/>
  <c r="K516" i="13"/>
  <c r="K515" i="13"/>
  <c r="K514" i="13"/>
  <c r="K513" i="13"/>
  <c r="K512" i="13"/>
  <c r="K511" i="13"/>
  <c r="K510" i="13"/>
  <c r="K509" i="13"/>
  <c r="K508" i="13"/>
  <c r="K507" i="13"/>
  <c r="K506" i="13"/>
  <c r="K505" i="13"/>
  <c r="K504" i="13"/>
  <c r="K503" i="13"/>
  <c r="K502" i="13"/>
  <c r="K501" i="13"/>
  <c r="K500" i="13"/>
  <c r="K499" i="13"/>
  <c r="K498" i="13"/>
  <c r="K497" i="13"/>
  <c r="K496" i="13"/>
  <c r="K495" i="13"/>
  <c r="K494" i="13"/>
  <c r="K493" i="13"/>
  <c r="K492" i="13"/>
  <c r="K491" i="13"/>
  <c r="K490" i="13"/>
  <c r="K489" i="13"/>
  <c r="K488" i="13"/>
  <c r="K487" i="13"/>
  <c r="K486" i="13"/>
  <c r="K485" i="13"/>
  <c r="K484" i="13"/>
  <c r="K483" i="13"/>
  <c r="K482" i="13"/>
  <c r="K481" i="13"/>
  <c r="K480" i="13"/>
  <c r="K479" i="13"/>
  <c r="K478" i="13"/>
  <c r="K477" i="13"/>
  <c r="K476" i="13"/>
  <c r="K475" i="13"/>
  <c r="K474" i="13"/>
  <c r="K473" i="13"/>
  <c r="K472" i="13"/>
  <c r="K471" i="13"/>
  <c r="K470" i="13"/>
  <c r="K469" i="13"/>
  <c r="K468" i="13"/>
  <c r="K467" i="13"/>
  <c r="K466" i="13"/>
  <c r="K465" i="13"/>
  <c r="K464" i="13"/>
  <c r="K463" i="13"/>
  <c r="K462" i="13"/>
  <c r="K461" i="13"/>
  <c r="K460" i="13"/>
  <c r="K459" i="13"/>
  <c r="K458" i="13"/>
  <c r="K457" i="13"/>
  <c r="K456" i="13"/>
  <c r="K455" i="13"/>
  <c r="K454" i="13"/>
  <c r="K453" i="13"/>
  <c r="K452" i="13"/>
  <c r="K451" i="13"/>
  <c r="K450" i="13"/>
  <c r="K449" i="13"/>
  <c r="K448" i="13"/>
  <c r="K447" i="13"/>
  <c r="K446" i="13"/>
  <c r="K445" i="13"/>
  <c r="K444" i="13"/>
  <c r="K443" i="13"/>
  <c r="K442" i="13"/>
  <c r="K441" i="13"/>
  <c r="K440" i="13"/>
  <c r="K439" i="13"/>
  <c r="K438" i="13"/>
  <c r="K437" i="13"/>
  <c r="K436" i="13"/>
  <c r="K435" i="13"/>
  <c r="K434" i="13"/>
  <c r="K433" i="13"/>
  <c r="K432" i="13"/>
  <c r="K431" i="13"/>
  <c r="K430" i="13"/>
  <c r="K429" i="13"/>
  <c r="K428" i="13"/>
  <c r="K427" i="13"/>
  <c r="K426" i="13"/>
  <c r="K425" i="13"/>
  <c r="K424" i="13"/>
  <c r="K423" i="13"/>
  <c r="K422" i="13"/>
  <c r="K421" i="13"/>
  <c r="K420" i="13"/>
  <c r="K419" i="13"/>
  <c r="K418" i="13"/>
  <c r="K417" i="13"/>
  <c r="K416" i="13"/>
  <c r="K415" i="13"/>
  <c r="K414" i="13"/>
  <c r="K413" i="13"/>
  <c r="K412" i="13"/>
  <c r="K411" i="13"/>
  <c r="K410" i="13"/>
  <c r="K409" i="13"/>
  <c r="K408" i="13"/>
  <c r="K407" i="13"/>
  <c r="K406" i="13"/>
  <c r="K405" i="13"/>
  <c r="K404" i="13"/>
  <c r="K403" i="13"/>
  <c r="K402" i="13"/>
  <c r="K401" i="13"/>
  <c r="K400" i="13"/>
  <c r="K399" i="13"/>
  <c r="K398" i="13"/>
  <c r="K397" i="13"/>
  <c r="K396" i="13"/>
  <c r="K395" i="13"/>
  <c r="K394" i="13"/>
  <c r="K393" i="13"/>
  <c r="K392" i="13"/>
  <c r="K391" i="13"/>
  <c r="K390" i="13"/>
  <c r="K389" i="13"/>
  <c r="K388" i="13"/>
  <c r="K387" i="13"/>
  <c r="K386" i="13"/>
  <c r="K385" i="13"/>
  <c r="K384" i="13"/>
  <c r="K383" i="13"/>
  <c r="K382" i="13"/>
  <c r="K381" i="13"/>
  <c r="K380" i="13"/>
  <c r="K379" i="13"/>
  <c r="K378" i="13"/>
  <c r="K377" i="13"/>
  <c r="K376" i="13"/>
  <c r="K375" i="13"/>
  <c r="K374" i="13"/>
  <c r="K373" i="13"/>
  <c r="K372" i="13"/>
  <c r="K371" i="13"/>
  <c r="K370" i="13"/>
  <c r="K369" i="13"/>
  <c r="K368" i="13"/>
  <c r="K367" i="13"/>
  <c r="K366" i="13"/>
  <c r="K365" i="13"/>
  <c r="K364" i="13"/>
  <c r="K363" i="13"/>
  <c r="K362" i="13"/>
  <c r="K361" i="13"/>
  <c r="K360" i="13"/>
  <c r="K359" i="13"/>
  <c r="K358" i="13"/>
  <c r="K357" i="13"/>
  <c r="K356" i="13"/>
  <c r="K355" i="13"/>
  <c r="K354" i="13"/>
  <c r="K353" i="13"/>
  <c r="K352" i="13"/>
  <c r="K351" i="13"/>
  <c r="K350" i="13"/>
  <c r="K349" i="13"/>
  <c r="K348" i="13"/>
  <c r="K347" i="13"/>
  <c r="K346" i="13"/>
  <c r="K345" i="13"/>
  <c r="K344" i="13"/>
  <c r="K343" i="13"/>
  <c r="K342" i="13"/>
  <c r="K341" i="13"/>
  <c r="K340" i="13"/>
  <c r="K339" i="13"/>
  <c r="K338" i="13"/>
  <c r="K337" i="13"/>
  <c r="K336" i="13"/>
  <c r="K335" i="13"/>
  <c r="K334" i="13"/>
  <c r="K333" i="13"/>
  <c r="K332" i="13"/>
  <c r="K331" i="13"/>
  <c r="K330" i="13"/>
  <c r="K329" i="13"/>
  <c r="K328" i="13"/>
  <c r="K327" i="13"/>
  <c r="K326" i="13"/>
  <c r="K325" i="13"/>
  <c r="K324" i="13"/>
  <c r="K323" i="13"/>
  <c r="K322" i="13"/>
  <c r="K321" i="13"/>
  <c r="K320" i="13"/>
  <c r="K319" i="13"/>
  <c r="K318" i="13"/>
  <c r="K317" i="13"/>
  <c r="K316" i="13"/>
  <c r="K315" i="13"/>
  <c r="K314" i="13"/>
  <c r="K313" i="13"/>
  <c r="K312" i="13"/>
  <c r="K311" i="13"/>
  <c r="K310" i="13"/>
  <c r="K309" i="13"/>
  <c r="K308" i="13"/>
  <c r="K307" i="13"/>
  <c r="K306" i="13"/>
  <c r="K305" i="13"/>
  <c r="K304" i="13"/>
  <c r="K303" i="13"/>
  <c r="K302" i="13"/>
  <c r="K301" i="13"/>
  <c r="K300" i="13"/>
  <c r="K299" i="13"/>
  <c r="K298" i="13"/>
  <c r="K297" i="13"/>
  <c r="K296" i="13"/>
  <c r="K295" i="13"/>
  <c r="K294" i="13"/>
  <c r="K293" i="13"/>
  <c r="K292" i="13"/>
  <c r="K291" i="13"/>
  <c r="K290" i="13"/>
  <c r="K289" i="13"/>
  <c r="K288" i="13"/>
  <c r="K287" i="13"/>
  <c r="K286" i="13"/>
  <c r="K285" i="13"/>
  <c r="K284" i="13"/>
  <c r="K283" i="13"/>
  <c r="K282" i="13"/>
  <c r="K281" i="13"/>
  <c r="K280" i="13"/>
  <c r="K279" i="13"/>
  <c r="K278" i="13"/>
  <c r="K277" i="13"/>
  <c r="K276" i="13"/>
  <c r="K275" i="13"/>
  <c r="K274" i="13"/>
  <c r="K273" i="13"/>
  <c r="K272" i="13"/>
  <c r="K271" i="13"/>
  <c r="K270" i="13"/>
  <c r="K269" i="13"/>
  <c r="K268" i="13"/>
  <c r="K267" i="13"/>
  <c r="K266" i="13"/>
  <c r="K265" i="13"/>
  <c r="K264" i="13"/>
  <c r="K263" i="13"/>
  <c r="K262" i="13"/>
  <c r="K261" i="13"/>
  <c r="K260" i="13"/>
  <c r="K259" i="13"/>
  <c r="K258" i="13"/>
  <c r="K257" i="13"/>
  <c r="K256" i="13"/>
  <c r="K255" i="13"/>
  <c r="K254" i="13"/>
  <c r="K253" i="13"/>
  <c r="K252" i="13"/>
  <c r="K251" i="13"/>
  <c r="K250" i="13"/>
  <c r="K249" i="13"/>
  <c r="K248" i="13"/>
  <c r="K247" i="13"/>
  <c r="K246" i="13"/>
  <c r="K245" i="13"/>
  <c r="K244" i="13"/>
  <c r="K243" i="13"/>
  <c r="K242" i="13"/>
  <c r="K241" i="13"/>
  <c r="K240" i="13"/>
  <c r="K239" i="13"/>
  <c r="K238" i="13"/>
  <c r="K237" i="13"/>
  <c r="K236" i="13"/>
  <c r="K235" i="13"/>
  <c r="K234" i="13"/>
  <c r="K233" i="13"/>
  <c r="K232" i="13"/>
  <c r="K231" i="13"/>
  <c r="K230" i="13"/>
  <c r="K229" i="13"/>
  <c r="K228" i="13"/>
  <c r="K227" i="13"/>
  <c r="K226" i="13"/>
  <c r="K225" i="13"/>
  <c r="K224" i="13"/>
  <c r="K223" i="13"/>
  <c r="K222" i="13"/>
  <c r="K221" i="13"/>
  <c r="K220" i="13"/>
  <c r="K219" i="13"/>
  <c r="K218" i="13"/>
  <c r="K217" i="13"/>
  <c r="K216" i="13"/>
  <c r="K215" i="13"/>
  <c r="K214" i="13"/>
  <c r="K213" i="13"/>
  <c r="K212" i="13"/>
  <c r="K211" i="13"/>
  <c r="K210" i="13"/>
  <c r="K209" i="13"/>
  <c r="K208" i="13"/>
  <c r="K207" i="13"/>
  <c r="K206" i="13"/>
  <c r="K205" i="13"/>
  <c r="K204" i="13"/>
  <c r="K203" i="13"/>
  <c r="K202" i="13"/>
  <c r="K201" i="13"/>
  <c r="K200" i="13"/>
  <c r="K199" i="13"/>
  <c r="K198" i="13"/>
  <c r="K197" i="13"/>
  <c r="K196" i="13"/>
  <c r="K195" i="13"/>
  <c r="K194" i="13"/>
  <c r="K193" i="13"/>
  <c r="K192" i="13"/>
  <c r="K191" i="13"/>
  <c r="K190" i="13"/>
  <c r="K189" i="13"/>
  <c r="K188" i="13"/>
  <c r="K187" i="13"/>
  <c r="K186" i="13"/>
  <c r="K185" i="13"/>
  <c r="K184" i="13"/>
  <c r="K183" i="13"/>
  <c r="K182" i="13"/>
  <c r="K181" i="13"/>
  <c r="K180" i="13"/>
  <c r="K179" i="13"/>
  <c r="K178" i="13"/>
  <c r="K177" i="13"/>
  <c r="K176" i="13"/>
  <c r="K175" i="13"/>
  <c r="K174" i="13"/>
  <c r="K173" i="13"/>
  <c r="K172" i="13"/>
  <c r="K171" i="13"/>
  <c r="K170" i="13"/>
  <c r="K169" i="13"/>
  <c r="K168" i="13"/>
  <c r="K167" i="13"/>
  <c r="K166" i="13"/>
  <c r="K165" i="13"/>
  <c r="K164" i="13"/>
  <c r="K163" i="13"/>
  <c r="K162" i="13"/>
  <c r="K161" i="13"/>
  <c r="K160" i="13"/>
  <c r="K159" i="13"/>
  <c r="K158" i="13"/>
  <c r="K157" i="13"/>
  <c r="K156" i="13"/>
  <c r="K155" i="13"/>
  <c r="K154" i="13"/>
  <c r="K153" i="13"/>
  <c r="K152" i="13"/>
  <c r="K151" i="13"/>
  <c r="K150" i="13"/>
  <c r="K149" i="13"/>
  <c r="K148" i="13"/>
  <c r="K147" i="13"/>
  <c r="K146" i="13"/>
  <c r="K145" i="13"/>
  <c r="K144" i="13"/>
  <c r="K143" i="13"/>
  <c r="K142" i="13"/>
  <c r="K141" i="13"/>
  <c r="K140" i="13"/>
  <c r="K139" i="13"/>
  <c r="K138" i="13"/>
  <c r="K137" i="13"/>
  <c r="K136" i="13"/>
  <c r="K135" i="13"/>
  <c r="K134" i="13"/>
  <c r="K133" i="13"/>
  <c r="K132" i="13"/>
  <c r="K131" i="13"/>
  <c r="K130" i="13"/>
  <c r="K129" i="13"/>
  <c r="K128" i="13"/>
  <c r="K127" i="13"/>
  <c r="K126" i="13"/>
  <c r="K125" i="13"/>
  <c r="K124" i="13"/>
  <c r="K123" i="13"/>
  <c r="K122" i="13"/>
  <c r="K121" i="13"/>
  <c r="K120" i="13"/>
  <c r="K119" i="13"/>
  <c r="K118" i="13"/>
  <c r="K117" i="13"/>
  <c r="K116" i="13"/>
  <c r="K115" i="13"/>
  <c r="K114" i="13"/>
  <c r="K113" i="13"/>
  <c r="K112" i="13"/>
  <c r="K111" i="13"/>
  <c r="K110" i="13"/>
  <c r="K109" i="13"/>
  <c r="K108" i="13"/>
  <c r="K107" i="13"/>
  <c r="K106" i="13"/>
  <c r="K105" i="13"/>
  <c r="K104" i="13"/>
  <c r="K103" i="13"/>
  <c r="K102" i="13"/>
  <c r="K101" i="13"/>
  <c r="K100" i="13"/>
  <c r="K99" i="13"/>
  <c r="K98" i="13"/>
  <c r="K97" i="13"/>
  <c r="K96" i="13"/>
  <c r="K95" i="13"/>
  <c r="K94" i="13"/>
  <c r="K93" i="13"/>
  <c r="K92" i="13"/>
  <c r="K91" i="13"/>
  <c r="K90" i="13"/>
  <c r="K89" i="13"/>
  <c r="K88" i="13"/>
  <c r="K87" i="13"/>
  <c r="K86" i="13"/>
  <c r="K85" i="13"/>
  <c r="K84" i="13"/>
  <c r="K83" i="13"/>
  <c r="K82" i="13"/>
  <c r="K81" i="13"/>
  <c r="K80" i="13"/>
  <c r="K79" i="13"/>
  <c r="K78" i="13"/>
  <c r="K77" i="13"/>
  <c r="K76" i="13"/>
  <c r="K75" i="13"/>
  <c r="K74" i="13"/>
  <c r="K73" i="13"/>
  <c r="K72" i="13"/>
  <c r="K71" i="13"/>
  <c r="K70" i="13"/>
  <c r="K69" i="13"/>
  <c r="K68" i="13"/>
  <c r="K67" i="13"/>
  <c r="K66" i="13"/>
  <c r="K65" i="13"/>
  <c r="K64" i="13"/>
  <c r="K63" i="13"/>
  <c r="K62" i="13"/>
  <c r="K61" i="13"/>
  <c r="K60" i="13"/>
  <c r="K59" i="13"/>
  <c r="K58" i="13"/>
  <c r="K57" i="13"/>
  <c r="K56" i="13"/>
  <c r="K55" i="13"/>
  <c r="K54" i="13"/>
  <c r="K53" i="13"/>
  <c r="K52" i="13"/>
  <c r="K51" i="13"/>
  <c r="K50" i="13"/>
  <c r="K49" i="13"/>
  <c r="K48" i="13"/>
  <c r="K47" i="13"/>
  <c r="K46" i="13"/>
  <c r="K45" i="13"/>
  <c r="K44" i="13"/>
  <c r="K43" i="13"/>
  <c r="K42" i="13"/>
  <c r="K41" i="13"/>
  <c r="K40" i="13"/>
  <c r="K39" i="13"/>
  <c r="K38" i="13"/>
  <c r="K37" i="13"/>
  <c r="K36" i="13"/>
  <c r="K35" i="13"/>
  <c r="K34" i="13"/>
  <c r="K33" i="13"/>
  <c r="K32" i="13"/>
  <c r="K31" i="13"/>
  <c r="K30" i="13"/>
  <c r="K29" i="13"/>
  <c r="K28" i="13"/>
  <c r="K27" i="13"/>
  <c r="K26" i="13"/>
  <c r="K25" i="13"/>
  <c r="K24" i="13"/>
  <c r="K23" i="13"/>
  <c r="K22" i="13"/>
  <c r="K21" i="13"/>
  <c r="K20" i="13"/>
  <c r="K19" i="13"/>
  <c r="K18" i="13"/>
  <c r="K17" i="13"/>
  <c r="K16" i="13"/>
  <c r="K15" i="13"/>
  <c r="K14" i="13"/>
  <c r="K13" i="13"/>
  <c r="K12" i="13"/>
  <c r="K11" i="13"/>
  <c r="K10" i="13"/>
  <c r="K9" i="13"/>
  <c r="K8" i="13"/>
  <c r="K7" i="13"/>
  <c r="K6" i="13"/>
  <c r="K5" i="13"/>
  <c r="C26" i="4"/>
  <c r="D26" i="4"/>
  <c r="B30" i="4"/>
  <c r="B18" i="3"/>
  <c r="B19" i="3"/>
  <c r="B20" i="3" s="1"/>
  <c r="B21" i="3"/>
  <c r="C18" i="3"/>
  <c r="C19" i="3"/>
  <c r="C20" i="3" s="1"/>
  <c r="D18" i="3"/>
  <c r="D19" i="3"/>
  <c r="D20" i="3" s="1"/>
  <c r="E18" i="3"/>
  <c r="E19" i="3"/>
  <c r="E20" i="3" s="1"/>
  <c r="F18" i="3"/>
  <c r="F19" i="3"/>
  <c r="F20" i="3" s="1"/>
  <c r="G18" i="3"/>
  <c r="G19" i="3"/>
  <c r="G20" i="3" s="1"/>
  <c r="H18" i="3"/>
  <c r="H19" i="3"/>
  <c r="H20" i="3" s="1"/>
  <c r="I18" i="3"/>
  <c r="I19" i="3"/>
  <c r="I20" i="3" s="1"/>
  <c r="J18" i="3"/>
  <c r="J19" i="3"/>
  <c r="J20" i="3" s="1"/>
  <c r="K18" i="3"/>
  <c r="K19" i="3"/>
  <c r="K20" i="3" s="1"/>
  <c r="B20" i="2"/>
  <c r="B21" i="2" s="1"/>
  <c r="B23" i="1"/>
  <c r="F15" i="1" s="1"/>
  <c r="B27" i="1"/>
  <c r="B28" i="1" s="1"/>
  <c r="O11" i="22"/>
  <c r="O9" i="22"/>
  <c r="O7" i="22"/>
  <c r="O5" i="22"/>
  <c r="K11" i="22"/>
  <c r="K9" i="22"/>
  <c r="K7" i="22"/>
  <c r="K5" i="22"/>
  <c r="O10" i="22"/>
  <c r="O8" i="22"/>
  <c r="O6" i="22"/>
  <c r="K10" i="22"/>
  <c r="K8" i="22"/>
  <c r="K6" i="22"/>
  <c r="C28" i="23" l="1"/>
  <c r="C30" i="23" s="1"/>
  <c r="A31" i="1"/>
  <c r="C17" i="6"/>
  <c r="B24" i="6"/>
  <c r="D22" i="3"/>
  <c r="B23" i="3"/>
  <c r="K623" i="13"/>
  <c r="K625" i="13"/>
  <c r="K627" i="13"/>
  <c r="K629" i="13"/>
  <c r="K631" i="13"/>
  <c r="K633" i="13"/>
  <c r="K635" i="13"/>
  <c r="K637" i="13"/>
  <c r="K639" i="13"/>
  <c r="K641" i="13"/>
  <c r="K643" i="13"/>
  <c r="K645" i="13"/>
  <c r="K647" i="13"/>
  <c r="K649" i="13"/>
  <c r="K651" i="13"/>
  <c r="K653" i="13"/>
  <c r="K655" i="13"/>
  <c r="K657" i="13"/>
  <c r="K659" i="13"/>
  <c r="K661" i="13"/>
  <c r="K664" i="13"/>
  <c r="K668" i="13"/>
  <c r="K672" i="13"/>
  <c r="K676" i="13"/>
  <c r="K680" i="13"/>
  <c r="K684" i="13"/>
  <c r="K688" i="13"/>
  <c r="K692" i="13"/>
  <c r="K696" i="13"/>
  <c r="K700" i="13"/>
  <c r="K704" i="13"/>
  <c r="K708" i="13"/>
  <c r="K712" i="13"/>
  <c r="K716" i="13"/>
  <c r="K720" i="13"/>
  <c r="K724" i="13"/>
  <c r="K728" i="13"/>
  <c r="K732" i="13"/>
  <c r="K736" i="13"/>
  <c r="K740" i="13"/>
  <c r="K744" i="13"/>
  <c r="K748" i="13"/>
  <c r="K752" i="13"/>
  <c r="K756" i="13"/>
  <c r="K760" i="13"/>
  <c r="K764" i="13"/>
  <c r="K768" i="13"/>
  <c r="K772" i="13"/>
  <c r="K776" i="13"/>
  <c r="K780" i="13"/>
  <c r="K784" i="13"/>
  <c r="K788" i="13"/>
  <c r="K792" i="13"/>
  <c r="K796" i="13"/>
  <c r="K800" i="13"/>
  <c r="K805" i="13"/>
  <c r="K803" i="13"/>
  <c r="K801" i="13"/>
  <c r="K799" i="13"/>
  <c r="K797" i="13"/>
  <c r="K795" i="13"/>
  <c r="K793" i="13"/>
  <c r="K791" i="13"/>
  <c r="K789" i="13"/>
  <c r="K787" i="13"/>
  <c r="K785" i="13"/>
  <c r="K783" i="13"/>
  <c r="K781" i="13"/>
  <c r="K779" i="13"/>
  <c r="K777" i="13"/>
  <c r="K775" i="13"/>
  <c r="K773" i="13"/>
  <c r="K771" i="13"/>
  <c r="K769" i="13"/>
  <c r="K767" i="13"/>
  <c r="K765" i="13"/>
  <c r="K763" i="13"/>
  <c r="K761" i="13"/>
  <c r="K759" i="13"/>
  <c r="K757" i="13"/>
  <c r="K755" i="13"/>
  <c r="K753" i="13"/>
  <c r="K751" i="13"/>
  <c r="K749" i="13"/>
  <c r="K747" i="13"/>
  <c r="K745" i="13"/>
  <c r="K743" i="13"/>
  <c r="K741" i="13"/>
  <c r="K739" i="13"/>
  <c r="K737" i="13"/>
  <c r="K735" i="13"/>
  <c r="K733" i="13"/>
  <c r="K731" i="13"/>
  <c r="K729" i="13"/>
  <c r="K727" i="13"/>
  <c r="K725" i="13"/>
  <c r="K723" i="13"/>
  <c r="K721" i="13"/>
  <c r="K719" i="13"/>
  <c r="K717" i="13"/>
  <c r="K715" i="13"/>
  <c r="K713" i="13"/>
  <c r="K711" i="13"/>
  <c r="K709" i="13"/>
  <c r="K707" i="13"/>
  <c r="K705" i="13"/>
  <c r="K703" i="13"/>
  <c r="K701" i="13"/>
  <c r="K699" i="13"/>
  <c r="K697" i="13"/>
  <c r="K695" i="13"/>
  <c r="K693" i="13"/>
  <c r="K691" i="13"/>
  <c r="K689" i="13"/>
  <c r="K687" i="13"/>
  <c r="K685" i="13"/>
  <c r="K683" i="13"/>
  <c r="K681" i="13"/>
  <c r="K679" i="13"/>
  <c r="K677" i="13"/>
  <c r="K675" i="13"/>
  <c r="K673" i="13"/>
  <c r="K671" i="13"/>
  <c r="K669" i="13"/>
  <c r="K667" i="13"/>
  <c r="K665" i="13"/>
  <c r="K663" i="13"/>
  <c r="K5" i="16"/>
  <c r="K7" i="16"/>
  <c r="K9" i="16"/>
  <c r="K11" i="16"/>
  <c r="K13" i="16"/>
  <c r="K15" i="16"/>
  <c r="K17" i="16"/>
  <c r="K19" i="16"/>
  <c r="K21" i="16"/>
  <c r="K23" i="16"/>
  <c r="D23" i="3"/>
  <c r="H22" i="3"/>
  <c r="H23" i="3"/>
  <c r="J22" i="3"/>
  <c r="F22" i="3"/>
  <c r="J23" i="3"/>
  <c r="F23" i="3"/>
  <c r="K22" i="3"/>
  <c r="I22" i="3"/>
  <c r="G22" i="3"/>
  <c r="E22" i="3"/>
  <c r="C22" i="3"/>
  <c r="B22" i="2"/>
  <c r="B23" i="2" s="1"/>
  <c r="K23" i="3"/>
  <c r="I23" i="3"/>
  <c r="G23" i="3"/>
  <c r="E23" i="3"/>
  <c r="C23" i="3"/>
  <c r="B22" i="3"/>
  <c r="E24" i="3" l="1"/>
  <c r="E25" i="3" s="1"/>
  <c r="I24" i="3"/>
  <c r="I25" i="3" s="1"/>
  <c r="K24" i="3"/>
  <c r="K25" i="3" s="1"/>
  <c r="C24" i="3"/>
  <c r="C25" i="3" s="1"/>
  <c r="G24" i="3"/>
  <c r="G25" i="3" s="1"/>
  <c r="J24" i="3"/>
  <c r="J25" i="3" s="1"/>
  <c r="D23" i="23"/>
  <c r="D25" i="23" s="1"/>
  <c r="B24" i="3"/>
  <c r="B25" i="3" s="1"/>
  <c r="F24" i="3"/>
  <c r="F25" i="3" s="1"/>
  <c r="D24" i="3"/>
  <c r="D25" i="3" s="1"/>
  <c r="C22" i="6"/>
  <c r="C19" i="6"/>
  <c r="H24" i="3"/>
  <c r="H25" i="3" s="1"/>
  <c r="H15" i="2"/>
  <c r="E15" i="2"/>
  <c r="A26" i="2"/>
  <c r="D28" i="23" l="1"/>
  <c r="D30" i="23" s="1"/>
  <c r="B31" i="23" s="1"/>
  <c r="B27" i="3"/>
  <c r="B32" i="3" s="1"/>
  <c r="C24" i="6"/>
  <c r="D17" i="6"/>
  <c r="E32" i="3" l="1"/>
  <c r="D22" i="6"/>
  <c r="D24" i="6" s="1"/>
  <c r="D19" i="6"/>
  <c r="B25" i="6"/>
</calcChain>
</file>

<file path=xl/comments1.xml><?xml version="1.0" encoding="utf-8"?>
<comments xmlns="http://schemas.openxmlformats.org/spreadsheetml/2006/main">
  <authors>
    <author>yingjunpan</author>
  </authors>
  <commentList>
    <comment ref="B5" authorId="0" shapeId="0">
      <text>
        <r>
          <rPr>
            <sz val="9"/>
            <color indexed="81"/>
            <rFont val="Tahoma"/>
            <family val="2"/>
          </rPr>
          <t>Solver found a solution. All constraints and optimality conditions are satisfied.</t>
        </r>
      </text>
    </comment>
    <comment ref="B6" authorId="0" shapeId="0">
      <text>
        <r>
          <rPr>
            <sz val="9"/>
            <color indexed="81"/>
            <rFont val="Tahoma"/>
            <family val="2"/>
          </rPr>
          <t>Solver found a solution. All constraints and optimality conditions are satisfied.</t>
        </r>
      </text>
    </comment>
    <comment ref="B7" authorId="0" shapeId="0">
      <text>
        <r>
          <rPr>
            <sz val="9"/>
            <color indexed="81"/>
            <rFont val="Tahoma"/>
            <family val="2"/>
          </rPr>
          <t>Solver found a solution. All constraints and optimality conditions are satisfied.</t>
        </r>
      </text>
    </comment>
    <comment ref="B8" authorId="0" shapeId="0">
      <text>
        <r>
          <rPr>
            <sz val="9"/>
            <color indexed="81"/>
            <rFont val="Tahoma"/>
            <family val="2"/>
          </rPr>
          <t>Solver found a solution. All constraints and optimality conditions are satisfied.</t>
        </r>
      </text>
    </comment>
    <comment ref="B9" authorId="0" shapeId="0">
      <text>
        <r>
          <rPr>
            <sz val="9"/>
            <color indexed="81"/>
            <rFont val="Tahoma"/>
            <family val="2"/>
          </rPr>
          <t>Solver found a solution. All constraints and optimality conditions are satisfied.</t>
        </r>
      </text>
    </comment>
    <comment ref="B10" authorId="0" shapeId="0">
      <text>
        <r>
          <rPr>
            <sz val="9"/>
            <color indexed="81"/>
            <rFont val="Tahoma"/>
            <family val="2"/>
          </rPr>
          <t>Solver found a solution. All constraints and optimality conditions are satisfied.</t>
        </r>
      </text>
    </comment>
    <comment ref="B11" authorId="0" shapeId="0">
      <text>
        <r>
          <rPr>
            <sz val="9"/>
            <color indexed="81"/>
            <rFont val="Tahoma"/>
            <family val="2"/>
          </rPr>
          <t>Solver found a solution. All constraints and optimality conditions are satisfied.</t>
        </r>
      </text>
    </comment>
    <comment ref="B12" authorId="0" shapeId="0">
      <text>
        <r>
          <rPr>
            <sz val="9"/>
            <color indexed="81"/>
            <rFont val="Tahoma"/>
            <family val="2"/>
          </rPr>
          <t>Solver found a solution. All constraints and optimality conditions are satisfied.</t>
        </r>
      </text>
    </comment>
    <comment ref="B13" authorId="0" shapeId="0">
      <text>
        <r>
          <rPr>
            <sz val="9"/>
            <color indexed="81"/>
            <rFont val="Tahoma"/>
            <family val="2"/>
          </rPr>
          <t>Solver found a solution. All constraints and optimality conditions are satisfied.</t>
        </r>
      </text>
    </comment>
    <comment ref="B14" authorId="0" shapeId="0">
      <text>
        <r>
          <rPr>
            <sz val="9"/>
            <color indexed="81"/>
            <rFont val="Tahoma"/>
            <family val="2"/>
          </rPr>
          <t>Solver found a solution. All constraints and optimality conditions are satisfied.</t>
        </r>
      </text>
    </comment>
    <comment ref="B15" authorId="0" shapeId="0">
      <text>
        <r>
          <rPr>
            <sz val="9"/>
            <color indexed="81"/>
            <rFont val="Tahoma"/>
            <family val="2"/>
          </rPr>
          <t>Solver found a solution. All constraints and optimality conditions are satisfied.</t>
        </r>
      </text>
    </comment>
    <comment ref="B16" authorId="0" shapeId="0">
      <text>
        <r>
          <rPr>
            <sz val="9"/>
            <color indexed="81"/>
            <rFont val="Tahoma"/>
            <family val="2"/>
          </rPr>
          <t>Solver found a solution. All constraints and optimality conditions are satisfied.</t>
        </r>
      </text>
    </comment>
    <comment ref="B17" authorId="0" shapeId="0">
      <text>
        <r>
          <rPr>
            <sz val="9"/>
            <color indexed="81"/>
            <rFont val="Tahoma"/>
            <family val="2"/>
          </rPr>
          <t>Solver found a solution. All constraints and optimality conditions are satisfied.</t>
        </r>
      </text>
    </comment>
    <comment ref="B18" authorId="0" shapeId="0">
      <text>
        <r>
          <rPr>
            <sz val="9"/>
            <color indexed="81"/>
            <rFont val="Tahoma"/>
            <family val="2"/>
          </rPr>
          <t>Solver found a solution. All constraints and optimality conditions are satisfied.</t>
        </r>
      </text>
    </comment>
    <comment ref="B19" authorId="0" shapeId="0">
      <text>
        <r>
          <rPr>
            <sz val="9"/>
            <color indexed="81"/>
            <rFont val="Tahoma"/>
            <family val="2"/>
          </rPr>
          <t>Solver found a solution. All constraints and optimality conditions are satisfied.</t>
        </r>
      </text>
    </comment>
    <comment ref="B20" authorId="0" shapeId="0">
      <text>
        <r>
          <rPr>
            <sz val="9"/>
            <color indexed="81"/>
            <rFont val="Tahoma"/>
            <family val="2"/>
          </rPr>
          <t>Solver found a solution. All constraints and optimality conditions are satisfied.</t>
        </r>
      </text>
    </comment>
    <comment ref="B21" authorId="0" shapeId="0">
      <text>
        <r>
          <rPr>
            <sz val="9"/>
            <color indexed="81"/>
            <rFont val="Tahoma"/>
            <family val="2"/>
          </rPr>
          <t>Solver found a solution. All constraints and optimality conditions are satisfied.</t>
        </r>
      </text>
    </comment>
    <comment ref="B22" authorId="0" shapeId="0">
      <text>
        <r>
          <rPr>
            <sz val="9"/>
            <color indexed="81"/>
            <rFont val="Tahoma"/>
            <family val="2"/>
          </rPr>
          <t>Solver found a solution. All constraints and optimality conditions are satisfied.</t>
        </r>
      </text>
    </comment>
    <comment ref="B23" authorId="0" shapeId="0">
      <text>
        <r>
          <rPr>
            <sz val="9"/>
            <color indexed="81"/>
            <rFont val="Tahoma"/>
            <family val="2"/>
          </rPr>
          <t>Solver found a solution. All constraints and optimality conditions are satisfied.</t>
        </r>
      </text>
    </comment>
    <comment ref="B24" authorId="0" shapeId="0">
      <text>
        <r>
          <rPr>
            <sz val="9"/>
            <color indexed="81"/>
            <rFont val="Tahoma"/>
            <family val="2"/>
          </rPr>
          <t>Solver found a solution. All constraints and optimality conditions are satisfied.</t>
        </r>
      </text>
    </comment>
    <comment ref="B25" authorId="0" shapeId="0">
      <text>
        <r>
          <rPr>
            <sz val="9"/>
            <color indexed="81"/>
            <rFont val="Tahoma"/>
            <family val="2"/>
          </rPr>
          <t>Solver found a solution. All constraints and optimality conditions are satisfied.</t>
        </r>
      </text>
    </comment>
    <comment ref="B26" authorId="0" shapeId="0">
      <text>
        <r>
          <rPr>
            <sz val="9"/>
            <color indexed="81"/>
            <rFont val="Tahoma"/>
            <family val="2"/>
          </rPr>
          <t>Solver found a solution. All constraints and optimality conditions are satisfied.</t>
        </r>
      </text>
    </comment>
    <comment ref="B27" authorId="0" shapeId="0">
      <text>
        <r>
          <rPr>
            <sz val="9"/>
            <color indexed="81"/>
            <rFont val="Tahoma"/>
            <family val="2"/>
          </rPr>
          <t>Solver found a solution. All constraints and optimality conditions are satisfied.</t>
        </r>
      </text>
    </comment>
    <comment ref="B28" authorId="0" shapeId="0">
      <text>
        <r>
          <rPr>
            <sz val="9"/>
            <color indexed="81"/>
            <rFont val="Tahoma"/>
            <family val="2"/>
          </rPr>
          <t>Solver found a solution. All constraints and optimality conditions are satisfied.</t>
        </r>
      </text>
    </comment>
    <comment ref="B29" authorId="0" shapeId="0">
      <text>
        <r>
          <rPr>
            <sz val="9"/>
            <color indexed="81"/>
            <rFont val="Tahoma"/>
            <family val="2"/>
          </rPr>
          <t>Solver found a solution. All constraints and optimality conditions are satisfied.</t>
        </r>
      </text>
    </comment>
    <comment ref="B30" authorId="0" shapeId="0">
      <text>
        <r>
          <rPr>
            <sz val="9"/>
            <color indexed="81"/>
            <rFont val="Tahoma"/>
            <family val="2"/>
          </rPr>
          <t>Solver found a solution. All constraints and optimality conditions are satisfied.</t>
        </r>
      </text>
    </comment>
    <comment ref="B31" authorId="0" shapeId="0">
      <text>
        <r>
          <rPr>
            <sz val="9"/>
            <color indexed="81"/>
            <rFont val="Tahoma"/>
            <family val="2"/>
          </rPr>
          <t>Solver found a solution. All constraints and optimality conditions are satisfied.</t>
        </r>
      </text>
    </comment>
    <comment ref="B32" authorId="0" shapeId="0">
      <text>
        <r>
          <rPr>
            <sz val="9"/>
            <color indexed="81"/>
            <rFont val="Tahoma"/>
            <family val="2"/>
          </rPr>
          <t>Solver found a solution. All constraints and optimality conditions are satisfied.</t>
        </r>
      </text>
    </comment>
    <comment ref="B33" authorId="0" shapeId="0">
      <text>
        <r>
          <rPr>
            <sz val="9"/>
            <color indexed="81"/>
            <rFont val="Tahoma"/>
            <family val="2"/>
          </rPr>
          <t>Solver found a solution. All constraints and optimality conditions are satisfied.</t>
        </r>
      </text>
    </comment>
    <comment ref="B34" authorId="0" shapeId="0">
      <text>
        <r>
          <rPr>
            <sz val="9"/>
            <color indexed="81"/>
            <rFont val="Tahoma"/>
            <family val="2"/>
          </rPr>
          <t>Solver found a solution. All constraints and optimality conditions are satisfied.</t>
        </r>
      </text>
    </comment>
    <comment ref="B35" authorId="0" shapeId="0">
      <text>
        <r>
          <rPr>
            <sz val="9"/>
            <color indexed="81"/>
            <rFont val="Tahoma"/>
            <family val="2"/>
          </rPr>
          <t>Solver found a solution. All constraints and optimality conditions are satisfied.</t>
        </r>
      </text>
    </comment>
    <comment ref="B36" authorId="0" shapeId="0">
      <text>
        <r>
          <rPr>
            <sz val="9"/>
            <color indexed="81"/>
            <rFont val="Tahoma"/>
            <family val="2"/>
          </rPr>
          <t>Solver found a solution. All constraints and optimality conditions are satisfied.</t>
        </r>
      </text>
    </comment>
    <comment ref="B37" authorId="0" shapeId="0">
      <text>
        <r>
          <rPr>
            <sz val="9"/>
            <color indexed="81"/>
            <rFont val="Tahoma"/>
            <family val="2"/>
          </rPr>
          <t>Solver found a solution. All constraints and optimality conditions are satisfied.</t>
        </r>
      </text>
    </comment>
    <comment ref="B38" authorId="0" shapeId="0">
      <text>
        <r>
          <rPr>
            <sz val="9"/>
            <color indexed="81"/>
            <rFont val="Tahoma"/>
            <family val="2"/>
          </rPr>
          <t>Solver found a solution. All constraints and optimality conditions are satisfied.</t>
        </r>
      </text>
    </comment>
    <comment ref="B39" authorId="0" shapeId="0">
      <text>
        <r>
          <rPr>
            <sz val="9"/>
            <color indexed="81"/>
            <rFont val="Tahoma"/>
            <family val="2"/>
          </rPr>
          <t>Solver found a solution. All constraints and optimality conditions are satisfied.</t>
        </r>
      </text>
    </comment>
    <comment ref="B40" authorId="0" shapeId="0">
      <text>
        <r>
          <rPr>
            <sz val="9"/>
            <color indexed="81"/>
            <rFont val="Tahoma"/>
            <family val="2"/>
          </rPr>
          <t>Solver found a solution. All constraints and optimality conditions are satisfied.</t>
        </r>
      </text>
    </comment>
    <comment ref="B41" authorId="0" shapeId="0">
      <text>
        <r>
          <rPr>
            <sz val="9"/>
            <color indexed="81"/>
            <rFont val="Tahoma"/>
            <family val="2"/>
          </rPr>
          <t>Solver found a solution. All constraints and optimality conditions are satisfied.</t>
        </r>
      </text>
    </comment>
    <comment ref="B42" authorId="0" shapeId="0">
      <text>
        <r>
          <rPr>
            <sz val="9"/>
            <color indexed="81"/>
            <rFont val="Tahoma"/>
            <family val="2"/>
          </rPr>
          <t>Solver found a solution. All constraints and optimality conditions are satisfied.</t>
        </r>
      </text>
    </comment>
    <comment ref="B43" authorId="0" shapeId="0">
      <text>
        <r>
          <rPr>
            <sz val="9"/>
            <color indexed="81"/>
            <rFont val="Tahoma"/>
            <family val="2"/>
          </rPr>
          <t>Solver found a solution. All constraints and optimality conditions are satisfied.</t>
        </r>
      </text>
    </comment>
    <comment ref="B44" authorId="0" shapeId="0">
      <text>
        <r>
          <rPr>
            <sz val="9"/>
            <color indexed="81"/>
            <rFont val="Tahoma"/>
            <family val="2"/>
          </rPr>
          <t>Solver found a solution. All constraints and optimality conditions are satisfied.</t>
        </r>
      </text>
    </comment>
    <comment ref="B45" authorId="0" shapeId="0">
      <text>
        <r>
          <rPr>
            <sz val="9"/>
            <color indexed="81"/>
            <rFont val="Tahoma"/>
            <family val="2"/>
          </rPr>
          <t>Solver found a solution. All constraints and optimality conditions are satisfied.</t>
        </r>
      </text>
    </comment>
    <comment ref="B46" authorId="0" shapeId="0">
      <text>
        <r>
          <rPr>
            <sz val="9"/>
            <color indexed="81"/>
            <rFont val="Tahoma"/>
            <family val="2"/>
          </rPr>
          <t>Solver found a solution. All constraints and optimality conditions are satisfied.</t>
        </r>
      </text>
    </comment>
    <comment ref="B47" authorId="0" shapeId="0">
      <text>
        <r>
          <rPr>
            <sz val="9"/>
            <color indexed="81"/>
            <rFont val="Tahoma"/>
            <family val="2"/>
          </rPr>
          <t>Solver found a solution. All constraints and optimality conditions are satisfied.</t>
        </r>
      </text>
    </comment>
    <comment ref="B48" authorId="0" shapeId="0">
      <text>
        <r>
          <rPr>
            <sz val="9"/>
            <color indexed="81"/>
            <rFont val="Tahoma"/>
            <family val="2"/>
          </rPr>
          <t>Solver found a solution. All constraints and optimality conditions are satisfied.</t>
        </r>
      </text>
    </comment>
    <comment ref="B49" authorId="0" shapeId="0">
      <text>
        <r>
          <rPr>
            <sz val="9"/>
            <color indexed="81"/>
            <rFont val="Tahoma"/>
            <family val="2"/>
          </rPr>
          <t>Solver found a solution. All constraints and optimality conditions are satisfied.</t>
        </r>
      </text>
    </comment>
    <comment ref="B50" authorId="0" shapeId="0">
      <text>
        <r>
          <rPr>
            <sz val="9"/>
            <color indexed="81"/>
            <rFont val="Tahoma"/>
            <family val="2"/>
          </rPr>
          <t>Solver found a solution. All constraints and optimality conditions are satisfied.</t>
        </r>
      </text>
    </comment>
    <comment ref="B51" authorId="0" shapeId="0">
      <text>
        <r>
          <rPr>
            <sz val="9"/>
            <color indexed="81"/>
            <rFont val="Tahoma"/>
            <family val="2"/>
          </rPr>
          <t>Solver found a solution. All constraints and optimality conditions are satisfied.</t>
        </r>
      </text>
    </comment>
    <comment ref="B52" authorId="0" shapeId="0">
      <text>
        <r>
          <rPr>
            <sz val="9"/>
            <color indexed="81"/>
            <rFont val="Tahoma"/>
            <family val="2"/>
          </rPr>
          <t>Solver found a solution. All constraints and optimality conditions are satisfied.</t>
        </r>
      </text>
    </comment>
    <comment ref="B53" authorId="0" shapeId="0">
      <text>
        <r>
          <rPr>
            <sz val="9"/>
            <color indexed="81"/>
            <rFont val="Tahoma"/>
            <family val="2"/>
          </rPr>
          <t>Solver found a solution. All constraints and optimality conditions are satisfied.</t>
        </r>
      </text>
    </comment>
    <comment ref="B54" authorId="0" shapeId="0">
      <text>
        <r>
          <rPr>
            <sz val="9"/>
            <color indexed="81"/>
            <rFont val="Tahoma"/>
            <family val="2"/>
          </rPr>
          <t>Solver found a solution. All constraints and optimality conditions are satisfied.</t>
        </r>
      </text>
    </comment>
    <comment ref="B55" authorId="0" shapeId="0">
      <text>
        <r>
          <rPr>
            <sz val="9"/>
            <color indexed="81"/>
            <rFont val="Tahoma"/>
            <family val="2"/>
          </rPr>
          <t>Solver found a solution. All constraints and optimality conditions are satisfied.</t>
        </r>
      </text>
    </comment>
    <comment ref="B56" authorId="0" shapeId="0">
      <text>
        <r>
          <rPr>
            <sz val="9"/>
            <color indexed="81"/>
            <rFont val="Tahoma"/>
            <family val="2"/>
          </rPr>
          <t>Solver found a solution. All constraints and optimality conditions are satisfied.</t>
        </r>
      </text>
    </comment>
    <comment ref="B57" authorId="0" shapeId="0">
      <text>
        <r>
          <rPr>
            <sz val="9"/>
            <color indexed="81"/>
            <rFont val="Tahoma"/>
            <family val="2"/>
          </rPr>
          <t>Solver found a solution. All constraints and optimality conditions are satisfied.</t>
        </r>
      </text>
    </comment>
    <comment ref="B58" authorId="0" shapeId="0">
      <text>
        <r>
          <rPr>
            <sz val="9"/>
            <color indexed="81"/>
            <rFont val="Tahoma"/>
            <family val="2"/>
          </rPr>
          <t>Solver found a solution. All constraints and optimality conditions are satisfied.</t>
        </r>
      </text>
    </comment>
    <comment ref="B59" authorId="0" shapeId="0">
      <text>
        <r>
          <rPr>
            <sz val="9"/>
            <color indexed="81"/>
            <rFont val="Tahoma"/>
            <family val="2"/>
          </rPr>
          <t>Solver found a solution. All constraints and optimality conditions are satisfied.</t>
        </r>
      </text>
    </comment>
    <comment ref="B60" authorId="0" shapeId="0">
      <text>
        <r>
          <rPr>
            <sz val="9"/>
            <color indexed="81"/>
            <rFont val="Tahoma"/>
            <family val="2"/>
          </rPr>
          <t>Solver found a solution. All constraints and optimality conditions are satisfied.</t>
        </r>
      </text>
    </comment>
    <comment ref="B61" authorId="0" shapeId="0">
      <text>
        <r>
          <rPr>
            <sz val="9"/>
            <color indexed="81"/>
            <rFont val="Tahoma"/>
            <family val="2"/>
          </rPr>
          <t>Solver found a solution. All constraints and optimality conditions are satisfied.</t>
        </r>
      </text>
    </comment>
    <comment ref="B62" authorId="0" shapeId="0">
      <text>
        <r>
          <rPr>
            <sz val="9"/>
            <color indexed="81"/>
            <rFont val="Tahoma"/>
            <family val="2"/>
          </rPr>
          <t>Solver found a solution. All constraints and optimality conditions are satisfied.</t>
        </r>
      </text>
    </comment>
    <comment ref="B63" authorId="0" shapeId="0">
      <text>
        <r>
          <rPr>
            <sz val="9"/>
            <color indexed="81"/>
            <rFont val="Tahoma"/>
            <family val="2"/>
          </rPr>
          <t>Solver found a solution. All constraints and optimality conditions are satisfied.</t>
        </r>
      </text>
    </comment>
    <comment ref="B64" authorId="0" shapeId="0">
      <text>
        <r>
          <rPr>
            <sz val="9"/>
            <color indexed="81"/>
            <rFont val="Tahoma"/>
            <family val="2"/>
          </rPr>
          <t>Solver found a solution. All constraints and optimality conditions are satisfied.</t>
        </r>
      </text>
    </comment>
    <comment ref="B65" authorId="0" shapeId="0">
      <text>
        <r>
          <rPr>
            <sz val="9"/>
            <color indexed="81"/>
            <rFont val="Tahoma"/>
            <family val="2"/>
          </rPr>
          <t>Solver found a solution. All constraints and optimality conditions are satisfied.</t>
        </r>
      </text>
    </comment>
    <comment ref="B66" authorId="0" shapeId="0">
      <text>
        <r>
          <rPr>
            <sz val="9"/>
            <color indexed="81"/>
            <rFont val="Tahoma"/>
            <family val="2"/>
          </rPr>
          <t>Solver found a solution. All constraints and optimality conditions are satisfied.</t>
        </r>
      </text>
    </comment>
    <comment ref="B67" authorId="0" shapeId="0">
      <text>
        <r>
          <rPr>
            <sz val="9"/>
            <color indexed="81"/>
            <rFont val="Tahoma"/>
            <family val="2"/>
          </rPr>
          <t>Solver found a solution. All constraints and optimality conditions are satisfied.</t>
        </r>
      </text>
    </comment>
    <comment ref="B68" authorId="0" shapeId="0">
      <text>
        <r>
          <rPr>
            <sz val="9"/>
            <color indexed="81"/>
            <rFont val="Tahoma"/>
            <family val="2"/>
          </rPr>
          <t>Solver found a solution. All constraints and optimality conditions are satisfied.</t>
        </r>
      </text>
    </comment>
    <comment ref="B69" authorId="0" shapeId="0">
      <text>
        <r>
          <rPr>
            <sz val="9"/>
            <color indexed="81"/>
            <rFont val="Tahoma"/>
            <family val="2"/>
          </rPr>
          <t>Solver found a solution. All constraints and optimality conditions are satisfied.</t>
        </r>
      </text>
    </comment>
    <comment ref="B70" authorId="0" shapeId="0">
      <text>
        <r>
          <rPr>
            <sz val="9"/>
            <color indexed="81"/>
            <rFont val="Tahoma"/>
            <family val="2"/>
          </rPr>
          <t>Solver found a solution. All constraints and optimality conditions are satisfied.</t>
        </r>
      </text>
    </comment>
    <comment ref="B71" authorId="0" shapeId="0">
      <text>
        <r>
          <rPr>
            <sz val="9"/>
            <color indexed="81"/>
            <rFont val="Tahoma"/>
            <family val="2"/>
          </rPr>
          <t>Solver found a solution. All constraints and optimality conditions are satisfied.</t>
        </r>
      </text>
    </comment>
    <comment ref="B72" authorId="0" shapeId="0">
      <text>
        <r>
          <rPr>
            <sz val="9"/>
            <color indexed="81"/>
            <rFont val="Tahoma"/>
            <family val="2"/>
          </rPr>
          <t>Solver found a solution. All constraints and optimality conditions are satisfied.</t>
        </r>
      </text>
    </comment>
    <comment ref="B73" authorId="0" shapeId="0">
      <text>
        <r>
          <rPr>
            <sz val="9"/>
            <color indexed="81"/>
            <rFont val="Tahoma"/>
            <family val="2"/>
          </rPr>
          <t>Solver found a solution. All constraints and optimality conditions are satisfied.</t>
        </r>
      </text>
    </comment>
    <comment ref="B74" authorId="0" shapeId="0">
      <text>
        <r>
          <rPr>
            <sz val="9"/>
            <color indexed="81"/>
            <rFont val="Tahoma"/>
            <family val="2"/>
          </rPr>
          <t>Solver found a solution. All constraints and optimality conditions are satisfied.</t>
        </r>
      </text>
    </comment>
    <comment ref="B75" authorId="0" shapeId="0">
      <text>
        <r>
          <rPr>
            <sz val="9"/>
            <color indexed="81"/>
            <rFont val="Tahoma"/>
            <family val="2"/>
          </rPr>
          <t>Solver found a solution. All constraints and optimality conditions are satisfied.</t>
        </r>
      </text>
    </comment>
    <comment ref="B76" authorId="0" shapeId="0">
      <text>
        <r>
          <rPr>
            <sz val="9"/>
            <color indexed="81"/>
            <rFont val="Tahoma"/>
            <family val="2"/>
          </rPr>
          <t>Solver found a solution. All constraints and optimality conditions are satisfied.</t>
        </r>
      </text>
    </comment>
    <comment ref="B77" authorId="0" shapeId="0">
      <text>
        <r>
          <rPr>
            <sz val="9"/>
            <color indexed="81"/>
            <rFont val="Tahoma"/>
            <family val="2"/>
          </rPr>
          <t>Solver found a solution. All constraints and optimality conditions are satisfied.</t>
        </r>
      </text>
    </comment>
    <comment ref="B78" authorId="0" shapeId="0">
      <text>
        <r>
          <rPr>
            <sz val="9"/>
            <color indexed="81"/>
            <rFont val="Tahoma"/>
            <family val="2"/>
          </rPr>
          <t>Solver found a solution. All constraints and optimality conditions are satisfied.</t>
        </r>
      </text>
    </comment>
    <comment ref="B79" authorId="0" shapeId="0">
      <text>
        <r>
          <rPr>
            <sz val="9"/>
            <color indexed="81"/>
            <rFont val="Tahoma"/>
            <family val="2"/>
          </rPr>
          <t>Solver found a solution. All constraints and optimality conditions are satisfied.</t>
        </r>
      </text>
    </comment>
    <comment ref="B80" authorId="0" shapeId="0">
      <text>
        <r>
          <rPr>
            <sz val="9"/>
            <color indexed="81"/>
            <rFont val="Tahoma"/>
            <family val="2"/>
          </rPr>
          <t>Solver found a solution. All constraints and optimality conditions are satisfied.</t>
        </r>
      </text>
    </comment>
    <comment ref="B81" authorId="0" shapeId="0">
      <text>
        <r>
          <rPr>
            <sz val="9"/>
            <color indexed="81"/>
            <rFont val="Tahoma"/>
            <family val="2"/>
          </rPr>
          <t>Solver found a solution. All constraints and optimality conditions are satisfied.</t>
        </r>
      </text>
    </comment>
    <comment ref="B82" authorId="0" shapeId="0">
      <text>
        <r>
          <rPr>
            <sz val="9"/>
            <color indexed="81"/>
            <rFont val="Tahoma"/>
            <family val="2"/>
          </rPr>
          <t>Solver found a solution. All constraints and optimality conditions are satisfied.</t>
        </r>
      </text>
    </comment>
    <comment ref="B83" authorId="0" shapeId="0">
      <text>
        <r>
          <rPr>
            <sz val="9"/>
            <color indexed="81"/>
            <rFont val="Tahoma"/>
            <family val="2"/>
          </rPr>
          <t>Solver found a solution. All constraints and optimality conditions are satisfied.</t>
        </r>
      </text>
    </comment>
    <comment ref="B84" authorId="0" shapeId="0">
      <text>
        <r>
          <rPr>
            <sz val="9"/>
            <color indexed="81"/>
            <rFont val="Tahoma"/>
            <family val="2"/>
          </rPr>
          <t>Solver found a solution. All constraints and optimality conditions are satisfied.</t>
        </r>
      </text>
    </comment>
    <comment ref="B85" authorId="0" shapeId="0">
      <text>
        <r>
          <rPr>
            <sz val="9"/>
            <color indexed="81"/>
            <rFont val="Tahoma"/>
            <family val="2"/>
          </rPr>
          <t>Solver found a solution. All constraints and optimality conditions are satisfied.</t>
        </r>
      </text>
    </comment>
    <comment ref="B86" authorId="0" shapeId="0">
      <text>
        <r>
          <rPr>
            <sz val="9"/>
            <color indexed="81"/>
            <rFont val="Tahoma"/>
            <family val="2"/>
          </rPr>
          <t>Solver found a solution. All constraints and optimality conditions are satisfied.</t>
        </r>
      </text>
    </comment>
    <comment ref="B87" authorId="0" shapeId="0">
      <text>
        <r>
          <rPr>
            <sz val="9"/>
            <color indexed="81"/>
            <rFont val="Tahoma"/>
            <family val="2"/>
          </rPr>
          <t>Solver found a solution. All constraints and optimality conditions are satisfied.</t>
        </r>
      </text>
    </comment>
    <comment ref="B88" authorId="0" shapeId="0">
      <text>
        <r>
          <rPr>
            <sz val="9"/>
            <color indexed="81"/>
            <rFont val="Tahoma"/>
            <family val="2"/>
          </rPr>
          <t>Solver found a solution. All constraints and optimality conditions are satisfied.</t>
        </r>
      </text>
    </comment>
    <comment ref="B89" authorId="0" shapeId="0">
      <text>
        <r>
          <rPr>
            <sz val="9"/>
            <color indexed="81"/>
            <rFont val="Tahoma"/>
            <family val="2"/>
          </rPr>
          <t>Solver found a solution. All constraints and optimality conditions are satisfied.</t>
        </r>
      </text>
    </comment>
    <comment ref="B90" authorId="0" shapeId="0">
      <text>
        <r>
          <rPr>
            <sz val="9"/>
            <color indexed="81"/>
            <rFont val="Tahoma"/>
            <family val="2"/>
          </rPr>
          <t>Solver found a solution. All constraints and optimality conditions are satisfied.</t>
        </r>
      </text>
    </comment>
    <comment ref="B91" authorId="0" shapeId="0">
      <text>
        <r>
          <rPr>
            <sz val="9"/>
            <color indexed="81"/>
            <rFont val="Tahoma"/>
            <family val="2"/>
          </rPr>
          <t>Solver found a solution. All constraints and optimality conditions are satisfied.</t>
        </r>
      </text>
    </comment>
    <comment ref="B92" authorId="0" shapeId="0">
      <text>
        <r>
          <rPr>
            <sz val="9"/>
            <color indexed="81"/>
            <rFont val="Tahoma"/>
            <family val="2"/>
          </rPr>
          <t>Solver found a solution. All constraints and optimality conditions are satisfied.</t>
        </r>
      </text>
    </comment>
    <comment ref="B93" authorId="0" shapeId="0">
      <text>
        <r>
          <rPr>
            <sz val="9"/>
            <color indexed="81"/>
            <rFont val="Tahoma"/>
            <family val="2"/>
          </rPr>
          <t>Solver found a solution. All constraints and optimality conditions are satisfied.</t>
        </r>
      </text>
    </comment>
    <comment ref="B94" authorId="0" shapeId="0">
      <text>
        <r>
          <rPr>
            <sz val="9"/>
            <color indexed="81"/>
            <rFont val="Tahoma"/>
            <family val="2"/>
          </rPr>
          <t>Solver found a solution. All constraints and optimality conditions are satisfied.</t>
        </r>
      </text>
    </comment>
    <comment ref="B95" authorId="0" shapeId="0">
      <text>
        <r>
          <rPr>
            <sz val="9"/>
            <color indexed="81"/>
            <rFont val="Tahoma"/>
            <family val="2"/>
          </rPr>
          <t>Solver found a solution. All constraints and optimality conditions are satisfied.</t>
        </r>
      </text>
    </comment>
    <comment ref="B96" authorId="0" shapeId="0">
      <text>
        <r>
          <rPr>
            <sz val="9"/>
            <color indexed="81"/>
            <rFont val="Tahoma"/>
            <family val="2"/>
          </rPr>
          <t>Solver found a solution. All constraints and optimality conditions are satisfied.</t>
        </r>
      </text>
    </comment>
    <comment ref="B97" authorId="0" shapeId="0">
      <text>
        <r>
          <rPr>
            <sz val="9"/>
            <color indexed="81"/>
            <rFont val="Tahoma"/>
            <family val="2"/>
          </rPr>
          <t>Solver found a solution. All constraints and optimality conditions are satisfied.</t>
        </r>
      </text>
    </comment>
    <comment ref="B98" authorId="0" shapeId="0">
      <text>
        <r>
          <rPr>
            <sz val="9"/>
            <color indexed="81"/>
            <rFont val="Tahoma"/>
            <family val="2"/>
          </rPr>
          <t>Solver found a solution. All constraints and optimality conditions are satisfied.</t>
        </r>
      </text>
    </comment>
    <comment ref="B99" authorId="0" shapeId="0">
      <text>
        <r>
          <rPr>
            <sz val="9"/>
            <color indexed="81"/>
            <rFont val="Tahoma"/>
            <family val="2"/>
          </rPr>
          <t>Solver found a solution. All constraints and optimality conditions are satisfied.</t>
        </r>
      </text>
    </comment>
    <comment ref="B100" authorId="0" shapeId="0">
      <text>
        <r>
          <rPr>
            <sz val="9"/>
            <color indexed="81"/>
            <rFont val="Tahoma"/>
            <family val="2"/>
          </rPr>
          <t>Solver found a solution. All constraints and optimality conditions are satisfied.</t>
        </r>
      </text>
    </comment>
    <comment ref="B101" authorId="0" shapeId="0">
      <text>
        <r>
          <rPr>
            <sz val="9"/>
            <color indexed="81"/>
            <rFont val="Tahoma"/>
            <family val="2"/>
          </rPr>
          <t>Solver found a solution. All constraints and optimality conditions are satisfied.</t>
        </r>
      </text>
    </comment>
    <comment ref="B102" authorId="0" shapeId="0">
      <text>
        <r>
          <rPr>
            <sz val="9"/>
            <color indexed="81"/>
            <rFont val="Tahoma"/>
            <family val="2"/>
          </rPr>
          <t>Solver found a solution. All constraints and optimality conditions are satisfied.</t>
        </r>
      </text>
    </comment>
    <comment ref="B103" authorId="0" shapeId="0">
      <text>
        <r>
          <rPr>
            <sz val="9"/>
            <color indexed="81"/>
            <rFont val="Tahoma"/>
            <family val="2"/>
          </rPr>
          <t>Solver found a solution. All constraints and optimality conditions are satisfied.</t>
        </r>
      </text>
    </comment>
    <comment ref="B104" authorId="0" shapeId="0">
      <text>
        <r>
          <rPr>
            <sz val="9"/>
            <color indexed="81"/>
            <rFont val="Tahoma"/>
            <family val="2"/>
          </rPr>
          <t>Solver found a solution. All constraints and optimality conditions are satisfied.</t>
        </r>
      </text>
    </comment>
    <comment ref="B105" authorId="0" shapeId="0">
      <text>
        <r>
          <rPr>
            <sz val="9"/>
            <color indexed="81"/>
            <rFont val="Tahoma"/>
            <family val="2"/>
          </rPr>
          <t>Solver found a solution. All constraints and optimality conditions are satisfied.</t>
        </r>
      </text>
    </comment>
    <comment ref="B106" authorId="0" shapeId="0">
      <text>
        <r>
          <rPr>
            <sz val="9"/>
            <color indexed="81"/>
            <rFont val="Tahoma"/>
            <family val="2"/>
          </rPr>
          <t>Solver found a solution. All constraints and optimality conditions are satisfied.</t>
        </r>
      </text>
    </comment>
    <comment ref="B107" authorId="0" shapeId="0">
      <text>
        <r>
          <rPr>
            <sz val="9"/>
            <color indexed="81"/>
            <rFont val="Tahoma"/>
            <family val="2"/>
          </rPr>
          <t>Solver found a solution. All constraints and optimality conditions are satisfied.</t>
        </r>
      </text>
    </comment>
    <comment ref="B108" authorId="0" shapeId="0">
      <text>
        <r>
          <rPr>
            <sz val="9"/>
            <color indexed="81"/>
            <rFont val="Tahoma"/>
            <family val="2"/>
          </rPr>
          <t>Solver found a solution. All constraints and optimality conditions are satisfied.</t>
        </r>
      </text>
    </comment>
    <comment ref="B109" authorId="0" shapeId="0">
      <text>
        <r>
          <rPr>
            <sz val="9"/>
            <color indexed="81"/>
            <rFont val="Tahoma"/>
            <family val="2"/>
          </rPr>
          <t>Solver found a solution. All constraints and optimality conditions are satisfied.</t>
        </r>
      </text>
    </comment>
    <comment ref="B110" authorId="0" shapeId="0">
      <text>
        <r>
          <rPr>
            <sz val="9"/>
            <color indexed="81"/>
            <rFont val="Tahoma"/>
            <family val="2"/>
          </rPr>
          <t>Solver found a solution. All constraints and optimality conditions are satisfied.</t>
        </r>
      </text>
    </comment>
    <comment ref="B111" authorId="0" shapeId="0">
      <text>
        <r>
          <rPr>
            <sz val="9"/>
            <color indexed="81"/>
            <rFont val="Tahoma"/>
            <family val="2"/>
          </rPr>
          <t>Solver found a solution. All constraints and optimality conditions are satisfied.</t>
        </r>
      </text>
    </comment>
    <comment ref="B112" authorId="0" shapeId="0">
      <text>
        <r>
          <rPr>
            <sz val="9"/>
            <color indexed="81"/>
            <rFont val="Tahoma"/>
            <family val="2"/>
          </rPr>
          <t>Solver found a solution. All constraints and optimality conditions are satisfied.</t>
        </r>
      </text>
    </comment>
    <comment ref="B113" authorId="0" shapeId="0">
      <text>
        <r>
          <rPr>
            <sz val="9"/>
            <color indexed="81"/>
            <rFont val="Tahoma"/>
            <family val="2"/>
          </rPr>
          <t>Solver found a solution. All constraints and optimality conditions are satisfied.</t>
        </r>
      </text>
    </comment>
    <comment ref="B114" authorId="0" shapeId="0">
      <text>
        <r>
          <rPr>
            <sz val="9"/>
            <color indexed="81"/>
            <rFont val="Tahoma"/>
            <family val="2"/>
          </rPr>
          <t>Solver found a solution. All constraints and optimality conditions are satisfied.</t>
        </r>
      </text>
    </comment>
    <comment ref="B115" authorId="0" shapeId="0">
      <text>
        <r>
          <rPr>
            <sz val="9"/>
            <color indexed="81"/>
            <rFont val="Tahoma"/>
            <family val="2"/>
          </rPr>
          <t>Solver found a solution. All constraints and optimality conditions are satisfied.</t>
        </r>
      </text>
    </comment>
    <comment ref="B116" authorId="0" shapeId="0">
      <text>
        <r>
          <rPr>
            <sz val="9"/>
            <color indexed="81"/>
            <rFont val="Tahoma"/>
            <family val="2"/>
          </rPr>
          <t>Solver found a solution. All constraints and optimality conditions are satisfied.</t>
        </r>
      </text>
    </comment>
    <comment ref="B117" authorId="0" shapeId="0">
      <text>
        <r>
          <rPr>
            <sz val="9"/>
            <color indexed="81"/>
            <rFont val="Tahoma"/>
            <family val="2"/>
          </rPr>
          <t>Solver found a solution. All constraints and optimality conditions are satisfied.</t>
        </r>
      </text>
    </comment>
    <comment ref="B118" authorId="0" shapeId="0">
      <text>
        <r>
          <rPr>
            <sz val="9"/>
            <color indexed="81"/>
            <rFont val="Tahoma"/>
            <family val="2"/>
          </rPr>
          <t>Solver found a solution. All constraints and optimality conditions are satisfied.</t>
        </r>
      </text>
    </comment>
    <comment ref="B119" authorId="0" shapeId="0">
      <text>
        <r>
          <rPr>
            <sz val="9"/>
            <color indexed="81"/>
            <rFont val="Tahoma"/>
            <family val="2"/>
          </rPr>
          <t>Solver found a solution. All constraints and optimality conditions are satisfied.</t>
        </r>
      </text>
    </comment>
    <comment ref="B120" authorId="0" shapeId="0">
      <text>
        <r>
          <rPr>
            <sz val="9"/>
            <color indexed="81"/>
            <rFont val="Tahoma"/>
            <family val="2"/>
          </rPr>
          <t>Solver found a solution. All constraints and optimality conditions are satisfied.</t>
        </r>
      </text>
    </comment>
    <comment ref="B121" authorId="0" shapeId="0">
      <text>
        <r>
          <rPr>
            <sz val="9"/>
            <color indexed="81"/>
            <rFont val="Tahoma"/>
            <family val="2"/>
          </rPr>
          <t>Solver found a solution. All constraints and optimality conditions are satisfied.</t>
        </r>
      </text>
    </comment>
    <comment ref="B122" authorId="0" shapeId="0">
      <text>
        <r>
          <rPr>
            <sz val="9"/>
            <color indexed="81"/>
            <rFont val="Tahoma"/>
            <family val="2"/>
          </rPr>
          <t>Solver found a solution. All constraints and optimality conditions are satisfied.</t>
        </r>
      </text>
    </comment>
    <comment ref="B123" authorId="0" shapeId="0">
      <text>
        <r>
          <rPr>
            <sz val="9"/>
            <color indexed="81"/>
            <rFont val="Tahoma"/>
            <family val="2"/>
          </rPr>
          <t>Solver found a solution. All constraints and optimality conditions are satisfied.</t>
        </r>
      </text>
    </comment>
    <comment ref="B124" authorId="0" shapeId="0">
      <text>
        <r>
          <rPr>
            <sz val="9"/>
            <color indexed="81"/>
            <rFont val="Tahoma"/>
            <family val="2"/>
          </rPr>
          <t>Solver found a solution. All constraints and optimality conditions are satisfied.</t>
        </r>
      </text>
    </comment>
    <comment ref="B125" authorId="0" shapeId="0">
      <text>
        <r>
          <rPr>
            <sz val="9"/>
            <color indexed="81"/>
            <rFont val="Tahoma"/>
            <family val="2"/>
          </rPr>
          <t>Solver found a solution. All constraints and optimality conditions are satisfied.</t>
        </r>
      </text>
    </comment>
    <comment ref="B126" authorId="0" shapeId="0">
      <text>
        <r>
          <rPr>
            <sz val="9"/>
            <color indexed="81"/>
            <rFont val="Tahoma"/>
            <family val="2"/>
          </rPr>
          <t>Solver found a solution. All constraints and optimality conditions are satisfied.</t>
        </r>
      </text>
    </comment>
    <comment ref="B127" authorId="0" shapeId="0">
      <text>
        <r>
          <rPr>
            <sz val="9"/>
            <color indexed="81"/>
            <rFont val="Tahoma"/>
            <family val="2"/>
          </rPr>
          <t>Solver found a solution. All constraints and optimality conditions are satisfied.</t>
        </r>
      </text>
    </comment>
    <comment ref="B128" authorId="0" shapeId="0">
      <text>
        <r>
          <rPr>
            <sz val="9"/>
            <color indexed="81"/>
            <rFont val="Tahoma"/>
            <family val="2"/>
          </rPr>
          <t>Solver found a solution. All constraints and optimality conditions are satisfied.</t>
        </r>
      </text>
    </comment>
    <comment ref="B129" authorId="0" shapeId="0">
      <text>
        <r>
          <rPr>
            <sz val="9"/>
            <color indexed="81"/>
            <rFont val="Tahoma"/>
            <family val="2"/>
          </rPr>
          <t>Solver found a solution. All constraints and optimality conditions are satisfied.</t>
        </r>
      </text>
    </comment>
    <comment ref="B130" authorId="0" shapeId="0">
      <text>
        <r>
          <rPr>
            <sz val="9"/>
            <color indexed="81"/>
            <rFont val="Tahoma"/>
            <family val="2"/>
          </rPr>
          <t>Solver found a solution. All constraints and optimality conditions are satisfied.</t>
        </r>
      </text>
    </comment>
    <comment ref="B131" authorId="0" shapeId="0">
      <text>
        <r>
          <rPr>
            <sz val="9"/>
            <color indexed="81"/>
            <rFont val="Tahoma"/>
            <family val="2"/>
          </rPr>
          <t>Solver found a solution. All constraints and optimality conditions are satisfied.</t>
        </r>
      </text>
    </comment>
    <comment ref="B132" authorId="0" shapeId="0">
      <text>
        <r>
          <rPr>
            <sz val="9"/>
            <color indexed="81"/>
            <rFont val="Tahoma"/>
            <family val="2"/>
          </rPr>
          <t>Solver found a solution. All constraints and optimality conditions are satisfied.</t>
        </r>
      </text>
    </comment>
    <comment ref="B133" authorId="0" shapeId="0">
      <text>
        <r>
          <rPr>
            <sz val="9"/>
            <color indexed="81"/>
            <rFont val="Tahoma"/>
            <family val="2"/>
          </rPr>
          <t>Solver found a solution. All constraints and optimality conditions are satisfied.</t>
        </r>
      </text>
    </comment>
    <comment ref="B134" authorId="0" shapeId="0">
      <text>
        <r>
          <rPr>
            <sz val="9"/>
            <color indexed="81"/>
            <rFont val="Tahoma"/>
            <family val="2"/>
          </rPr>
          <t>Solver found a solution. All constraints and optimality conditions are satisfied.</t>
        </r>
      </text>
    </comment>
    <comment ref="B135" authorId="0" shapeId="0">
      <text>
        <r>
          <rPr>
            <sz val="9"/>
            <color indexed="81"/>
            <rFont val="Tahoma"/>
            <family val="2"/>
          </rPr>
          <t>Solver found a solution. All constraints and optimality conditions are satisfied.</t>
        </r>
      </text>
    </comment>
    <comment ref="B136" authorId="0" shapeId="0">
      <text>
        <r>
          <rPr>
            <sz val="9"/>
            <color indexed="81"/>
            <rFont val="Tahoma"/>
            <family val="2"/>
          </rPr>
          <t>Solver found a solution. All constraints and optimality conditions are satisfied.</t>
        </r>
      </text>
    </comment>
    <comment ref="B137" authorId="0" shapeId="0">
      <text>
        <r>
          <rPr>
            <sz val="9"/>
            <color indexed="81"/>
            <rFont val="Tahoma"/>
            <family val="2"/>
          </rPr>
          <t>Solver found a solution. All constraints and optimality conditions are satisfied.</t>
        </r>
      </text>
    </comment>
    <comment ref="B138" authorId="0" shapeId="0">
      <text>
        <r>
          <rPr>
            <sz val="9"/>
            <color indexed="81"/>
            <rFont val="Tahoma"/>
            <family val="2"/>
          </rPr>
          <t>Solver found a solution. All constraints and optimality conditions are satisfied.</t>
        </r>
      </text>
    </comment>
    <comment ref="B139" authorId="0" shapeId="0">
      <text>
        <r>
          <rPr>
            <sz val="9"/>
            <color indexed="81"/>
            <rFont val="Tahoma"/>
            <family val="2"/>
          </rPr>
          <t>Solver found a solution. All constraints and optimality conditions are satisfied.</t>
        </r>
      </text>
    </comment>
    <comment ref="B140" authorId="0" shapeId="0">
      <text>
        <r>
          <rPr>
            <sz val="9"/>
            <color indexed="81"/>
            <rFont val="Tahoma"/>
            <family val="2"/>
          </rPr>
          <t>Solver found a solution. All constraints and optimality conditions are satisfied.</t>
        </r>
      </text>
    </comment>
    <comment ref="B141" authorId="0" shapeId="0">
      <text>
        <r>
          <rPr>
            <sz val="9"/>
            <color indexed="81"/>
            <rFont val="Tahoma"/>
            <family val="2"/>
          </rPr>
          <t>Solver found a solution. All constraints and optimality conditions are satisfied.</t>
        </r>
      </text>
    </comment>
    <comment ref="B142" authorId="0" shapeId="0">
      <text>
        <r>
          <rPr>
            <sz val="9"/>
            <color indexed="81"/>
            <rFont val="Tahoma"/>
            <family val="2"/>
          </rPr>
          <t>Solver found a solution. All constraints and optimality conditions are satisfied.</t>
        </r>
      </text>
    </comment>
    <comment ref="B143" authorId="0" shapeId="0">
      <text>
        <r>
          <rPr>
            <sz val="9"/>
            <color indexed="81"/>
            <rFont val="Tahoma"/>
            <family val="2"/>
          </rPr>
          <t>Solver found a solution. All constraints and optimality conditions are satisfied.</t>
        </r>
      </text>
    </comment>
    <comment ref="B144" authorId="0" shapeId="0">
      <text>
        <r>
          <rPr>
            <sz val="9"/>
            <color indexed="81"/>
            <rFont val="Tahoma"/>
            <family val="2"/>
          </rPr>
          <t>Solver found a solution. All constraints and optimality conditions are satisfied.</t>
        </r>
      </text>
    </comment>
    <comment ref="B145" authorId="0" shapeId="0">
      <text>
        <r>
          <rPr>
            <sz val="9"/>
            <color indexed="81"/>
            <rFont val="Tahoma"/>
            <family val="2"/>
          </rPr>
          <t>Solver found a solution. All constraints and optimality conditions are satisfied.</t>
        </r>
      </text>
    </comment>
    <comment ref="B146" authorId="0" shapeId="0">
      <text>
        <r>
          <rPr>
            <sz val="9"/>
            <color indexed="81"/>
            <rFont val="Tahoma"/>
            <family val="2"/>
          </rPr>
          <t>Solver found a solution. All constraints and optimality conditions are satisfied.</t>
        </r>
      </text>
    </comment>
    <comment ref="B147" authorId="0" shapeId="0">
      <text>
        <r>
          <rPr>
            <sz val="9"/>
            <color indexed="81"/>
            <rFont val="Tahoma"/>
            <family val="2"/>
          </rPr>
          <t>Solver found a solution. All constraints and optimality conditions are satisfied.</t>
        </r>
      </text>
    </comment>
    <comment ref="B148" authorId="0" shapeId="0">
      <text>
        <r>
          <rPr>
            <sz val="9"/>
            <color indexed="81"/>
            <rFont val="Tahoma"/>
            <family val="2"/>
          </rPr>
          <t>Solver found a solution. All constraints and optimality conditions are satisfied.</t>
        </r>
      </text>
    </comment>
    <comment ref="B149" authorId="0" shapeId="0">
      <text>
        <r>
          <rPr>
            <sz val="9"/>
            <color indexed="81"/>
            <rFont val="Tahoma"/>
            <family val="2"/>
          </rPr>
          <t>Solver found a solution. All constraints and optimality conditions are satisfied.</t>
        </r>
      </text>
    </comment>
    <comment ref="B150" authorId="0" shapeId="0">
      <text>
        <r>
          <rPr>
            <sz val="9"/>
            <color indexed="81"/>
            <rFont val="Tahoma"/>
            <family val="2"/>
          </rPr>
          <t>Solver found a solution. All constraints and optimality conditions are satisfied.</t>
        </r>
      </text>
    </comment>
    <comment ref="B151" authorId="0" shapeId="0">
      <text>
        <r>
          <rPr>
            <sz val="9"/>
            <color indexed="81"/>
            <rFont val="Tahoma"/>
            <family val="2"/>
          </rPr>
          <t>Solver found a solution. All constraints and optimality conditions are satisfied.</t>
        </r>
      </text>
    </comment>
    <comment ref="B152" authorId="0" shapeId="0">
      <text>
        <r>
          <rPr>
            <sz val="9"/>
            <color indexed="81"/>
            <rFont val="Tahoma"/>
            <family val="2"/>
          </rPr>
          <t>Solver found a solution. All constraints and optimality conditions are satisfied.</t>
        </r>
      </text>
    </comment>
    <comment ref="B153" authorId="0" shapeId="0">
      <text>
        <r>
          <rPr>
            <sz val="9"/>
            <color indexed="81"/>
            <rFont val="Tahoma"/>
            <family val="2"/>
          </rPr>
          <t>Solver found a solution. All constraints and optimality conditions are satisfied.</t>
        </r>
      </text>
    </comment>
    <comment ref="B154" authorId="0" shapeId="0">
      <text>
        <r>
          <rPr>
            <sz val="9"/>
            <color indexed="81"/>
            <rFont val="Tahoma"/>
            <family val="2"/>
          </rPr>
          <t>Solver found a solution. All constraints and optimality conditions are satisfied.</t>
        </r>
      </text>
    </comment>
    <comment ref="B155" authorId="0" shapeId="0">
      <text>
        <r>
          <rPr>
            <sz val="9"/>
            <color indexed="81"/>
            <rFont val="Tahoma"/>
            <family val="2"/>
          </rPr>
          <t>Solver found a solution. All constraints and optimality conditions are satisfied.</t>
        </r>
      </text>
    </comment>
    <comment ref="B156" authorId="0" shapeId="0">
      <text>
        <r>
          <rPr>
            <sz val="9"/>
            <color indexed="81"/>
            <rFont val="Tahoma"/>
            <family val="2"/>
          </rPr>
          <t>Solver found a solution. All constraints and optimality conditions are satisfied.</t>
        </r>
      </text>
    </comment>
    <comment ref="B157" authorId="0" shapeId="0">
      <text>
        <r>
          <rPr>
            <sz val="9"/>
            <color indexed="81"/>
            <rFont val="Tahoma"/>
            <family val="2"/>
          </rPr>
          <t>Solver found a solution. All constraints and optimality conditions are satisfied.</t>
        </r>
      </text>
    </comment>
    <comment ref="B158" authorId="0" shapeId="0">
      <text>
        <r>
          <rPr>
            <sz val="9"/>
            <color indexed="81"/>
            <rFont val="Tahoma"/>
            <family val="2"/>
          </rPr>
          <t>Solver found a solution. All constraints and optimality conditions are satisfied.</t>
        </r>
      </text>
    </comment>
    <comment ref="B159" authorId="0" shapeId="0">
      <text>
        <r>
          <rPr>
            <sz val="9"/>
            <color indexed="81"/>
            <rFont val="Tahoma"/>
            <family val="2"/>
          </rPr>
          <t>Solver found a solution. All constraints and optimality conditions are satisfied.</t>
        </r>
      </text>
    </comment>
    <comment ref="B160" authorId="0" shapeId="0">
      <text>
        <r>
          <rPr>
            <sz val="9"/>
            <color indexed="81"/>
            <rFont val="Tahoma"/>
            <family val="2"/>
          </rPr>
          <t>Solver found a solution. All constraints and optimality conditions are satisfied.</t>
        </r>
      </text>
    </comment>
    <comment ref="B161" authorId="0" shapeId="0">
      <text>
        <r>
          <rPr>
            <sz val="9"/>
            <color indexed="81"/>
            <rFont val="Tahoma"/>
            <family val="2"/>
          </rPr>
          <t>Solver found a solution. All constraints and optimality conditions are satisfied.</t>
        </r>
      </text>
    </comment>
    <comment ref="B162" authorId="0" shapeId="0">
      <text>
        <r>
          <rPr>
            <sz val="9"/>
            <color indexed="81"/>
            <rFont val="Tahoma"/>
            <family val="2"/>
          </rPr>
          <t>Solver found a solution. All constraints and optimality conditions are satisfied.</t>
        </r>
      </text>
    </comment>
    <comment ref="B163" authorId="0" shapeId="0">
      <text>
        <r>
          <rPr>
            <sz val="9"/>
            <color indexed="81"/>
            <rFont val="Tahoma"/>
            <family val="2"/>
          </rPr>
          <t>Solver found a solution. All constraints and optimality conditions are satisfied.</t>
        </r>
      </text>
    </comment>
    <comment ref="B164" authorId="0" shapeId="0">
      <text>
        <r>
          <rPr>
            <sz val="9"/>
            <color indexed="81"/>
            <rFont val="Tahoma"/>
            <family val="2"/>
          </rPr>
          <t>Solver found a solution. All constraints and optimality conditions are satisfied.</t>
        </r>
      </text>
    </comment>
    <comment ref="B165" authorId="0" shapeId="0">
      <text>
        <r>
          <rPr>
            <sz val="9"/>
            <color indexed="81"/>
            <rFont val="Tahoma"/>
            <family val="2"/>
          </rPr>
          <t>Solver found a solution. All constraints and optimality conditions are satisfied.</t>
        </r>
      </text>
    </comment>
    <comment ref="B166" authorId="0" shapeId="0">
      <text>
        <r>
          <rPr>
            <sz val="9"/>
            <color indexed="81"/>
            <rFont val="Tahoma"/>
            <family val="2"/>
          </rPr>
          <t>Solver found a solution. All constraints and optimality conditions are satisfied.</t>
        </r>
      </text>
    </comment>
    <comment ref="B167" authorId="0" shapeId="0">
      <text>
        <r>
          <rPr>
            <sz val="9"/>
            <color indexed="81"/>
            <rFont val="Tahoma"/>
            <family val="2"/>
          </rPr>
          <t>Solver found a solution. All constraints and optimality conditions are satisfied.</t>
        </r>
      </text>
    </comment>
    <comment ref="B168" authorId="0" shapeId="0">
      <text>
        <r>
          <rPr>
            <sz val="9"/>
            <color indexed="81"/>
            <rFont val="Tahoma"/>
            <family val="2"/>
          </rPr>
          <t>Solver found a solution. All constraints and optimality conditions are satisfied.</t>
        </r>
      </text>
    </comment>
    <comment ref="B169" authorId="0" shapeId="0">
      <text>
        <r>
          <rPr>
            <sz val="9"/>
            <color indexed="81"/>
            <rFont val="Tahoma"/>
            <family val="2"/>
          </rPr>
          <t>Solver found a solution. All constraints and optimality conditions are satisfied.</t>
        </r>
      </text>
    </comment>
    <comment ref="B170" authorId="0" shapeId="0">
      <text>
        <r>
          <rPr>
            <sz val="9"/>
            <color indexed="81"/>
            <rFont val="Tahoma"/>
            <family val="2"/>
          </rPr>
          <t>Solver found a solution. All constraints and optimality conditions are satisfied.</t>
        </r>
      </text>
    </comment>
    <comment ref="B171" authorId="0" shapeId="0">
      <text>
        <r>
          <rPr>
            <sz val="9"/>
            <color indexed="81"/>
            <rFont val="Tahoma"/>
            <family val="2"/>
          </rPr>
          <t>Solver found a solution. All constraints and optimality conditions are satisfied.</t>
        </r>
      </text>
    </comment>
    <comment ref="B172" authorId="0" shapeId="0">
      <text>
        <r>
          <rPr>
            <sz val="9"/>
            <color indexed="81"/>
            <rFont val="Tahoma"/>
            <family val="2"/>
          </rPr>
          <t>Solver found a solution. All constraints and optimality conditions are satisfied.</t>
        </r>
      </text>
    </comment>
    <comment ref="B173" authorId="0" shapeId="0">
      <text>
        <r>
          <rPr>
            <sz val="9"/>
            <color indexed="81"/>
            <rFont val="Tahoma"/>
            <family val="2"/>
          </rPr>
          <t>Solver found a solution. All constraints and optimality conditions are satisfied.</t>
        </r>
      </text>
    </comment>
    <comment ref="B174" authorId="0" shapeId="0">
      <text>
        <r>
          <rPr>
            <sz val="9"/>
            <color indexed="81"/>
            <rFont val="Tahoma"/>
            <family val="2"/>
          </rPr>
          <t>Solver found a solution. All constraints and optimality conditions are satisfied.</t>
        </r>
      </text>
    </comment>
    <comment ref="B175" authorId="0" shapeId="0">
      <text>
        <r>
          <rPr>
            <sz val="9"/>
            <color indexed="81"/>
            <rFont val="Tahoma"/>
            <family val="2"/>
          </rPr>
          <t>Solver found a solution. All constraints and optimality conditions are satisfied.</t>
        </r>
      </text>
    </comment>
    <comment ref="B176" authorId="0" shapeId="0">
      <text>
        <r>
          <rPr>
            <sz val="9"/>
            <color indexed="81"/>
            <rFont val="Tahoma"/>
            <family val="2"/>
          </rPr>
          <t>Solver found a solution. All constraints and optimality conditions are satisfied.</t>
        </r>
      </text>
    </comment>
    <comment ref="B177" authorId="0" shapeId="0">
      <text>
        <r>
          <rPr>
            <sz val="9"/>
            <color indexed="81"/>
            <rFont val="Tahoma"/>
            <family val="2"/>
          </rPr>
          <t>Solver found a solution. All constraints and optimality conditions are satisfied.</t>
        </r>
      </text>
    </comment>
    <comment ref="B178" authorId="0" shapeId="0">
      <text>
        <r>
          <rPr>
            <sz val="9"/>
            <color indexed="81"/>
            <rFont val="Tahoma"/>
            <family val="2"/>
          </rPr>
          <t>Solver found a solution. All constraints and optimality conditions are satisfied.</t>
        </r>
      </text>
    </comment>
    <comment ref="B179" authorId="0" shapeId="0">
      <text>
        <r>
          <rPr>
            <sz val="9"/>
            <color indexed="81"/>
            <rFont val="Tahoma"/>
            <family val="2"/>
          </rPr>
          <t>Solver found a solution. All constraints and optimality conditions are satisfied.</t>
        </r>
      </text>
    </comment>
    <comment ref="B180" authorId="0" shapeId="0">
      <text>
        <r>
          <rPr>
            <sz val="9"/>
            <color indexed="81"/>
            <rFont val="Tahoma"/>
            <family val="2"/>
          </rPr>
          <t>Solver found a solution. All constraints and optimality conditions are satisfied.</t>
        </r>
      </text>
    </comment>
    <comment ref="B181" authorId="0" shapeId="0">
      <text>
        <r>
          <rPr>
            <sz val="9"/>
            <color indexed="81"/>
            <rFont val="Tahoma"/>
            <family val="2"/>
          </rPr>
          <t>Solver found a solution. All constraints and optimality conditions are satisfied.</t>
        </r>
      </text>
    </comment>
    <comment ref="B182" authorId="0" shapeId="0">
      <text>
        <r>
          <rPr>
            <sz val="9"/>
            <color indexed="81"/>
            <rFont val="Tahoma"/>
            <family val="2"/>
          </rPr>
          <t>Solver found a solution. All constraints and optimality conditions are satisfied.</t>
        </r>
      </text>
    </comment>
    <comment ref="B183" authorId="0" shapeId="0">
      <text>
        <r>
          <rPr>
            <sz val="9"/>
            <color indexed="81"/>
            <rFont val="Tahoma"/>
            <family val="2"/>
          </rPr>
          <t>Solver found a solution. All constraints and optimality conditions are satisfied.</t>
        </r>
      </text>
    </comment>
    <comment ref="B184" authorId="0" shapeId="0">
      <text>
        <r>
          <rPr>
            <sz val="9"/>
            <color indexed="81"/>
            <rFont val="Tahoma"/>
            <family val="2"/>
          </rPr>
          <t>Solver found a solution. All constraints and optimality conditions are satisfied.</t>
        </r>
      </text>
    </comment>
    <comment ref="B185" authorId="0" shapeId="0">
      <text>
        <r>
          <rPr>
            <sz val="9"/>
            <color indexed="81"/>
            <rFont val="Tahoma"/>
            <family val="2"/>
          </rPr>
          <t>Solver found a solution. All constraints and optimality conditions are satisfied.</t>
        </r>
      </text>
    </comment>
    <comment ref="B186" authorId="0" shapeId="0">
      <text>
        <r>
          <rPr>
            <sz val="9"/>
            <color indexed="81"/>
            <rFont val="Tahoma"/>
            <family val="2"/>
          </rPr>
          <t>Solver found a solution. All constraints and optimality conditions are satisfied.</t>
        </r>
      </text>
    </comment>
    <comment ref="B187" authorId="0" shapeId="0">
      <text>
        <r>
          <rPr>
            <sz val="9"/>
            <color indexed="81"/>
            <rFont val="Tahoma"/>
            <family val="2"/>
          </rPr>
          <t>Solver found a solution. All constraints and optimality conditions are satisfied.</t>
        </r>
      </text>
    </comment>
    <comment ref="B188" authorId="0" shapeId="0">
      <text>
        <r>
          <rPr>
            <sz val="9"/>
            <color indexed="81"/>
            <rFont val="Tahoma"/>
            <family val="2"/>
          </rPr>
          <t>Solver found a solution. All constraints and optimality conditions are satisfied.</t>
        </r>
      </text>
    </comment>
    <comment ref="B189" authorId="0" shapeId="0">
      <text>
        <r>
          <rPr>
            <sz val="9"/>
            <color indexed="81"/>
            <rFont val="Tahoma"/>
            <family val="2"/>
          </rPr>
          <t>Solver found a solution. All constraints and optimality conditions are satisfied.</t>
        </r>
      </text>
    </comment>
    <comment ref="B190" authorId="0" shapeId="0">
      <text>
        <r>
          <rPr>
            <sz val="9"/>
            <color indexed="81"/>
            <rFont val="Tahoma"/>
            <family val="2"/>
          </rPr>
          <t>Solver found a solution. All constraints and optimality conditions are satisfied.</t>
        </r>
      </text>
    </comment>
    <comment ref="B191" authorId="0" shapeId="0">
      <text>
        <r>
          <rPr>
            <sz val="9"/>
            <color indexed="81"/>
            <rFont val="Tahoma"/>
            <family val="2"/>
          </rPr>
          <t>Solver found a solution. All constraints and optimality conditions are satisfied.</t>
        </r>
      </text>
    </comment>
    <comment ref="B192" authorId="0" shapeId="0">
      <text>
        <r>
          <rPr>
            <sz val="9"/>
            <color indexed="81"/>
            <rFont val="Tahoma"/>
            <family val="2"/>
          </rPr>
          <t>Solver found a solution. All constraints and optimality conditions are satisfied.</t>
        </r>
      </text>
    </comment>
    <comment ref="B193" authorId="0" shapeId="0">
      <text>
        <r>
          <rPr>
            <sz val="9"/>
            <color indexed="81"/>
            <rFont val="Tahoma"/>
            <family val="2"/>
          </rPr>
          <t>Solver found a solution. All constraints and optimality conditions are satisfied.</t>
        </r>
      </text>
    </comment>
    <comment ref="B194" authorId="0" shapeId="0">
      <text>
        <r>
          <rPr>
            <sz val="9"/>
            <color indexed="81"/>
            <rFont val="Tahoma"/>
            <family val="2"/>
          </rPr>
          <t>Solver found a solution. All constraints and optimality conditions are satisfied.</t>
        </r>
      </text>
    </comment>
    <comment ref="B195" authorId="0" shapeId="0">
      <text>
        <r>
          <rPr>
            <sz val="9"/>
            <color indexed="81"/>
            <rFont val="Tahoma"/>
            <family val="2"/>
          </rPr>
          <t>Solver found a solution. All constraints and optimality conditions are satisfied.</t>
        </r>
      </text>
    </comment>
    <comment ref="B196" authorId="0" shapeId="0">
      <text>
        <r>
          <rPr>
            <sz val="9"/>
            <color indexed="81"/>
            <rFont val="Tahoma"/>
            <family val="2"/>
          </rPr>
          <t>Solver found a solution. All constraints and optimality conditions are satisfied.</t>
        </r>
      </text>
    </comment>
    <comment ref="B197" authorId="0" shapeId="0">
      <text>
        <r>
          <rPr>
            <sz val="9"/>
            <color indexed="81"/>
            <rFont val="Tahoma"/>
            <family val="2"/>
          </rPr>
          <t>Solver found a solution. All constraints and optimality conditions are satisfied.</t>
        </r>
      </text>
    </comment>
    <comment ref="B198" authorId="0" shapeId="0">
      <text>
        <r>
          <rPr>
            <sz val="9"/>
            <color indexed="81"/>
            <rFont val="Tahoma"/>
            <family val="2"/>
          </rPr>
          <t>Solver found a solution. All constraints and optimality conditions are satisfied.</t>
        </r>
      </text>
    </comment>
    <comment ref="B199" authorId="0" shapeId="0">
      <text>
        <r>
          <rPr>
            <sz val="9"/>
            <color indexed="81"/>
            <rFont val="Tahoma"/>
            <family val="2"/>
          </rPr>
          <t>Solver found a solution. All constraints and optimality conditions are satisfied.</t>
        </r>
      </text>
    </comment>
    <comment ref="B200" authorId="0" shapeId="0">
      <text>
        <r>
          <rPr>
            <sz val="9"/>
            <color indexed="81"/>
            <rFont val="Tahoma"/>
            <family val="2"/>
          </rPr>
          <t>Solver found a solution. All constraints and optimality conditions are satisfied.</t>
        </r>
      </text>
    </comment>
    <comment ref="B201" authorId="0" shapeId="0">
      <text>
        <r>
          <rPr>
            <sz val="9"/>
            <color indexed="81"/>
            <rFont val="Tahoma"/>
            <family val="2"/>
          </rPr>
          <t>Solver found a solution. All constraints and optimality conditions are satisfied.</t>
        </r>
      </text>
    </comment>
    <comment ref="B202" authorId="0" shapeId="0">
      <text>
        <r>
          <rPr>
            <sz val="9"/>
            <color indexed="81"/>
            <rFont val="Tahoma"/>
            <family val="2"/>
          </rPr>
          <t>Solver found a solution. All constraints and optimality conditions are satisfied.</t>
        </r>
      </text>
    </comment>
    <comment ref="B203" authorId="0" shapeId="0">
      <text>
        <r>
          <rPr>
            <sz val="9"/>
            <color indexed="81"/>
            <rFont val="Tahoma"/>
            <family val="2"/>
          </rPr>
          <t>Solver found a solution. All constraints and optimality conditions are satisfied.</t>
        </r>
      </text>
    </comment>
    <comment ref="B204" authorId="0" shapeId="0">
      <text>
        <r>
          <rPr>
            <sz val="9"/>
            <color indexed="81"/>
            <rFont val="Tahoma"/>
            <family val="2"/>
          </rPr>
          <t>Solver found a solution. All constraints and optimality conditions are satisfied.</t>
        </r>
      </text>
    </comment>
    <comment ref="B205" authorId="0" shapeId="0">
      <text>
        <r>
          <rPr>
            <sz val="9"/>
            <color indexed="81"/>
            <rFont val="Tahoma"/>
            <family val="2"/>
          </rPr>
          <t>Solver found a solution. All constraints and optimality conditions are satisfied.</t>
        </r>
      </text>
    </comment>
    <comment ref="B206" authorId="0" shapeId="0">
      <text>
        <r>
          <rPr>
            <sz val="9"/>
            <color indexed="81"/>
            <rFont val="Tahoma"/>
            <family val="2"/>
          </rPr>
          <t>Solver found a solution. All constraints and optimality conditions are satisfied.</t>
        </r>
      </text>
    </comment>
    <comment ref="B207" authorId="0" shapeId="0">
      <text>
        <r>
          <rPr>
            <sz val="9"/>
            <color indexed="81"/>
            <rFont val="Tahoma"/>
            <family val="2"/>
          </rPr>
          <t>Solver found a solution. All constraints and optimality conditions are satisfied.</t>
        </r>
      </text>
    </comment>
    <comment ref="B208" authorId="0" shapeId="0">
      <text>
        <r>
          <rPr>
            <sz val="9"/>
            <color indexed="81"/>
            <rFont val="Tahoma"/>
            <family val="2"/>
          </rPr>
          <t>Solver found a solution. All constraints and optimality conditions are satisfied.</t>
        </r>
      </text>
    </comment>
    <comment ref="B209" authorId="0" shapeId="0">
      <text>
        <r>
          <rPr>
            <sz val="9"/>
            <color indexed="81"/>
            <rFont val="Tahoma"/>
            <family val="2"/>
          </rPr>
          <t>Solver found a solution. All constraints and optimality conditions are satisfied.</t>
        </r>
      </text>
    </comment>
    <comment ref="B210" authorId="0" shapeId="0">
      <text>
        <r>
          <rPr>
            <sz val="9"/>
            <color indexed="81"/>
            <rFont val="Tahoma"/>
            <family val="2"/>
          </rPr>
          <t>Solver found a solution. All constraints and optimality conditions are satisfied.</t>
        </r>
      </text>
    </comment>
    <comment ref="B211" authorId="0" shapeId="0">
      <text>
        <r>
          <rPr>
            <sz val="9"/>
            <color indexed="81"/>
            <rFont val="Tahoma"/>
            <family val="2"/>
          </rPr>
          <t>Solver found a solution. All constraints and optimality conditions are satisfied.</t>
        </r>
      </text>
    </comment>
    <comment ref="B212" authorId="0" shapeId="0">
      <text>
        <r>
          <rPr>
            <sz val="9"/>
            <color indexed="81"/>
            <rFont val="Tahoma"/>
            <family val="2"/>
          </rPr>
          <t>Solver found a solution. All constraints and optimality conditions are satisfied.</t>
        </r>
      </text>
    </comment>
    <comment ref="B213" authorId="0" shapeId="0">
      <text>
        <r>
          <rPr>
            <sz val="9"/>
            <color indexed="81"/>
            <rFont val="Tahoma"/>
            <family val="2"/>
          </rPr>
          <t>Solver found a solution. All constraints and optimality conditions are satisfied.</t>
        </r>
      </text>
    </comment>
    <comment ref="B214" authorId="0" shapeId="0">
      <text>
        <r>
          <rPr>
            <sz val="9"/>
            <color indexed="81"/>
            <rFont val="Tahoma"/>
            <family val="2"/>
          </rPr>
          <t>Solver found a solution. All constraints and optimality conditions are satisfied.</t>
        </r>
      </text>
    </comment>
    <comment ref="B215" authorId="0" shapeId="0">
      <text>
        <r>
          <rPr>
            <sz val="9"/>
            <color indexed="81"/>
            <rFont val="Tahoma"/>
            <family val="2"/>
          </rPr>
          <t>Solver found a solution. All constraints and optimality conditions are satisfied.</t>
        </r>
      </text>
    </comment>
    <comment ref="B216" authorId="0" shapeId="0">
      <text>
        <r>
          <rPr>
            <sz val="9"/>
            <color indexed="81"/>
            <rFont val="Tahoma"/>
            <family val="2"/>
          </rPr>
          <t>Solver found a solution. All constraints and optimality conditions are satisfied.</t>
        </r>
      </text>
    </comment>
    <comment ref="B217" authorId="0" shapeId="0">
      <text>
        <r>
          <rPr>
            <sz val="9"/>
            <color indexed="81"/>
            <rFont val="Tahoma"/>
            <family val="2"/>
          </rPr>
          <t>Solver found a solution. All constraints and optimality conditions are satisfied.</t>
        </r>
      </text>
    </comment>
    <comment ref="B218" authorId="0" shapeId="0">
      <text>
        <r>
          <rPr>
            <sz val="9"/>
            <color indexed="81"/>
            <rFont val="Tahoma"/>
            <family val="2"/>
          </rPr>
          <t>Solver found a solution. All constraints and optimality conditions are satisfied.</t>
        </r>
      </text>
    </comment>
    <comment ref="B219" authorId="0" shapeId="0">
      <text>
        <r>
          <rPr>
            <sz val="9"/>
            <color indexed="81"/>
            <rFont val="Tahoma"/>
            <family val="2"/>
          </rPr>
          <t>Solver found a solution. All constraints and optimality conditions are satisfied.</t>
        </r>
      </text>
    </comment>
    <comment ref="B220" authorId="0" shapeId="0">
      <text>
        <r>
          <rPr>
            <sz val="9"/>
            <color indexed="81"/>
            <rFont val="Tahoma"/>
            <family val="2"/>
          </rPr>
          <t>Solver found a solution. All constraints and optimality conditions are satisfied.</t>
        </r>
      </text>
    </comment>
    <comment ref="B221" authorId="0" shapeId="0">
      <text>
        <r>
          <rPr>
            <sz val="9"/>
            <color indexed="81"/>
            <rFont val="Tahoma"/>
            <family val="2"/>
          </rPr>
          <t>Solver found a solution. All constraints and optimality conditions are satisfied.</t>
        </r>
      </text>
    </comment>
    <comment ref="B222" authorId="0" shapeId="0">
      <text>
        <r>
          <rPr>
            <sz val="9"/>
            <color indexed="81"/>
            <rFont val="Tahoma"/>
            <family val="2"/>
          </rPr>
          <t>Solver found a solution. All constraints and optimality conditions are satisfied.</t>
        </r>
      </text>
    </comment>
    <comment ref="B223" authorId="0" shapeId="0">
      <text>
        <r>
          <rPr>
            <sz val="9"/>
            <color indexed="81"/>
            <rFont val="Tahoma"/>
            <family val="2"/>
          </rPr>
          <t>Solver found a solution. All constraints and optimality conditions are satisfied.</t>
        </r>
      </text>
    </comment>
    <comment ref="B224" authorId="0" shapeId="0">
      <text>
        <r>
          <rPr>
            <sz val="9"/>
            <color indexed="81"/>
            <rFont val="Tahoma"/>
            <family val="2"/>
          </rPr>
          <t>Solver found a solution. All constraints and optimality conditions are satisfied.</t>
        </r>
      </text>
    </comment>
    <comment ref="B225" authorId="0" shapeId="0">
      <text>
        <r>
          <rPr>
            <sz val="9"/>
            <color indexed="81"/>
            <rFont val="Tahoma"/>
            <family val="2"/>
          </rPr>
          <t>Solver found a solution. All constraints and optimality conditions are satisfied.</t>
        </r>
      </text>
    </comment>
    <comment ref="B226" authorId="0" shapeId="0">
      <text>
        <r>
          <rPr>
            <sz val="9"/>
            <color indexed="81"/>
            <rFont val="Tahoma"/>
            <family val="2"/>
          </rPr>
          <t>Solver found a solution. All constraints and optimality conditions are satisfied.</t>
        </r>
      </text>
    </comment>
    <comment ref="B227" authorId="0" shapeId="0">
      <text>
        <r>
          <rPr>
            <sz val="9"/>
            <color indexed="81"/>
            <rFont val="Tahoma"/>
            <family val="2"/>
          </rPr>
          <t>Solver found a solution. All constraints and optimality conditions are satisfied.</t>
        </r>
      </text>
    </comment>
    <comment ref="B228" authorId="0" shapeId="0">
      <text>
        <r>
          <rPr>
            <sz val="9"/>
            <color indexed="81"/>
            <rFont val="Tahoma"/>
            <family val="2"/>
          </rPr>
          <t>Solver found a solution. All constraints and optimality conditions are satisfied.</t>
        </r>
      </text>
    </comment>
    <comment ref="B229" authorId="0" shapeId="0">
      <text>
        <r>
          <rPr>
            <sz val="9"/>
            <color indexed="81"/>
            <rFont val="Tahoma"/>
            <family val="2"/>
          </rPr>
          <t>Solver found a solution. All constraints and optimality conditions are satisfied.</t>
        </r>
      </text>
    </comment>
    <comment ref="B230" authorId="0" shapeId="0">
      <text>
        <r>
          <rPr>
            <sz val="9"/>
            <color indexed="81"/>
            <rFont val="Tahoma"/>
            <family val="2"/>
          </rPr>
          <t>Solver found a solution. All constraints and optimality conditions are satisfied.</t>
        </r>
      </text>
    </comment>
    <comment ref="B231" authorId="0" shapeId="0">
      <text>
        <r>
          <rPr>
            <sz val="9"/>
            <color indexed="81"/>
            <rFont val="Tahoma"/>
            <family val="2"/>
          </rPr>
          <t>Solver found a solution. All constraints and optimality conditions are satisfied.</t>
        </r>
      </text>
    </comment>
    <comment ref="B232" authorId="0" shapeId="0">
      <text>
        <r>
          <rPr>
            <sz val="9"/>
            <color indexed="81"/>
            <rFont val="Tahoma"/>
            <family val="2"/>
          </rPr>
          <t>Solver found a solution. All constraints and optimality conditions are satisfied.</t>
        </r>
      </text>
    </comment>
    <comment ref="B233" authorId="0" shapeId="0">
      <text>
        <r>
          <rPr>
            <sz val="9"/>
            <color indexed="81"/>
            <rFont val="Tahoma"/>
            <family val="2"/>
          </rPr>
          <t>Solver found a solution. All constraints and optimality conditions are satisfied.</t>
        </r>
      </text>
    </comment>
    <comment ref="B234" authorId="0" shapeId="0">
      <text>
        <r>
          <rPr>
            <sz val="9"/>
            <color indexed="81"/>
            <rFont val="Tahoma"/>
            <family val="2"/>
          </rPr>
          <t>Solver found a solution. All constraints and optimality conditions are satisfied.</t>
        </r>
      </text>
    </comment>
    <comment ref="B235" authorId="0" shapeId="0">
      <text>
        <r>
          <rPr>
            <sz val="9"/>
            <color indexed="81"/>
            <rFont val="Tahoma"/>
            <family val="2"/>
          </rPr>
          <t>Solver found a solution. All constraints and optimality conditions are satisfied.</t>
        </r>
      </text>
    </comment>
    <comment ref="B236" authorId="0" shapeId="0">
      <text>
        <r>
          <rPr>
            <sz val="9"/>
            <color indexed="81"/>
            <rFont val="Tahoma"/>
            <family val="2"/>
          </rPr>
          <t>Solver found a solution. All constraints and optimality conditions are satisfied.</t>
        </r>
      </text>
    </comment>
    <comment ref="B237" authorId="0" shapeId="0">
      <text>
        <r>
          <rPr>
            <sz val="9"/>
            <color indexed="81"/>
            <rFont val="Tahoma"/>
            <family val="2"/>
          </rPr>
          <t>Solver found a solution. All constraints and optimality conditions are satisfied.</t>
        </r>
      </text>
    </comment>
    <comment ref="B238" authorId="0" shapeId="0">
      <text>
        <r>
          <rPr>
            <sz val="9"/>
            <color indexed="81"/>
            <rFont val="Tahoma"/>
            <family val="2"/>
          </rPr>
          <t>Solver found a solution. All constraints and optimality conditions are satisfied.</t>
        </r>
      </text>
    </comment>
    <comment ref="B239" authorId="0" shapeId="0">
      <text>
        <r>
          <rPr>
            <sz val="9"/>
            <color indexed="81"/>
            <rFont val="Tahoma"/>
            <family val="2"/>
          </rPr>
          <t>Solver found a solution. All constraints and optimality conditions are satisfied.</t>
        </r>
      </text>
    </comment>
    <comment ref="B240" authorId="0" shapeId="0">
      <text>
        <r>
          <rPr>
            <sz val="9"/>
            <color indexed="81"/>
            <rFont val="Tahoma"/>
            <family val="2"/>
          </rPr>
          <t>Solver found a solution. All constraints and optimality conditions are satisfied.</t>
        </r>
      </text>
    </comment>
    <comment ref="B241" authorId="0" shapeId="0">
      <text>
        <r>
          <rPr>
            <sz val="9"/>
            <color indexed="81"/>
            <rFont val="Tahoma"/>
            <family val="2"/>
          </rPr>
          <t>Solver found a solution. All constraints and optimality conditions are satisfied.</t>
        </r>
      </text>
    </comment>
    <comment ref="B242" authorId="0" shapeId="0">
      <text>
        <r>
          <rPr>
            <sz val="9"/>
            <color indexed="81"/>
            <rFont val="Tahoma"/>
            <family val="2"/>
          </rPr>
          <t>Solver found a solution. All constraints and optimality conditions are satisfied.</t>
        </r>
      </text>
    </comment>
    <comment ref="B243" authorId="0" shapeId="0">
      <text>
        <r>
          <rPr>
            <sz val="9"/>
            <color indexed="81"/>
            <rFont val="Tahoma"/>
            <family val="2"/>
          </rPr>
          <t>Solver found a solution. All constraints and optimality conditions are satisfied.</t>
        </r>
      </text>
    </comment>
    <comment ref="B244" authorId="0" shapeId="0">
      <text>
        <r>
          <rPr>
            <sz val="9"/>
            <color indexed="81"/>
            <rFont val="Tahoma"/>
            <family val="2"/>
          </rPr>
          <t>Solver found a solution. All constraints and optimality conditions are satisfied.</t>
        </r>
      </text>
    </comment>
    <comment ref="B245" authorId="0" shapeId="0">
      <text>
        <r>
          <rPr>
            <sz val="9"/>
            <color indexed="81"/>
            <rFont val="Tahoma"/>
            <family val="2"/>
          </rPr>
          <t>Solver found a solution. All constraints and optimality conditions are satisfied.</t>
        </r>
      </text>
    </comment>
    <comment ref="B246" authorId="0" shapeId="0">
      <text>
        <r>
          <rPr>
            <sz val="9"/>
            <color indexed="81"/>
            <rFont val="Tahoma"/>
            <family val="2"/>
          </rPr>
          <t>Solver found a solution. All constraints and optimality conditions are satisfied.</t>
        </r>
      </text>
    </comment>
    <comment ref="B247" authorId="0" shapeId="0">
      <text>
        <r>
          <rPr>
            <sz val="9"/>
            <color indexed="81"/>
            <rFont val="Tahoma"/>
            <family val="2"/>
          </rPr>
          <t>Solver found a solution. All constraints and optimality conditions are satisfied.</t>
        </r>
      </text>
    </comment>
    <comment ref="B248" authorId="0" shapeId="0">
      <text>
        <r>
          <rPr>
            <sz val="9"/>
            <color indexed="81"/>
            <rFont val="Tahoma"/>
            <family val="2"/>
          </rPr>
          <t>Solver found a solution. All constraints and optimality conditions are satisfied.</t>
        </r>
      </text>
    </comment>
    <comment ref="B249" authorId="0" shapeId="0">
      <text>
        <r>
          <rPr>
            <sz val="9"/>
            <color indexed="81"/>
            <rFont val="Tahoma"/>
            <family val="2"/>
          </rPr>
          <t>Solver found a solution. All constraints and optimality conditions are satisfied.</t>
        </r>
      </text>
    </comment>
    <comment ref="B250" authorId="0" shapeId="0">
      <text>
        <r>
          <rPr>
            <sz val="9"/>
            <color indexed="81"/>
            <rFont val="Tahoma"/>
            <family val="2"/>
          </rPr>
          <t>Solver found a solution. All constraints and optimality conditions are satisfied.</t>
        </r>
      </text>
    </comment>
    <comment ref="B251" authorId="0" shapeId="0">
      <text>
        <r>
          <rPr>
            <sz val="9"/>
            <color indexed="81"/>
            <rFont val="Tahoma"/>
            <family val="2"/>
          </rPr>
          <t>Solver found a solution. All constraints and optimality conditions are satisfied.</t>
        </r>
      </text>
    </comment>
    <comment ref="B252" authorId="0" shapeId="0">
      <text>
        <r>
          <rPr>
            <sz val="9"/>
            <color indexed="81"/>
            <rFont val="Tahoma"/>
            <family val="2"/>
          </rPr>
          <t>Solver found a solution. All constraints and optimality conditions are satisfied.</t>
        </r>
      </text>
    </comment>
    <comment ref="B253" authorId="0" shapeId="0">
      <text>
        <r>
          <rPr>
            <sz val="9"/>
            <color indexed="81"/>
            <rFont val="Tahoma"/>
            <family val="2"/>
          </rPr>
          <t>Solver found a solution. All constraints and optimality conditions are satisfied.</t>
        </r>
      </text>
    </comment>
    <comment ref="B254" authorId="0" shapeId="0">
      <text>
        <r>
          <rPr>
            <sz val="9"/>
            <color indexed="81"/>
            <rFont val="Tahoma"/>
            <family val="2"/>
          </rPr>
          <t>Solver found a solution. All constraints and optimality conditions are satisfied.</t>
        </r>
      </text>
    </comment>
    <comment ref="B255" authorId="0" shapeId="0">
      <text>
        <r>
          <rPr>
            <sz val="9"/>
            <color indexed="81"/>
            <rFont val="Tahoma"/>
            <family val="2"/>
          </rPr>
          <t>Solver found a solution. All constraints and optimality conditions are satisfied.</t>
        </r>
      </text>
    </comment>
    <comment ref="B256" authorId="0" shapeId="0">
      <text>
        <r>
          <rPr>
            <sz val="9"/>
            <color indexed="81"/>
            <rFont val="Tahoma"/>
            <family val="2"/>
          </rPr>
          <t>Solver found a solution. All constraints and optimality conditions are satisfied.</t>
        </r>
      </text>
    </comment>
    <comment ref="B257" authorId="0" shapeId="0">
      <text>
        <r>
          <rPr>
            <sz val="9"/>
            <color indexed="81"/>
            <rFont val="Tahoma"/>
            <family val="2"/>
          </rPr>
          <t>Solver found a solution. All constraints and optimality conditions are satisfied.</t>
        </r>
      </text>
    </comment>
    <comment ref="B258" authorId="0" shapeId="0">
      <text>
        <r>
          <rPr>
            <sz val="9"/>
            <color indexed="81"/>
            <rFont val="Tahoma"/>
            <family val="2"/>
          </rPr>
          <t>Solver found a solution. All constraints and optimality conditions are satisfied.</t>
        </r>
      </text>
    </comment>
    <comment ref="B259" authorId="0" shapeId="0">
      <text>
        <r>
          <rPr>
            <sz val="9"/>
            <color indexed="81"/>
            <rFont val="Tahoma"/>
            <family val="2"/>
          </rPr>
          <t>Solver found a solution. All constraints and optimality conditions are satisfied.</t>
        </r>
      </text>
    </comment>
    <comment ref="B260" authorId="0" shapeId="0">
      <text>
        <r>
          <rPr>
            <sz val="9"/>
            <color indexed="81"/>
            <rFont val="Tahoma"/>
            <family val="2"/>
          </rPr>
          <t>Solver found a solution. All constraints and optimality conditions are satisfied.</t>
        </r>
      </text>
    </comment>
    <comment ref="B261" authorId="0" shapeId="0">
      <text>
        <r>
          <rPr>
            <sz val="9"/>
            <color indexed="81"/>
            <rFont val="Tahoma"/>
            <family val="2"/>
          </rPr>
          <t>Solver found a solution. All constraints and optimality conditions are satisfied.</t>
        </r>
      </text>
    </comment>
    <comment ref="B262" authorId="0" shapeId="0">
      <text>
        <r>
          <rPr>
            <sz val="9"/>
            <color indexed="81"/>
            <rFont val="Tahoma"/>
            <family val="2"/>
          </rPr>
          <t>Solver found a solution. All constraints and optimality conditions are satisfied.</t>
        </r>
      </text>
    </comment>
    <comment ref="B263" authorId="0" shapeId="0">
      <text>
        <r>
          <rPr>
            <sz val="9"/>
            <color indexed="81"/>
            <rFont val="Tahoma"/>
            <family val="2"/>
          </rPr>
          <t>Solver found a solution. All constraints and optimality conditions are satisfied.</t>
        </r>
      </text>
    </comment>
    <comment ref="B264" authorId="0" shapeId="0">
      <text>
        <r>
          <rPr>
            <sz val="9"/>
            <color indexed="81"/>
            <rFont val="Tahoma"/>
            <family val="2"/>
          </rPr>
          <t>Solver found a solution. All constraints and optimality conditions are satisfied.</t>
        </r>
      </text>
    </comment>
    <comment ref="B265" authorId="0" shapeId="0">
      <text>
        <r>
          <rPr>
            <sz val="9"/>
            <color indexed="81"/>
            <rFont val="Tahoma"/>
            <family val="2"/>
          </rPr>
          <t>Solver found a solution. All constraints and optimality conditions are satisfied.</t>
        </r>
      </text>
    </comment>
    <comment ref="B266" authorId="0" shapeId="0">
      <text>
        <r>
          <rPr>
            <sz val="9"/>
            <color indexed="81"/>
            <rFont val="Tahoma"/>
            <family val="2"/>
          </rPr>
          <t>Solver found a solution. All constraints and optimality conditions are satisfied.</t>
        </r>
      </text>
    </comment>
    <comment ref="B267" authorId="0" shapeId="0">
      <text>
        <r>
          <rPr>
            <sz val="9"/>
            <color indexed="81"/>
            <rFont val="Tahoma"/>
            <family val="2"/>
          </rPr>
          <t>Solver found a solution. All constraints and optimality conditions are satisfied.</t>
        </r>
      </text>
    </comment>
    <comment ref="B268" authorId="0" shapeId="0">
      <text>
        <r>
          <rPr>
            <sz val="9"/>
            <color indexed="81"/>
            <rFont val="Tahoma"/>
            <family val="2"/>
          </rPr>
          <t>Solver found a solution. All constraints and optimality conditions are satisfied.</t>
        </r>
      </text>
    </comment>
    <comment ref="B269" authorId="0" shapeId="0">
      <text>
        <r>
          <rPr>
            <sz val="9"/>
            <color indexed="81"/>
            <rFont val="Tahoma"/>
            <family val="2"/>
          </rPr>
          <t>Solver found a solution. All constraints and optimality conditions are satisfied.</t>
        </r>
      </text>
    </comment>
    <comment ref="B270" authorId="0" shapeId="0">
      <text>
        <r>
          <rPr>
            <sz val="9"/>
            <color indexed="81"/>
            <rFont val="Tahoma"/>
            <family val="2"/>
          </rPr>
          <t>Solver found a solution. All constraints and optimality conditions are satisfied.</t>
        </r>
      </text>
    </comment>
    <comment ref="B271" authorId="0" shapeId="0">
      <text>
        <r>
          <rPr>
            <sz val="9"/>
            <color indexed="81"/>
            <rFont val="Tahoma"/>
            <family val="2"/>
          </rPr>
          <t>Solver found a solution. All constraints and optimality conditions are satisfied.</t>
        </r>
      </text>
    </comment>
    <comment ref="B272" authorId="0" shapeId="0">
      <text>
        <r>
          <rPr>
            <sz val="9"/>
            <color indexed="81"/>
            <rFont val="Tahoma"/>
            <family val="2"/>
          </rPr>
          <t>Solver found a solution. All constraints and optimality conditions are satisfied.</t>
        </r>
      </text>
    </comment>
    <comment ref="B273" authorId="0" shapeId="0">
      <text>
        <r>
          <rPr>
            <sz val="9"/>
            <color indexed="81"/>
            <rFont val="Tahoma"/>
            <family val="2"/>
          </rPr>
          <t>Solver found a solution. All constraints and optimality conditions are satisfied.</t>
        </r>
      </text>
    </comment>
    <comment ref="B274" authorId="0" shapeId="0">
      <text>
        <r>
          <rPr>
            <sz val="9"/>
            <color indexed="81"/>
            <rFont val="Tahoma"/>
            <family val="2"/>
          </rPr>
          <t>Solver found a solution. All constraints and optimality conditions are satisfied.</t>
        </r>
      </text>
    </comment>
    <comment ref="B275" authorId="0" shapeId="0">
      <text>
        <r>
          <rPr>
            <sz val="9"/>
            <color indexed="81"/>
            <rFont val="Tahoma"/>
            <family val="2"/>
          </rPr>
          <t>Solver found a solution. All constraints and optimality conditions are satisfied.</t>
        </r>
      </text>
    </comment>
    <comment ref="B276" authorId="0" shapeId="0">
      <text>
        <r>
          <rPr>
            <sz val="9"/>
            <color indexed="81"/>
            <rFont val="Tahoma"/>
            <family val="2"/>
          </rPr>
          <t>Solver found a solution. All constraints and optimality conditions are satisfied.</t>
        </r>
      </text>
    </comment>
    <comment ref="B277" authorId="0" shapeId="0">
      <text>
        <r>
          <rPr>
            <sz val="9"/>
            <color indexed="81"/>
            <rFont val="Tahoma"/>
            <family val="2"/>
          </rPr>
          <t>Solver found a solution. All constraints and optimality conditions are satisfied.</t>
        </r>
      </text>
    </comment>
    <comment ref="B278" authorId="0" shapeId="0">
      <text>
        <r>
          <rPr>
            <sz val="9"/>
            <color indexed="81"/>
            <rFont val="Tahoma"/>
            <family val="2"/>
          </rPr>
          <t>Solver found a solution. All constraints and optimality conditions are satisfied.</t>
        </r>
      </text>
    </comment>
    <comment ref="B279" authorId="0" shapeId="0">
      <text>
        <r>
          <rPr>
            <sz val="9"/>
            <color indexed="81"/>
            <rFont val="Tahoma"/>
            <family val="2"/>
          </rPr>
          <t>Solver found a solution. All constraints and optimality conditions are satisfied.</t>
        </r>
      </text>
    </comment>
    <comment ref="B280" authorId="0" shapeId="0">
      <text>
        <r>
          <rPr>
            <sz val="9"/>
            <color indexed="81"/>
            <rFont val="Tahoma"/>
            <family val="2"/>
          </rPr>
          <t>Solver found a solution. All constraints and optimality conditions are satisfied.</t>
        </r>
      </text>
    </comment>
    <comment ref="B281" authorId="0" shapeId="0">
      <text>
        <r>
          <rPr>
            <sz val="9"/>
            <color indexed="81"/>
            <rFont val="Tahoma"/>
            <family val="2"/>
          </rPr>
          <t>Solver found a solution. All constraints and optimality conditions are satisfied.</t>
        </r>
      </text>
    </comment>
    <comment ref="B282" authorId="0" shapeId="0">
      <text>
        <r>
          <rPr>
            <sz val="9"/>
            <color indexed="81"/>
            <rFont val="Tahoma"/>
            <family val="2"/>
          </rPr>
          <t>Solver found a solution. All constraints and optimality conditions are satisfied.</t>
        </r>
      </text>
    </comment>
    <comment ref="B283" authorId="0" shapeId="0">
      <text>
        <r>
          <rPr>
            <sz val="9"/>
            <color indexed="81"/>
            <rFont val="Tahoma"/>
            <family val="2"/>
          </rPr>
          <t>Solver found a solution. All constraints and optimality conditions are satisfied.</t>
        </r>
      </text>
    </comment>
    <comment ref="B284" authorId="0" shapeId="0">
      <text>
        <r>
          <rPr>
            <sz val="9"/>
            <color indexed="81"/>
            <rFont val="Tahoma"/>
            <family val="2"/>
          </rPr>
          <t>Solver found a solution. All constraints and optimality conditions are satisfied.</t>
        </r>
      </text>
    </comment>
    <comment ref="B285" authorId="0" shapeId="0">
      <text>
        <r>
          <rPr>
            <sz val="9"/>
            <color indexed="81"/>
            <rFont val="Tahoma"/>
            <family val="2"/>
          </rPr>
          <t>Solver found a solution. All constraints and optimality conditions are satisfied.</t>
        </r>
      </text>
    </comment>
    <comment ref="B286" authorId="0" shapeId="0">
      <text>
        <r>
          <rPr>
            <sz val="9"/>
            <color indexed="81"/>
            <rFont val="Tahoma"/>
            <family val="2"/>
          </rPr>
          <t>Solver found a solution. All constraints and optimality conditions are satisfied.</t>
        </r>
      </text>
    </comment>
    <comment ref="B287" authorId="0" shapeId="0">
      <text>
        <r>
          <rPr>
            <sz val="9"/>
            <color indexed="81"/>
            <rFont val="Tahoma"/>
            <family val="2"/>
          </rPr>
          <t>Solver found a solution. All constraints and optimality conditions are satisfied.</t>
        </r>
      </text>
    </comment>
    <comment ref="B288" authorId="0" shapeId="0">
      <text>
        <r>
          <rPr>
            <sz val="9"/>
            <color indexed="81"/>
            <rFont val="Tahoma"/>
            <family val="2"/>
          </rPr>
          <t>Solver found a solution. All constraints and optimality conditions are satisfied.</t>
        </r>
      </text>
    </comment>
    <comment ref="B289" authorId="0" shapeId="0">
      <text>
        <r>
          <rPr>
            <sz val="9"/>
            <color indexed="81"/>
            <rFont val="Tahoma"/>
            <family val="2"/>
          </rPr>
          <t>Solver found a solution. All constraints and optimality conditions are satisfied.</t>
        </r>
      </text>
    </comment>
    <comment ref="B290" authorId="0" shapeId="0">
      <text>
        <r>
          <rPr>
            <sz val="9"/>
            <color indexed="81"/>
            <rFont val="Tahoma"/>
            <family val="2"/>
          </rPr>
          <t>Solver found a solution. All constraints and optimality conditions are satisfied.</t>
        </r>
      </text>
    </comment>
    <comment ref="B291" authorId="0" shapeId="0">
      <text>
        <r>
          <rPr>
            <sz val="9"/>
            <color indexed="81"/>
            <rFont val="Tahoma"/>
            <family val="2"/>
          </rPr>
          <t>Solver found a solution. All constraints and optimality conditions are satisfied.</t>
        </r>
      </text>
    </comment>
    <comment ref="B292" authorId="0" shapeId="0">
      <text>
        <r>
          <rPr>
            <sz val="9"/>
            <color indexed="81"/>
            <rFont val="Tahoma"/>
            <family val="2"/>
          </rPr>
          <t>Solver found a solution. All constraints and optimality conditions are satisfied.</t>
        </r>
      </text>
    </comment>
    <comment ref="B293" authorId="0" shapeId="0">
      <text>
        <r>
          <rPr>
            <sz val="9"/>
            <color indexed="81"/>
            <rFont val="Tahoma"/>
            <family val="2"/>
          </rPr>
          <t>Solver found a solution. All constraints and optimality conditions are satisfied.</t>
        </r>
      </text>
    </comment>
    <comment ref="B294" authorId="0" shapeId="0">
      <text>
        <r>
          <rPr>
            <sz val="9"/>
            <color indexed="81"/>
            <rFont val="Tahoma"/>
            <family val="2"/>
          </rPr>
          <t>Solver found a solution. All constraints and optimality conditions are satisfied.</t>
        </r>
      </text>
    </comment>
    <comment ref="B295" authorId="0" shapeId="0">
      <text>
        <r>
          <rPr>
            <sz val="9"/>
            <color indexed="81"/>
            <rFont val="Tahoma"/>
            <family val="2"/>
          </rPr>
          <t>Solver found a solution. All constraints and optimality conditions are satisfied.</t>
        </r>
      </text>
    </comment>
    <comment ref="B296" authorId="0" shapeId="0">
      <text>
        <r>
          <rPr>
            <sz val="9"/>
            <color indexed="81"/>
            <rFont val="Tahoma"/>
            <family val="2"/>
          </rPr>
          <t>Solver found a solution. All constraints and optimality conditions are satisfied.</t>
        </r>
      </text>
    </comment>
    <comment ref="B297" authorId="0" shapeId="0">
      <text>
        <r>
          <rPr>
            <sz val="9"/>
            <color indexed="81"/>
            <rFont val="Tahoma"/>
            <family val="2"/>
          </rPr>
          <t>Solver found a solution. All constraints and optimality conditions are satisfied.</t>
        </r>
      </text>
    </comment>
    <comment ref="B298" authorId="0" shapeId="0">
      <text>
        <r>
          <rPr>
            <sz val="9"/>
            <color indexed="81"/>
            <rFont val="Tahoma"/>
            <family val="2"/>
          </rPr>
          <t>Solver found a solution. All constraints and optimality conditions are satisfied.</t>
        </r>
      </text>
    </comment>
    <comment ref="B299" authorId="0" shapeId="0">
      <text>
        <r>
          <rPr>
            <sz val="9"/>
            <color indexed="81"/>
            <rFont val="Tahoma"/>
            <family val="2"/>
          </rPr>
          <t>Solver found a solution. All constraints and optimality conditions are satisfied.</t>
        </r>
      </text>
    </comment>
    <comment ref="B300" authorId="0" shapeId="0">
      <text>
        <r>
          <rPr>
            <sz val="9"/>
            <color indexed="81"/>
            <rFont val="Tahoma"/>
            <family val="2"/>
          </rPr>
          <t>Solver found a solution. All constraints and optimality conditions are satisfied.</t>
        </r>
      </text>
    </comment>
    <comment ref="B301" authorId="0" shapeId="0">
      <text>
        <r>
          <rPr>
            <sz val="9"/>
            <color indexed="81"/>
            <rFont val="Tahoma"/>
            <family val="2"/>
          </rPr>
          <t>Solver found a solution. All constraints and optimality conditions are satisfied.</t>
        </r>
      </text>
    </comment>
    <comment ref="B302" authorId="0" shapeId="0">
      <text>
        <r>
          <rPr>
            <sz val="9"/>
            <color indexed="81"/>
            <rFont val="Tahoma"/>
            <family val="2"/>
          </rPr>
          <t>Solver found a solution. All constraints and optimality conditions are satisfied.</t>
        </r>
      </text>
    </comment>
    <comment ref="B303" authorId="0" shapeId="0">
      <text>
        <r>
          <rPr>
            <sz val="9"/>
            <color indexed="81"/>
            <rFont val="Tahoma"/>
            <family val="2"/>
          </rPr>
          <t>Solver found a solution. All constraints and optimality conditions are satisfied.</t>
        </r>
      </text>
    </comment>
    <comment ref="B304" authorId="0" shapeId="0">
      <text>
        <r>
          <rPr>
            <sz val="9"/>
            <color indexed="81"/>
            <rFont val="Tahoma"/>
            <family val="2"/>
          </rPr>
          <t>Solver found a solution. All constraints and optimality conditions are satisfied.</t>
        </r>
      </text>
    </comment>
    <comment ref="B305" authorId="0" shapeId="0">
      <text>
        <r>
          <rPr>
            <sz val="9"/>
            <color indexed="81"/>
            <rFont val="Tahoma"/>
            <family val="2"/>
          </rPr>
          <t>Solver found a solution. All constraints and optimality conditions are satisfied.</t>
        </r>
      </text>
    </comment>
    <comment ref="B306" authorId="0" shapeId="0">
      <text>
        <r>
          <rPr>
            <sz val="9"/>
            <color indexed="81"/>
            <rFont val="Tahoma"/>
            <family val="2"/>
          </rPr>
          <t>Solver found a solution. All constraints and optimality conditions are satisfied.</t>
        </r>
      </text>
    </comment>
    <comment ref="B307" authorId="0" shapeId="0">
      <text>
        <r>
          <rPr>
            <sz val="9"/>
            <color indexed="81"/>
            <rFont val="Tahoma"/>
            <family val="2"/>
          </rPr>
          <t>Solver found a solution. All constraints and optimality conditions are satisfied.</t>
        </r>
      </text>
    </comment>
    <comment ref="B308" authorId="0" shapeId="0">
      <text>
        <r>
          <rPr>
            <sz val="9"/>
            <color indexed="81"/>
            <rFont val="Tahoma"/>
            <family val="2"/>
          </rPr>
          <t>Solver found a solution. All constraints and optimality conditions are satisfied.</t>
        </r>
      </text>
    </comment>
    <comment ref="B309" authorId="0" shapeId="0">
      <text>
        <r>
          <rPr>
            <sz val="9"/>
            <color indexed="81"/>
            <rFont val="Tahoma"/>
            <family val="2"/>
          </rPr>
          <t>Solver found a solution. All constraints and optimality conditions are satisfied.</t>
        </r>
      </text>
    </comment>
    <comment ref="B310" authorId="0" shapeId="0">
      <text>
        <r>
          <rPr>
            <sz val="9"/>
            <color indexed="81"/>
            <rFont val="Tahoma"/>
            <family val="2"/>
          </rPr>
          <t>Solver found a solution. All constraints and optimality conditions are satisfied.</t>
        </r>
      </text>
    </comment>
    <comment ref="B311" authorId="0" shapeId="0">
      <text>
        <r>
          <rPr>
            <sz val="9"/>
            <color indexed="81"/>
            <rFont val="Tahoma"/>
            <family val="2"/>
          </rPr>
          <t>Solver found a solution. All constraints and optimality conditions are satisfied.</t>
        </r>
      </text>
    </comment>
    <comment ref="B312" authorId="0" shapeId="0">
      <text>
        <r>
          <rPr>
            <sz val="9"/>
            <color indexed="81"/>
            <rFont val="Tahoma"/>
            <family val="2"/>
          </rPr>
          <t>Solver found a solution. All constraints and optimality conditions are satisfied.</t>
        </r>
      </text>
    </comment>
    <comment ref="B313" authorId="0" shapeId="0">
      <text>
        <r>
          <rPr>
            <sz val="9"/>
            <color indexed="81"/>
            <rFont val="Tahoma"/>
            <family val="2"/>
          </rPr>
          <t>Solver found a solution. All constraints and optimality conditions are satisfied.</t>
        </r>
      </text>
    </comment>
    <comment ref="B314" authorId="0" shapeId="0">
      <text>
        <r>
          <rPr>
            <sz val="9"/>
            <color indexed="81"/>
            <rFont val="Tahoma"/>
            <family val="2"/>
          </rPr>
          <t>Solver found a solution. All constraints and optimality conditions are satisfied.</t>
        </r>
      </text>
    </comment>
    <comment ref="B315" authorId="0" shapeId="0">
      <text>
        <r>
          <rPr>
            <sz val="9"/>
            <color indexed="81"/>
            <rFont val="Tahoma"/>
            <family val="2"/>
          </rPr>
          <t>Solver found a solution. All constraints and optimality conditions are satisfied.</t>
        </r>
      </text>
    </comment>
    <comment ref="B316" authorId="0" shapeId="0">
      <text>
        <r>
          <rPr>
            <sz val="9"/>
            <color indexed="81"/>
            <rFont val="Tahoma"/>
            <family val="2"/>
          </rPr>
          <t>Solver found a solution. All constraints and optimality conditions are satisfied.</t>
        </r>
      </text>
    </comment>
    <comment ref="B317" authorId="0" shapeId="0">
      <text>
        <r>
          <rPr>
            <sz val="9"/>
            <color indexed="81"/>
            <rFont val="Tahoma"/>
            <family val="2"/>
          </rPr>
          <t>Solver found a solution. All constraints and optimality conditions are satisfied.</t>
        </r>
      </text>
    </comment>
    <comment ref="B318" authorId="0" shapeId="0">
      <text>
        <r>
          <rPr>
            <sz val="9"/>
            <color indexed="81"/>
            <rFont val="Tahoma"/>
            <family val="2"/>
          </rPr>
          <t>Solver found a solution. All constraints and optimality conditions are satisfied.</t>
        </r>
      </text>
    </comment>
    <comment ref="B319" authorId="0" shapeId="0">
      <text>
        <r>
          <rPr>
            <sz val="9"/>
            <color indexed="81"/>
            <rFont val="Tahoma"/>
            <family val="2"/>
          </rPr>
          <t>Solver found a solution. All constraints and optimality conditions are satisfied.</t>
        </r>
      </text>
    </comment>
    <comment ref="B320" authorId="0" shapeId="0">
      <text>
        <r>
          <rPr>
            <sz val="9"/>
            <color indexed="81"/>
            <rFont val="Tahoma"/>
            <family val="2"/>
          </rPr>
          <t>Solver found a solution. All constraints and optimality conditions are satisfied.</t>
        </r>
      </text>
    </comment>
    <comment ref="B321" authorId="0" shapeId="0">
      <text>
        <r>
          <rPr>
            <sz val="9"/>
            <color indexed="81"/>
            <rFont val="Tahoma"/>
            <family val="2"/>
          </rPr>
          <t>Solver found a solution. All constraints and optimality conditions are satisfied.</t>
        </r>
      </text>
    </comment>
    <comment ref="B322" authorId="0" shapeId="0">
      <text>
        <r>
          <rPr>
            <sz val="9"/>
            <color indexed="81"/>
            <rFont val="Tahoma"/>
            <family val="2"/>
          </rPr>
          <t>Solver found a solution. All constraints and optimality conditions are satisfied.</t>
        </r>
      </text>
    </comment>
    <comment ref="B323" authorId="0" shapeId="0">
      <text>
        <r>
          <rPr>
            <sz val="9"/>
            <color indexed="81"/>
            <rFont val="Tahoma"/>
            <family val="2"/>
          </rPr>
          <t>Solver found a solution. All constraints and optimality conditions are satisfied.</t>
        </r>
      </text>
    </comment>
    <comment ref="B324" authorId="0" shapeId="0">
      <text>
        <r>
          <rPr>
            <sz val="9"/>
            <color indexed="81"/>
            <rFont val="Tahoma"/>
            <family val="2"/>
          </rPr>
          <t>Solver found a solution. All constraints and optimality conditions are satisfied.</t>
        </r>
      </text>
    </comment>
    <comment ref="B325" authorId="0" shapeId="0">
      <text>
        <r>
          <rPr>
            <sz val="9"/>
            <color indexed="81"/>
            <rFont val="Tahoma"/>
            <family val="2"/>
          </rPr>
          <t>Solver found a solution. All constraints and optimality conditions are satisfied.</t>
        </r>
      </text>
    </comment>
    <comment ref="B326" authorId="0" shapeId="0">
      <text>
        <r>
          <rPr>
            <sz val="9"/>
            <color indexed="81"/>
            <rFont val="Tahoma"/>
            <family val="2"/>
          </rPr>
          <t>Solver found a solution. All constraints and optimality conditions are satisfied.</t>
        </r>
      </text>
    </comment>
    <comment ref="B327" authorId="0" shapeId="0">
      <text>
        <r>
          <rPr>
            <sz val="9"/>
            <color indexed="81"/>
            <rFont val="Tahoma"/>
            <family val="2"/>
          </rPr>
          <t>Solver found a solution. All constraints and optimality conditions are satisfied.</t>
        </r>
      </text>
    </comment>
    <comment ref="B328" authorId="0" shapeId="0">
      <text>
        <r>
          <rPr>
            <sz val="9"/>
            <color indexed="81"/>
            <rFont val="Tahoma"/>
            <family val="2"/>
          </rPr>
          <t>Solver found a solution. All constraints and optimality conditions are satisfied.</t>
        </r>
      </text>
    </comment>
    <comment ref="B329" authorId="0" shapeId="0">
      <text>
        <r>
          <rPr>
            <sz val="9"/>
            <color indexed="81"/>
            <rFont val="Tahoma"/>
            <family val="2"/>
          </rPr>
          <t>Solver found a solution. All constraints and optimality conditions are satisfied.</t>
        </r>
      </text>
    </comment>
    <comment ref="B330" authorId="0" shapeId="0">
      <text>
        <r>
          <rPr>
            <sz val="9"/>
            <color indexed="81"/>
            <rFont val="Tahoma"/>
            <family val="2"/>
          </rPr>
          <t>Solver found a solution. All constraints and optimality conditions are satisfied.</t>
        </r>
      </text>
    </comment>
    <comment ref="B331" authorId="0" shapeId="0">
      <text>
        <r>
          <rPr>
            <sz val="9"/>
            <color indexed="81"/>
            <rFont val="Tahoma"/>
            <family val="2"/>
          </rPr>
          <t>Solver found a solution. All constraints and optimality conditions are satisfied.</t>
        </r>
      </text>
    </comment>
    <comment ref="B332" authorId="0" shapeId="0">
      <text>
        <r>
          <rPr>
            <sz val="9"/>
            <color indexed="81"/>
            <rFont val="Tahoma"/>
            <family val="2"/>
          </rPr>
          <t>Solver found a solution. All constraints and optimality conditions are satisfied.</t>
        </r>
      </text>
    </comment>
    <comment ref="B333" authorId="0" shapeId="0">
      <text>
        <r>
          <rPr>
            <sz val="9"/>
            <color indexed="81"/>
            <rFont val="Tahoma"/>
            <family val="2"/>
          </rPr>
          <t>Solver found a solution. All constraints and optimality conditions are satisfied.</t>
        </r>
      </text>
    </comment>
    <comment ref="B334" authorId="0" shapeId="0">
      <text>
        <r>
          <rPr>
            <sz val="9"/>
            <color indexed="81"/>
            <rFont val="Tahoma"/>
            <family val="2"/>
          </rPr>
          <t>Solver found a solution. All constraints and optimality conditions are satisfied.</t>
        </r>
      </text>
    </comment>
    <comment ref="B335" authorId="0" shapeId="0">
      <text>
        <r>
          <rPr>
            <sz val="9"/>
            <color indexed="81"/>
            <rFont val="Tahoma"/>
            <family val="2"/>
          </rPr>
          <t>Solver found a solution. All constraints and optimality conditions are satisfied.</t>
        </r>
      </text>
    </comment>
    <comment ref="B336" authorId="0" shapeId="0">
      <text>
        <r>
          <rPr>
            <sz val="9"/>
            <color indexed="81"/>
            <rFont val="Tahoma"/>
            <family val="2"/>
          </rPr>
          <t>Solver found a solution. All constraints and optimality conditions are satisfied.</t>
        </r>
      </text>
    </comment>
    <comment ref="B337" authorId="0" shapeId="0">
      <text>
        <r>
          <rPr>
            <sz val="9"/>
            <color indexed="81"/>
            <rFont val="Tahoma"/>
            <family val="2"/>
          </rPr>
          <t>Solver found a solution. All constraints and optimality conditions are satisfied.</t>
        </r>
      </text>
    </comment>
    <comment ref="B338" authorId="0" shapeId="0">
      <text>
        <r>
          <rPr>
            <sz val="9"/>
            <color indexed="81"/>
            <rFont val="Tahoma"/>
            <family val="2"/>
          </rPr>
          <t>Solver found a solution. All constraints and optimality conditions are satisfied.</t>
        </r>
      </text>
    </comment>
    <comment ref="B339" authorId="0" shapeId="0">
      <text>
        <r>
          <rPr>
            <sz val="9"/>
            <color indexed="81"/>
            <rFont val="Tahoma"/>
            <family val="2"/>
          </rPr>
          <t>Solver found a solution. All constraints and optimality conditions are satisfied.</t>
        </r>
      </text>
    </comment>
    <comment ref="B340" authorId="0" shapeId="0">
      <text>
        <r>
          <rPr>
            <sz val="9"/>
            <color indexed="81"/>
            <rFont val="Tahoma"/>
            <family val="2"/>
          </rPr>
          <t>Solver found a solution. All constraints and optimality conditions are satisfied.</t>
        </r>
      </text>
    </comment>
    <comment ref="B341" authorId="0" shapeId="0">
      <text>
        <r>
          <rPr>
            <sz val="9"/>
            <color indexed="81"/>
            <rFont val="Tahoma"/>
            <family val="2"/>
          </rPr>
          <t>Solver found a solution. All constraints and optimality conditions are satisfied.</t>
        </r>
      </text>
    </comment>
    <comment ref="B342" authorId="0" shapeId="0">
      <text>
        <r>
          <rPr>
            <sz val="9"/>
            <color indexed="81"/>
            <rFont val="Tahoma"/>
            <family val="2"/>
          </rPr>
          <t>Solver found a solution. All constraints and optimality conditions are satisfied.</t>
        </r>
      </text>
    </comment>
    <comment ref="B343" authorId="0" shapeId="0">
      <text>
        <r>
          <rPr>
            <sz val="9"/>
            <color indexed="81"/>
            <rFont val="Tahoma"/>
            <family val="2"/>
          </rPr>
          <t>Solver found a solution. All constraints and optimality conditions are satisfied.</t>
        </r>
      </text>
    </comment>
    <comment ref="B344" authorId="0" shapeId="0">
      <text>
        <r>
          <rPr>
            <sz val="9"/>
            <color indexed="81"/>
            <rFont val="Tahoma"/>
            <family val="2"/>
          </rPr>
          <t>Solver found a solution. All constraints and optimality conditions are satisfied.</t>
        </r>
      </text>
    </comment>
    <comment ref="B345" authorId="0" shapeId="0">
      <text>
        <r>
          <rPr>
            <sz val="9"/>
            <color indexed="81"/>
            <rFont val="Tahoma"/>
            <family val="2"/>
          </rPr>
          <t>Solver found a solution. All constraints and optimality conditions are satisfied.</t>
        </r>
      </text>
    </comment>
    <comment ref="B346" authorId="0" shapeId="0">
      <text>
        <r>
          <rPr>
            <sz val="9"/>
            <color indexed="81"/>
            <rFont val="Tahoma"/>
            <family val="2"/>
          </rPr>
          <t>Solver found a solution. All constraints and optimality conditions are satisfied.</t>
        </r>
      </text>
    </comment>
    <comment ref="B347" authorId="0" shapeId="0">
      <text>
        <r>
          <rPr>
            <sz val="9"/>
            <color indexed="81"/>
            <rFont val="Tahoma"/>
            <family val="2"/>
          </rPr>
          <t>Solver found a solution. All constraints and optimality conditions are satisfied.</t>
        </r>
      </text>
    </comment>
    <comment ref="B348" authorId="0" shapeId="0">
      <text>
        <r>
          <rPr>
            <sz val="9"/>
            <color indexed="81"/>
            <rFont val="Tahoma"/>
            <family val="2"/>
          </rPr>
          <t>Solver found a solution. All constraints and optimality conditions are satisfied.</t>
        </r>
      </text>
    </comment>
    <comment ref="B349" authorId="0" shapeId="0">
      <text>
        <r>
          <rPr>
            <sz val="9"/>
            <color indexed="81"/>
            <rFont val="Tahoma"/>
            <family val="2"/>
          </rPr>
          <t>Solver found a solution. All constraints and optimality conditions are satisfied.</t>
        </r>
      </text>
    </comment>
    <comment ref="B350" authorId="0" shapeId="0">
      <text>
        <r>
          <rPr>
            <sz val="9"/>
            <color indexed="81"/>
            <rFont val="Tahoma"/>
            <family val="2"/>
          </rPr>
          <t>Solver found a solution. All constraints and optimality conditions are satisfied.</t>
        </r>
      </text>
    </comment>
    <comment ref="B351" authorId="0" shapeId="0">
      <text>
        <r>
          <rPr>
            <sz val="9"/>
            <color indexed="81"/>
            <rFont val="Tahoma"/>
            <family val="2"/>
          </rPr>
          <t>Solver found a solution. All constraints and optimality conditions are satisfied.</t>
        </r>
      </text>
    </comment>
    <comment ref="B352" authorId="0" shapeId="0">
      <text>
        <r>
          <rPr>
            <sz val="9"/>
            <color indexed="81"/>
            <rFont val="Tahoma"/>
            <family val="2"/>
          </rPr>
          <t>Solver found a solution. All constraints and optimality conditions are satisfied.</t>
        </r>
      </text>
    </comment>
    <comment ref="B353" authorId="0" shapeId="0">
      <text>
        <r>
          <rPr>
            <sz val="9"/>
            <color indexed="81"/>
            <rFont val="Tahoma"/>
            <family val="2"/>
          </rPr>
          <t>Solver found a solution. All constraints and optimality conditions are satisfied.</t>
        </r>
      </text>
    </comment>
    <comment ref="B354" authorId="0" shapeId="0">
      <text>
        <r>
          <rPr>
            <sz val="9"/>
            <color indexed="81"/>
            <rFont val="Tahoma"/>
            <family val="2"/>
          </rPr>
          <t>Solver found a solution. All constraints and optimality conditions are satisfied.</t>
        </r>
      </text>
    </comment>
    <comment ref="B355" authorId="0" shapeId="0">
      <text>
        <r>
          <rPr>
            <sz val="9"/>
            <color indexed="81"/>
            <rFont val="Tahoma"/>
            <family val="2"/>
          </rPr>
          <t>Solver found a solution. All constraints and optimality conditions are satisfied.</t>
        </r>
      </text>
    </comment>
    <comment ref="B356" authorId="0" shapeId="0">
      <text>
        <r>
          <rPr>
            <sz val="9"/>
            <color indexed="81"/>
            <rFont val="Tahoma"/>
            <family val="2"/>
          </rPr>
          <t>Solver found a solution. All constraints and optimality conditions are satisfied.</t>
        </r>
      </text>
    </comment>
    <comment ref="B357" authorId="0" shapeId="0">
      <text>
        <r>
          <rPr>
            <sz val="9"/>
            <color indexed="81"/>
            <rFont val="Tahoma"/>
            <family val="2"/>
          </rPr>
          <t>Solver found a solution. All constraints and optimality conditions are satisfied.</t>
        </r>
      </text>
    </comment>
    <comment ref="B358" authorId="0" shapeId="0">
      <text>
        <r>
          <rPr>
            <sz val="9"/>
            <color indexed="81"/>
            <rFont val="Tahoma"/>
            <family val="2"/>
          </rPr>
          <t>Solver found a solution. All constraints and optimality conditions are satisfied.</t>
        </r>
      </text>
    </comment>
    <comment ref="B359" authorId="0" shapeId="0">
      <text>
        <r>
          <rPr>
            <sz val="9"/>
            <color indexed="81"/>
            <rFont val="Tahoma"/>
            <family val="2"/>
          </rPr>
          <t>Solver found a solution. All constraints and optimality conditions are satisfied.</t>
        </r>
      </text>
    </comment>
    <comment ref="B360" authorId="0" shapeId="0">
      <text>
        <r>
          <rPr>
            <sz val="9"/>
            <color indexed="81"/>
            <rFont val="Tahoma"/>
            <family val="2"/>
          </rPr>
          <t>Solver found a solution. All constraints and optimality conditions are satisfied.</t>
        </r>
      </text>
    </comment>
    <comment ref="B361" authorId="0" shapeId="0">
      <text>
        <r>
          <rPr>
            <sz val="9"/>
            <color indexed="81"/>
            <rFont val="Tahoma"/>
            <family val="2"/>
          </rPr>
          <t>Solver found a solution. All constraints and optimality conditions are satisfied.</t>
        </r>
      </text>
    </comment>
    <comment ref="B362" authorId="0" shapeId="0">
      <text>
        <r>
          <rPr>
            <sz val="9"/>
            <color indexed="81"/>
            <rFont val="Tahoma"/>
            <family val="2"/>
          </rPr>
          <t>Solver found a solution. All constraints and optimality conditions are satisfied.</t>
        </r>
      </text>
    </comment>
    <comment ref="B363" authorId="0" shapeId="0">
      <text>
        <r>
          <rPr>
            <sz val="9"/>
            <color indexed="81"/>
            <rFont val="Tahoma"/>
            <family val="2"/>
          </rPr>
          <t>Solver found a solution. All constraints and optimality conditions are satisfied.</t>
        </r>
      </text>
    </comment>
    <comment ref="B364" authorId="0" shapeId="0">
      <text>
        <r>
          <rPr>
            <sz val="9"/>
            <color indexed="81"/>
            <rFont val="Tahoma"/>
            <family val="2"/>
          </rPr>
          <t>Solver found a solution. All constraints and optimality conditions are satisfied.</t>
        </r>
      </text>
    </comment>
    <comment ref="B365" authorId="0" shapeId="0">
      <text>
        <r>
          <rPr>
            <sz val="9"/>
            <color indexed="81"/>
            <rFont val="Tahoma"/>
            <family val="2"/>
          </rPr>
          <t>Solver found a solution. All constraints and optimality conditions are satisfied.</t>
        </r>
      </text>
    </comment>
    <comment ref="B366" authorId="0" shapeId="0">
      <text>
        <r>
          <rPr>
            <sz val="9"/>
            <color indexed="81"/>
            <rFont val="Tahoma"/>
            <family val="2"/>
          </rPr>
          <t>Solver found a solution. All constraints and optimality conditions are satisfied.</t>
        </r>
      </text>
    </comment>
    <comment ref="B367" authorId="0" shapeId="0">
      <text>
        <r>
          <rPr>
            <sz val="9"/>
            <color indexed="81"/>
            <rFont val="Tahoma"/>
            <family val="2"/>
          </rPr>
          <t>Solver found a solution. All constraints and optimality conditions are satisfied.</t>
        </r>
      </text>
    </comment>
    <comment ref="B368" authorId="0" shapeId="0">
      <text>
        <r>
          <rPr>
            <sz val="9"/>
            <color indexed="81"/>
            <rFont val="Tahoma"/>
            <family val="2"/>
          </rPr>
          <t>Solver found a solution. All constraints and optimality conditions are satisfied.</t>
        </r>
      </text>
    </comment>
    <comment ref="B369" authorId="0" shapeId="0">
      <text>
        <r>
          <rPr>
            <sz val="9"/>
            <color indexed="81"/>
            <rFont val="Tahoma"/>
            <family val="2"/>
          </rPr>
          <t>Solver found a solution. All constraints and optimality conditions are satisfied.</t>
        </r>
      </text>
    </comment>
    <comment ref="B370" authorId="0" shapeId="0">
      <text>
        <r>
          <rPr>
            <sz val="9"/>
            <color indexed="81"/>
            <rFont val="Tahoma"/>
            <family val="2"/>
          </rPr>
          <t>Solver found a solution. All constraints and optimality conditions are satisfied.</t>
        </r>
      </text>
    </comment>
    <comment ref="B371" authorId="0" shapeId="0">
      <text>
        <r>
          <rPr>
            <sz val="9"/>
            <color indexed="81"/>
            <rFont val="Tahoma"/>
            <family val="2"/>
          </rPr>
          <t>Solver found a solution. All constraints and optimality conditions are satisfied.</t>
        </r>
      </text>
    </comment>
    <comment ref="B372" authorId="0" shapeId="0">
      <text>
        <r>
          <rPr>
            <sz val="9"/>
            <color indexed="81"/>
            <rFont val="Tahoma"/>
            <family val="2"/>
          </rPr>
          <t>Solver found a solution. All constraints and optimality conditions are satisfied.</t>
        </r>
      </text>
    </comment>
    <comment ref="B373" authorId="0" shapeId="0">
      <text>
        <r>
          <rPr>
            <sz val="9"/>
            <color indexed="81"/>
            <rFont val="Tahoma"/>
            <family val="2"/>
          </rPr>
          <t>Solver found a solution. All constraints and optimality conditions are satisfied.</t>
        </r>
      </text>
    </comment>
    <comment ref="B374" authorId="0" shapeId="0">
      <text>
        <r>
          <rPr>
            <sz val="9"/>
            <color indexed="81"/>
            <rFont val="Tahoma"/>
            <family val="2"/>
          </rPr>
          <t>Solver found a solution. All constraints and optimality conditions are satisfied.</t>
        </r>
      </text>
    </comment>
    <comment ref="B375" authorId="0" shapeId="0">
      <text>
        <r>
          <rPr>
            <sz val="9"/>
            <color indexed="81"/>
            <rFont val="Tahoma"/>
            <family val="2"/>
          </rPr>
          <t>Solver found a solution. All constraints and optimality conditions are satisfied.</t>
        </r>
      </text>
    </comment>
    <comment ref="B376" authorId="0" shapeId="0">
      <text>
        <r>
          <rPr>
            <sz val="9"/>
            <color indexed="81"/>
            <rFont val="Tahoma"/>
            <family val="2"/>
          </rPr>
          <t>Solver found a solution. All constraints and optimality conditions are satisfied.</t>
        </r>
      </text>
    </comment>
    <comment ref="B377" authorId="0" shapeId="0">
      <text>
        <r>
          <rPr>
            <sz val="9"/>
            <color indexed="81"/>
            <rFont val="Tahoma"/>
            <family val="2"/>
          </rPr>
          <t>Solver found a solution. All constraints and optimality conditions are satisfied.</t>
        </r>
      </text>
    </comment>
    <comment ref="B378" authorId="0" shapeId="0">
      <text>
        <r>
          <rPr>
            <sz val="9"/>
            <color indexed="81"/>
            <rFont val="Tahoma"/>
            <family val="2"/>
          </rPr>
          <t>Solver found a solution. All constraints and optimality conditions are satisfied.</t>
        </r>
      </text>
    </comment>
    <comment ref="B379" authorId="0" shapeId="0">
      <text>
        <r>
          <rPr>
            <sz val="9"/>
            <color indexed="81"/>
            <rFont val="Tahoma"/>
            <family val="2"/>
          </rPr>
          <t>Solver found a solution. All constraints and optimality conditions are satisfied.</t>
        </r>
      </text>
    </comment>
    <comment ref="B380" authorId="0" shapeId="0">
      <text>
        <r>
          <rPr>
            <sz val="9"/>
            <color indexed="81"/>
            <rFont val="Tahoma"/>
            <family val="2"/>
          </rPr>
          <t>Solver found a solution. All constraints and optimality conditions are satisfied.</t>
        </r>
      </text>
    </comment>
    <comment ref="B381" authorId="0" shapeId="0">
      <text>
        <r>
          <rPr>
            <sz val="9"/>
            <color indexed="81"/>
            <rFont val="Tahoma"/>
            <family val="2"/>
          </rPr>
          <t>Solver found a solution. All constraints and optimality conditions are satisfied.</t>
        </r>
      </text>
    </comment>
    <comment ref="B382" authorId="0" shapeId="0">
      <text>
        <r>
          <rPr>
            <sz val="9"/>
            <color indexed="81"/>
            <rFont val="Tahoma"/>
            <family val="2"/>
          </rPr>
          <t>Solver found a solution. All constraints and optimality conditions are satisfied.</t>
        </r>
      </text>
    </comment>
    <comment ref="B383" authorId="0" shapeId="0">
      <text>
        <r>
          <rPr>
            <sz val="9"/>
            <color indexed="81"/>
            <rFont val="Tahoma"/>
            <family val="2"/>
          </rPr>
          <t>Solver found a solution. All constraints and optimality conditions are satisfied.</t>
        </r>
      </text>
    </comment>
    <comment ref="B384" authorId="0" shapeId="0">
      <text>
        <r>
          <rPr>
            <sz val="9"/>
            <color indexed="81"/>
            <rFont val="Tahoma"/>
            <family val="2"/>
          </rPr>
          <t>Solver found a solution. All constraints and optimality conditions are satisfied.</t>
        </r>
      </text>
    </comment>
    <comment ref="B385" authorId="0" shapeId="0">
      <text>
        <r>
          <rPr>
            <sz val="9"/>
            <color indexed="81"/>
            <rFont val="Tahoma"/>
            <family val="2"/>
          </rPr>
          <t>Solver found a solution. All constraints and optimality conditions are satisfied.</t>
        </r>
      </text>
    </comment>
    <comment ref="B386" authorId="0" shapeId="0">
      <text>
        <r>
          <rPr>
            <sz val="9"/>
            <color indexed="81"/>
            <rFont val="Tahoma"/>
            <family val="2"/>
          </rPr>
          <t>Solver found a solution. All constraints and optimality conditions are satisfied.</t>
        </r>
      </text>
    </comment>
    <comment ref="B387" authorId="0" shapeId="0">
      <text>
        <r>
          <rPr>
            <sz val="9"/>
            <color indexed="81"/>
            <rFont val="Tahoma"/>
            <family val="2"/>
          </rPr>
          <t>Solver found a solution. All constraints and optimality conditions are satisfied.</t>
        </r>
      </text>
    </comment>
    <comment ref="B388" authorId="0" shapeId="0">
      <text>
        <r>
          <rPr>
            <sz val="9"/>
            <color indexed="81"/>
            <rFont val="Tahoma"/>
            <family val="2"/>
          </rPr>
          <t>Solver found a solution. All constraints and optimality conditions are satisfied.</t>
        </r>
      </text>
    </comment>
    <comment ref="B389" authorId="0" shapeId="0">
      <text>
        <r>
          <rPr>
            <sz val="9"/>
            <color indexed="81"/>
            <rFont val="Tahoma"/>
            <family val="2"/>
          </rPr>
          <t>Solver found a solution. All constraints and optimality conditions are satisfied.</t>
        </r>
      </text>
    </comment>
    <comment ref="B390" authorId="0" shapeId="0">
      <text>
        <r>
          <rPr>
            <sz val="9"/>
            <color indexed="81"/>
            <rFont val="Tahoma"/>
            <family val="2"/>
          </rPr>
          <t>Solver found a solution. All constraints and optimality conditions are satisfied.</t>
        </r>
      </text>
    </comment>
    <comment ref="B391" authorId="0" shapeId="0">
      <text>
        <r>
          <rPr>
            <sz val="9"/>
            <color indexed="81"/>
            <rFont val="Tahoma"/>
            <family val="2"/>
          </rPr>
          <t>Solver found a solution. All constraints and optimality conditions are satisfied.</t>
        </r>
      </text>
    </comment>
    <comment ref="B392" authorId="0" shapeId="0">
      <text>
        <r>
          <rPr>
            <sz val="9"/>
            <color indexed="81"/>
            <rFont val="Tahoma"/>
            <family val="2"/>
          </rPr>
          <t>Solver found a solution. All constraints and optimality conditions are satisfied.</t>
        </r>
      </text>
    </comment>
    <comment ref="B393" authorId="0" shapeId="0">
      <text>
        <r>
          <rPr>
            <sz val="9"/>
            <color indexed="81"/>
            <rFont val="Tahoma"/>
            <family val="2"/>
          </rPr>
          <t>Solver found a solution. All constraints and optimality conditions are satisfied.</t>
        </r>
      </text>
    </comment>
    <comment ref="B394" authorId="0" shapeId="0">
      <text>
        <r>
          <rPr>
            <sz val="9"/>
            <color indexed="81"/>
            <rFont val="Tahoma"/>
            <family val="2"/>
          </rPr>
          <t>Solver found a solution. All constraints and optimality conditions are satisfied.</t>
        </r>
      </text>
    </comment>
    <comment ref="B395" authorId="0" shapeId="0">
      <text>
        <r>
          <rPr>
            <sz val="9"/>
            <color indexed="81"/>
            <rFont val="Tahoma"/>
            <family val="2"/>
          </rPr>
          <t>Solver found a solution. All constraints and optimality conditions are satisfied.</t>
        </r>
      </text>
    </comment>
    <comment ref="B396" authorId="0" shapeId="0">
      <text>
        <r>
          <rPr>
            <sz val="9"/>
            <color indexed="81"/>
            <rFont val="Tahoma"/>
            <family val="2"/>
          </rPr>
          <t>Solver found a solution. All constraints and optimality conditions are satisfied.</t>
        </r>
      </text>
    </comment>
    <comment ref="B397" authorId="0" shapeId="0">
      <text>
        <r>
          <rPr>
            <sz val="9"/>
            <color indexed="81"/>
            <rFont val="Tahoma"/>
            <family val="2"/>
          </rPr>
          <t>Solver found a solution. All constraints and optimality conditions are satisfied.</t>
        </r>
      </text>
    </comment>
    <comment ref="B398" authorId="0" shapeId="0">
      <text>
        <r>
          <rPr>
            <sz val="9"/>
            <color indexed="81"/>
            <rFont val="Tahoma"/>
            <family val="2"/>
          </rPr>
          <t>Solver found a solution. All constraints and optimality conditions are satisfied.</t>
        </r>
      </text>
    </comment>
    <comment ref="B399" authorId="0" shapeId="0">
      <text>
        <r>
          <rPr>
            <sz val="9"/>
            <color indexed="81"/>
            <rFont val="Tahoma"/>
            <family val="2"/>
          </rPr>
          <t>Solver found a solution. All constraints and optimality conditions are satisfied.</t>
        </r>
      </text>
    </comment>
    <comment ref="B400" authorId="0" shapeId="0">
      <text>
        <r>
          <rPr>
            <sz val="9"/>
            <color indexed="81"/>
            <rFont val="Tahoma"/>
            <family val="2"/>
          </rPr>
          <t>Solver found a solution. All constraints and optimality conditions are satisfied.</t>
        </r>
      </text>
    </comment>
    <comment ref="B401" authorId="0" shapeId="0">
      <text>
        <r>
          <rPr>
            <sz val="9"/>
            <color indexed="81"/>
            <rFont val="Tahoma"/>
            <family val="2"/>
          </rPr>
          <t>Solver found a solution. All constraints and optimality conditions are satisfied.</t>
        </r>
      </text>
    </comment>
    <comment ref="B402" authorId="0" shapeId="0">
      <text>
        <r>
          <rPr>
            <sz val="9"/>
            <color indexed="81"/>
            <rFont val="Tahoma"/>
            <family val="2"/>
          </rPr>
          <t>Solver found a solution. All constraints and optimality conditions are satisfied.</t>
        </r>
      </text>
    </comment>
    <comment ref="B403" authorId="0" shapeId="0">
      <text>
        <r>
          <rPr>
            <sz val="9"/>
            <color indexed="81"/>
            <rFont val="Tahoma"/>
            <family val="2"/>
          </rPr>
          <t>Solver found a solution. All constraints and optimality conditions are satisfied.</t>
        </r>
      </text>
    </comment>
    <comment ref="B404" authorId="0" shapeId="0">
      <text>
        <r>
          <rPr>
            <sz val="9"/>
            <color indexed="81"/>
            <rFont val="Tahoma"/>
            <family val="2"/>
          </rPr>
          <t>Solver found a solution. All constraints and optimality conditions are satisfied.</t>
        </r>
      </text>
    </comment>
    <comment ref="B405" authorId="0" shapeId="0">
      <text>
        <r>
          <rPr>
            <sz val="9"/>
            <color indexed="81"/>
            <rFont val="Tahoma"/>
            <family val="2"/>
          </rPr>
          <t>Solver found a solution. All constraints and optimality conditions are satisfied.</t>
        </r>
      </text>
    </comment>
    <comment ref="B406" authorId="0" shapeId="0">
      <text>
        <r>
          <rPr>
            <sz val="9"/>
            <color indexed="81"/>
            <rFont val="Tahoma"/>
            <family val="2"/>
          </rPr>
          <t>Solver found a solution. All constraints and optimality conditions are satisfied.</t>
        </r>
      </text>
    </comment>
    <comment ref="B407" authorId="0" shapeId="0">
      <text>
        <r>
          <rPr>
            <sz val="9"/>
            <color indexed="81"/>
            <rFont val="Tahoma"/>
            <family val="2"/>
          </rPr>
          <t>Solver found a solution. All constraints and optimality conditions are satisfied.</t>
        </r>
      </text>
    </comment>
    <comment ref="B408" authorId="0" shapeId="0">
      <text>
        <r>
          <rPr>
            <sz val="9"/>
            <color indexed="81"/>
            <rFont val="Tahoma"/>
            <family val="2"/>
          </rPr>
          <t>Solver found a solution. All constraints and optimality conditions are satisfied.</t>
        </r>
      </text>
    </comment>
    <comment ref="B409" authorId="0" shapeId="0">
      <text>
        <r>
          <rPr>
            <sz val="9"/>
            <color indexed="81"/>
            <rFont val="Tahoma"/>
            <family val="2"/>
          </rPr>
          <t>Solver found a solution. All constraints and optimality conditions are satisfied.</t>
        </r>
      </text>
    </comment>
    <comment ref="B410" authorId="0" shapeId="0">
      <text>
        <r>
          <rPr>
            <sz val="9"/>
            <color indexed="81"/>
            <rFont val="Tahoma"/>
            <family val="2"/>
          </rPr>
          <t>Solver found a solution. All constraints and optimality conditions are satisfied.</t>
        </r>
      </text>
    </comment>
    <comment ref="B411" authorId="0" shapeId="0">
      <text>
        <r>
          <rPr>
            <sz val="9"/>
            <color indexed="81"/>
            <rFont val="Tahoma"/>
            <family val="2"/>
          </rPr>
          <t>Solver found a solution. All constraints and optimality conditions are satisfied.</t>
        </r>
      </text>
    </comment>
    <comment ref="B412" authorId="0" shapeId="0">
      <text>
        <r>
          <rPr>
            <sz val="9"/>
            <color indexed="81"/>
            <rFont val="Tahoma"/>
            <family val="2"/>
          </rPr>
          <t>Solver found a solution. All constraints and optimality conditions are satisfied.</t>
        </r>
      </text>
    </comment>
    <comment ref="B413" authorId="0" shapeId="0">
      <text>
        <r>
          <rPr>
            <sz val="9"/>
            <color indexed="81"/>
            <rFont val="Tahoma"/>
            <family val="2"/>
          </rPr>
          <t>Solver found a solution. All constraints and optimality conditions are satisfied.</t>
        </r>
      </text>
    </comment>
    <comment ref="B414" authorId="0" shapeId="0">
      <text>
        <r>
          <rPr>
            <sz val="9"/>
            <color indexed="81"/>
            <rFont val="Tahoma"/>
            <family val="2"/>
          </rPr>
          <t>Solver found a solution. All constraints and optimality conditions are satisfied.</t>
        </r>
      </text>
    </comment>
    <comment ref="B415" authorId="0" shapeId="0">
      <text>
        <r>
          <rPr>
            <sz val="9"/>
            <color indexed="81"/>
            <rFont val="Tahoma"/>
            <family val="2"/>
          </rPr>
          <t>Solver found a solution. All constraints and optimality conditions are satisfied.</t>
        </r>
      </text>
    </comment>
    <comment ref="B416" authorId="0" shapeId="0">
      <text>
        <r>
          <rPr>
            <sz val="9"/>
            <color indexed="81"/>
            <rFont val="Tahoma"/>
            <family val="2"/>
          </rPr>
          <t>Solver found a solution. All constraints and optimality conditions are satisfied.</t>
        </r>
      </text>
    </comment>
    <comment ref="B417" authorId="0" shapeId="0">
      <text>
        <r>
          <rPr>
            <sz val="9"/>
            <color indexed="81"/>
            <rFont val="Tahoma"/>
            <family val="2"/>
          </rPr>
          <t>Solver found a solution. All constraints and optimality conditions are satisfied.</t>
        </r>
      </text>
    </comment>
    <comment ref="B418" authorId="0" shapeId="0">
      <text>
        <r>
          <rPr>
            <sz val="9"/>
            <color indexed="81"/>
            <rFont val="Tahoma"/>
            <family val="2"/>
          </rPr>
          <t>Solver found a solution. All constraints and optimality conditions are satisfied.</t>
        </r>
      </text>
    </comment>
    <comment ref="B419" authorId="0" shapeId="0">
      <text>
        <r>
          <rPr>
            <sz val="9"/>
            <color indexed="81"/>
            <rFont val="Tahoma"/>
            <family val="2"/>
          </rPr>
          <t>Solver found a solution. All constraints and optimality conditions are satisfied.</t>
        </r>
      </text>
    </comment>
    <comment ref="B420" authorId="0" shapeId="0">
      <text>
        <r>
          <rPr>
            <sz val="9"/>
            <color indexed="81"/>
            <rFont val="Tahoma"/>
            <family val="2"/>
          </rPr>
          <t>Solver found a solution. All constraints and optimality conditions are satisfied.</t>
        </r>
      </text>
    </comment>
    <comment ref="B421" authorId="0" shapeId="0">
      <text>
        <r>
          <rPr>
            <sz val="9"/>
            <color indexed="81"/>
            <rFont val="Tahoma"/>
            <family val="2"/>
          </rPr>
          <t>Solver found a solution. All constraints and optimality conditions are satisfied.</t>
        </r>
      </text>
    </comment>
    <comment ref="B422" authorId="0" shapeId="0">
      <text>
        <r>
          <rPr>
            <sz val="9"/>
            <color indexed="81"/>
            <rFont val="Tahoma"/>
            <family val="2"/>
          </rPr>
          <t>Solver found a solution. All constraints and optimality conditions are satisfied.</t>
        </r>
      </text>
    </comment>
    <comment ref="B423" authorId="0" shapeId="0">
      <text>
        <r>
          <rPr>
            <sz val="9"/>
            <color indexed="81"/>
            <rFont val="Tahoma"/>
            <family val="2"/>
          </rPr>
          <t>Solver found a solution. All constraints and optimality conditions are satisfied.</t>
        </r>
      </text>
    </comment>
    <comment ref="B424" authorId="0" shapeId="0">
      <text>
        <r>
          <rPr>
            <sz val="9"/>
            <color indexed="81"/>
            <rFont val="Tahoma"/>
            <family val="2"/>
          </rPr>
          <t>Solver found a solution. All constraints and optimality conditions are satisfied.</t>
        </r>
      </text>
    </comment>
    <comment ref="B425" authorId="0" shapeId="0">
      <text>
        <r>
          <rPr>
            <sz val="9"/>
            <color indexed="81"/>
            <rFont val="Tahoma"/>
            <family val="2"/>
          </rPr>
          <t>Solver found a solution. All constraints and optimality conditions are satisfied.</t>
        </r>
      </text>
    </comment>
    <comment ref="B426" authorId="0" shapeId="0">
      <text>
        <r>
          <rPr>
            <sz val="9"/>
            <color indexed="81"/>
            <rFont val="Tahoma"/>
            <family val="2"/>
          </rPr>
          <t>Solver found a solution. All constraints and optimality conditions are satisfied.</t>
        </r>
      </text>
    </comment>
    <comment ref="B427" authorId="0" shapeId="0">
      <text>
        <r>
          <rPr>
            <sz val="9"/>
            <color indexed="81"/>
            <rFont val="Tahoma"/>
            <family val="2"/>
          </rPr>
          <t>Solver found a solution. All constraints and optimality conditions are satisfied.</t>
        </r>
      </text>
    </comment>
    <comment ref="B428" authorId="0" shapeId="0">
      <text>
        <r>
          <rPr>
            <sz val="9"/>
            <color indexed="81"/>
            <rFont val="Tahoma"/>
            <family val="2"/>
          </rPr>
          <t>Solver found a solution. All constraints and optimality conditions are satisfied.</t>
        </r>
      </text>
    </comment>
    <comment ref="B429" authorId="0" shapeId="0">
      <text>
        <r>
          <rPr>
            <sz val="9"/>
            <color indexed="81"/>
            <rFont val="Tahoma"/>
            <family val="2"/>
          </rPr>
          <t>Solver found a solution. All constraints and optimality conditions are satisfied.</t>
        </r>
      </text>
    </comment>
    <comment ref="B430" authorId="0" shapeId="0">
      <text>
        <r>
          <rPr>
            <sz val="9"/>
            <color indexed="81"/>
            <rFont val="Tahoma"/>
            <family val="2"/>
          </rPr>
          <t>Solver found a solution. All constraints and optimality conditions are satisfied.</t>
        </r>
      </text>
    </comment>
    <comment ref="B431" authorId="0" shapeId="0">
      <text>
        <r>
          <rPr>
            <sz val="9"/>
            <color indexed="81"/>
            <rFont val="Tahoma"/>
            <family val="2"/>
          </rPr>
          <t>Solver found a solution. All constraints and optimality conditions are satisfied.</t>
        </r>
      </text>
    </comment>
    <comment ref="B432" authorId="0" shapeId="0">
      <text>
        <r>
          <rPr>
            <sz val="9"/>
            <color indexed="81"/>
            <rFont val="Tahoma"/>
            <family val="2"/>
          </rPr>
          <t>Solver found a solution. All constraints and optimality conditions are satisfied.</t>
        </r>
      </text>
    </comment>
    <comment ref="B433" authorId="0" shapeId="0">
      <text>
        <r>
          <rPr>
            <sz val="9"/>
            <color indexed="81"/>
            <rFont val="Tahoma"/>
            <family val="2"/>
          </rPr>
          <t>Solver found a solution. All constraints and optimality conditions are satisfied.</t>
        </r>
      </text>
    </comment>
    <comment ref="B434" authorId="0" shapeId="0">
      <text>
        <r>
          <rPr>
            <sz val="9"/>
            <color indexed="81"/>
            <rFont val="Tahoma"/>
            <family val="2"/>
          </rPr>
          <t>Solver found a solution. All constraints and optimality conditions are satisfied.</t>
        </r>
      </text>
    </comment>
    <comment ref="B435" authorId="0" shapeId="0">
      <text>
        <r>
          <rPr>
            <sz val="9"/>
            <color indexed="81"/>
            <rFont val="Tahoma"/>
            <family val="2"/>
          </rPr>
          <t>Solver found a solution. All constraints and optimality conditions are satisfied.</t>
        </r>
      </text>
    </comment>
    <comment ref="B436" authorId="0" shapeId="0">
      <text>
        <r>
          <rPr>
            <sz val="9"/>
            <color indexed="81"/>
            <rFont val="Tahoma"/>
            <family val="2"/>
          </rPr>
          <t>Solver found a solution. All constraints and optimality conditions are satisfied.</t>
        </r>
      </text>
    </comment>
    <comment ref="B437" authorId="0" shapeId="0">
      <text>
        <r>
          <rPr>
            <sz val="9"/>
            <color indexed="81"/>
            <rFont val="Tahoma"/>
            <family val="2"/>
          </rPr>
          <t>Solver found a solution. All constraints and optimality conditions are satisfied.</t>
        </r>
      </text>
    </comment>
    <comment ref="B438" authorId="0" shapeId="0">
      <text>
        <r>
          <rPr>
            <sz val="9"/>
            <color indexed="81"/>
            <rFont val="Tahoma"/>
            <family val="2"/>
          </rPr>
          <t>Solver found a solution. All constraints and optimality conditions are satisfied.</t>
        </r>
      </text>
    </comment>
    <comment ref="B439" authorId="0" shapeId="0">
      <text>
        <r>
          <rPr>
            <sz val="9"/>
            <color indexed="81"/>
            <rFont val="Tahoma"/>
            <family val="2"/>
          </rPr>
          <t>Solver found a solution. All constraints and optimality conditions are satisfied.</t>
        </r>
      </text>
    </comment>
    <comment ref="B440" authorId="0" shapeId="0">
      <text>
        <r>
          <rPr>
            <sz val="9"/>
            <color indexed="81"/>
            <rFont val="Tahoma"/>
            <family val="2"/>
          </rPr>
          <t>Solver found a solution. All constraints and optimality conditions are satisfied.</t>
        </r>
      </text>
    </comment>
    <comment ref="B441" authorId="0" shapeId="0">
      <text>
        <r>
          <rPr>
            <sz val="9"/>
            <color indexed="81"/>
            <rFont val="Tahoma"/>
            <family val="2"/>
          </rPr>
          <t>Solver found a solution. All constraints and optimality conditions are satisfied.</t>
        </r>
      </text>
    </comment>
    <comment ref="B442" authorId="0" shapeId="0">
      <text>
        <r>
          <rPr>
            <sz val="9"/>
            <color indexed="81"/>
            <rFont val="Tahoma"/>
            <family val="2"/>
          </rPr>
          <t>Solver found a solution. All constraints and optimality conditions are satisfied.</t>
        </r>
      </text>
    </comment>
    <comment ref="B443" authorId="0" shapeId="0">
      <text>
        <r>
          <rPr>
            <sz val="9"/>
            <color indexed="81"/>
            <rFont val="Tahoma"/>
            <family val="2"/>
          </rPr>
          <t>Solver found a solution. All constraints and optimality conditions are satisfied.</t>
        </r>
      </text>
    </comment>
    <comment ref="B444" authorId="0" shapeId="0">
      <text>
        <r>
          <rPr>
            <sz val="9"/>
            <color indexed="81"/>
            <rFont val="Tahoma"/>
            <family val="2"/>
          </rPr>
          <t>Solver found a solution. All constraints and optimality conditions are satisfied.</t>
        </r>
      </text>
    </comment>
    <comment ref="B445" authorId="0" shapeId="0">
      <text>
        <r>
          <rPr>
            <sz val="9"/>
            <color indexed="81"/>
            <rFont val="Tahoma"/>
            <family val="2"/>
          </rPr>
          <t>Solver found a solution. All constraints and optimality conditions are satisfied.</t>
        </r>
      </text>
    </comment>
    <comment ref="B446" authorId="0" shapeId="0">
      <text>
        <r>
          <rPr>
            <sz val="9"/>
            <color indexed="81"/>
            <rFont val="Tahoma"/>
            <family val="2"/>
          </rPr>
          <t>Solver found a solution. All constraints and optimality conditions are satisfied.</t>
        </r>
      </text>
    </comment>
    <comment ref="B447" authorId="0" shapeId="0">
      <text>
        <r>
          <rPr>
            <sz val="9"/>
            <color indexed="81"/>
            <rFont val="Tahoma"/>
            <family val="2"/>
          </rPr>
          <t>Solver found a solution. All constraints and optimality conditions are satisfied.</t>
        </r>
      </text>
    </comment>
    <comment ref="B448" authorId="0" shapeId="0">
      <text>
        <r>
          <rPr>
            <sz val="9"/>
            <color indexed="81"/>
            <rFont val="Tahoma"/>
            <family val="2"/>
          </rPr>
          <t>Solver found a solution. All constraints and optimality conditions are satisfied.</t>
        </r>
      </text>
    </comment>
    <comment ref="B449" authorId="0" shapeId="0">
      <text>
        <r>
          <rPr>
            <sz val="9"/>
            <color indexed="81"/>
            <rFont val="Tahoma"/>
            <family val="2"/>
          </rPr>
          <t>Solver found a solution. All constraints and optimality conditions are satisfied.</t>
        </r>
      </text>
    </comment>
    <comment ref="B450" authorId="0" shapeId="0">
      <text>
        <r>
          <rPr>
            <sz val="9"/>
            <color indexed="81"/>
            <rFont val="Tahoma"/>
            <family val="2"/>
          </rPr>
          <t>Solver found a solution. All constraints and optimality conditions are satisfied.</t>
        </r>
      </text>
    </comment>
    <comment ref="B451" authorId="0" shapeId="0">
      <text>
        <r>
          <rPr>
            <sz val="9"/>
            <color indexed="81"/>
            <rFont val="Tahoma"/>
            <family val="2"/>
          </rPr>
          <t>Solver found a solution. All constraints and optimality conditions are satisfied.</t>
        </r>
      </text>
    </comment>
    <comment ref="B452" authorId="0" shapeId="0">
      <text>
        <r>
          <rPr>
            <sz val="9"/>
            <color indexed="81"/>
            <rFont val="Tahoma"/>
            <family val="2"/>
          </rPr>
          <t>Solver found a solution. All constraints and optimality conditions are satisfied.</t>
        </r>
      </text>
    </comment>
    <comment ref="B453" authorId="0" shapeId="0">
      <text>
        <r>
          <rPr>
            <sz val="9"/>
            <color indexed="81"/>
            <rFont val="Tahoma"/>
            <family val="2"/>
          </rPr>
          <t>Solver found a solution. All constraints and optimality conditions are satisfied.</t>
        </r>
      </text>
    </comment>
    <comment ref="B454" authorId="0" shapeId="0">
      <text>
        <r>
          <rPr>
            <sz val="9"/>
            <color indexed="81"/>
            <rFont val="Tahoma"/>
            <family val="2"/>
          </rPr>
          <t>Solver found a solution. All constraints and optimality conditions are satisfied.</t>
        </r>
      </text>
    </comment>
    <comment ref="B455" authorId="0" shapeId="0">
      <text>
        <r>
          <rPr>
            <sz val="9"/>
            <color indexed="81"/>
            <rFont val="Tahoma"/>
            <family val="2"/>
          </rPr>
          <t>Solver found a solution. All constraints and optimality conditions are satisfied.</t>
        </r>
      </text>
    </comment>
    <comment ref="B456" authorId="0" shapeId="0">
      <text>
        <r>
          <rPr>
            <sz val="9"/>
            <color indexed="81"/>
            <rFont val="Tahoma"/>
            <family val="2"/>
          </rPr>
          <t>Solver found a solution. All constraints and optimality conditions are satisfied.</t>
        </r>
      </text>
    </comment>
    <comment ref="B457" authorId="0" shapeId="0">
      <text>
        <r>
          <rPr>
            <sz val="9"/>
            <color indexed="81"/>
            <rFont val="Tahoma"/>
            <family val="2"/>
          </rPr>
          <t>Solver found a solution. All constraints and optimality conditions are satisfied.</t>
        </r>
      </text>
    </comment>
    <comment ref="B458" authorId="0" shapeId="0">
      <text>
        <r>
          <rPr>
            <sz val="9"/>
            <color indexed="81"/>
            <rFont val="Tahoma"/>
            <family val="2"/>
          </rPr>
          <t>Solver found a solution. All constraints and optimality conditions are satisfied.</t>
        </r>
      </text>
    </comment>
    <comment ref="B459" authorId="0" shapeId="0">
      <text>
        <r>
          <rPr>
            <sz val="9"/>
            <color indexed="81"/>
            <rFont val="Tahoma"/>
            <family val="2"/>
          </rPr>
          <t>Solver found a solution. All constraints and optimality conditions are satisfied.</t>
        </r>
      </text>
    </comment>
    <comment ref="B460" authorId="0" shapeId="0">
      <text>
        <r>
          <rPr>
            <sz val="9"/>
            <color indexed="81"/>
            <rFont val="Tahoma"/>
            <family val="2"/>
          </rPr>
          <t>Solver found a solution. All constraints and optimality conditions are satisfied.</t>
        </r>
      </text>
    </comment>
    <comment ref="B461" authorId="0" shapeId="0">
      <text>
        <r>
          <rPr>
            <sz val="9"/>
            <color indexed="81"/>
            <rFont val="Tahoma"/>
            <family val="2"/>
          </rPr>
          <t>Solver found a solution. All constraints and optimality conditions are satisfied.</t>
        </r>
      </text>
    </comment>
    <comment ref="B462" authorId="0" shapeId="0">
      <text>
        <r>
          <rPr>
            <sz val="9"/>
            <color indexed="81"/>
            <rFont val="Tahoma"/>
            <family val="2"/>
          </rPr>
          <t>Solver found a solution. All constraints and optimality conditions are satisfied.</t>
        </r>
      </text>
    </comment>
    <comment ref="B463" authorId="0" shapeId="0">
      <text>
        <r>
          <rPr>
            <sz val="9"/>
            <color indexed="81"/>
            <rFont val="Tahoma"/>
            <family val="2"/>
          </rPr>
          <t>Solver found a solution. All constraints and optimality conditions are satisfied.</t>
        </r>
      </text>
    </comment>
    <comment ref="B464" authorId="0" shapeId="0">
      <text>
        <r>
          <rPr>
            <sz val="9"/>
            <color indexed="81"/>
            <rFont val="Tahoma"/>
            <family val="2"/>
          </rPr>
          <t>Solver found a solution. All constraints and optimality conditions are satisfied.</t>
        </r>
      </text>
    </comment>
    <comment ref="B465" authorId="0" shapeId="0">
      <text>
        <r>
          <rPr>
            <sz val="9"/>
            <color indexed="81"/>
            <rFont val="Tahoma"/>
            <family val="2"/>
          </rPr>
          <t>Solver found a solution. All constraints and optimality conditions are satisfied.</t>
        </r>
      </text>
    </comment>
    <comment ref="B466" authorId="0" shapeId="0">
      <text>
        <r>
          <rPr>
            <sz val="9"/>
            <color indexed="81"/>
            <rFont val="Tahoma"/>
            <family val="2"/>
          </rPr>
          <t>Solver found a solution. All constraints and optimality conditions are satisfied.</t>
        </r>
      </text>
    </comment>
    <comment ref="B467" authorId="0" shapeId="0">
      <text>
        <r>
          <rPr>
            <sz val="9"/>
            <color indexed="81"/>
            <rFont val="Tahoma"/>
            <family val="2"/>
          </rPr>
          <t>Solver found a solution. All constraints and optimality conditions are satisfied.</t>
        </r>
      </text>
    </comment>
    <comment ref="B468" authorId="0" shapeId="0">
      <text>
        <r>
          <rPr>
            <sz val="9"/>
            <color indexed="81"/>
            <rFont val="Tahoma"/>
            <family val="2"/>
          </rPr>
          <t>Solver found a solution. All constraints and optimality conditions are satisfied.</t>
        </r>
      </text>
    </comment>
    <comment ref="B469" authorId="0" shapeId="0">
      <text>
        <r>
          <rPr>
            <sz val="9"/>
            <color indexed="81"/>
            <rFont val="Tahoma"/>
            <family val="2"/>
          </rPr>
          <t>Solver found a solution. All constraints and optimality conditions are satisfied.</t>
        </r>
      </text>
    </comment>
    <comment ref="B470" authorId="0" shapeId="0">
      <text>
        <r>
          <rPr>
            <sz val="9"/>
            <color indexed="81"/>
            <rFont val="Tahoma"/>
            <family val="2"/>
          </rPr>
          <t>Solver found a solution. All constraints and optimality conditions are satisfied.</t>
        </r>
      </text>
    </comment>
    <comment ref="B471" authorId="0" shapeId="0">
      <text>
        <r>
          <rPr>
            <sz val="9"/>
            <color indexed="81"/>
            <rFont val="Tahoma"/>
            <family val="2"/>
          </rPr>
          <t>Solver found a solution. All constraints and optimality conditions are satisfied.</t>
        </r>
      </text>
    </comment>
    <comment ref="B472" authorId="0" shapeId="0">
      <text>
        <r>
          <rPr>
            <sz val="9"/>
            <color indexed="81"/>
            <rFont val="Tahoma"/>
            <family val="2"/>
          </rPr>
          <t>Solver found a solution. All constraints and optimality conditions are satisfied.</t>
        </r>
      </text>
    </comment>
    <comment ref="B473" authorId="0" shapeId="0">
      <text>
        <r>
          <rPr>
            <sz val="9"/>
            <color indexed="81"/>
            <rFont val="Tahoma"/>
            <family val="2"/>
          </rPr>
          <t>Solver found a solution. All constraints and optimality conditions are satisfied.</t>
        </r>
      </text>
    </comment>
    <comment ref="B474" authorId="0" shapeId="0">
      <text>
        <r>
          <rPr>
            <sz val="9"/>
            <color indexed="81"/>
            <rFont val="Tahoma"/>
            <family val="2"/>
          </rPr>
          <t>Solver found a solution. All constraints and optimality conditions are satisfied.</t>
        </r>
      </text>
    </comment>
    <comment ref="B475" authorId="0" shapeId="0">
      <text>
        <r>
          <rPr>
            <sz val="9"/>
            <color indexed="81"/>
            <rFont val="Tahoma"/>
            <family val="2"/>
          </rPr>
          <t>Solver found a solution. All constraints and optimality conditions are satisfied.</t>
        </r>
      </text>
    </comment>
    <comment ref="B476" authorId="0" shapeId="0">
      <text>
        <r>
          <rPr>
            <sz val="9"/>
            <color indexed="81"/>
            <rFont val="Tahoma"/>
            <family val="2"/>
          </rPr>
          <t>Solver found a solution. All constraints and optimality conditions are satisfied.</t>
        </r>
      </text>
    </comment>
    <comment ref="B477" authorId="0" shapeId="0">
      <text>
        <r>
          <rPr>
            <sz val="9"/>
            <color indexed="81"/>
            <rFont val="Tahoma"/>
            <family val="2"/>
          </rPr>
          <t>Solver found a solution. All constraints and optimality conditions are satisfied.</t>
        </r>
      </text>
    </comment>
    <comment ref="B478" authorId="0" shapeId="0">
      <text>
        <r>
          <rPr>
            <sz val="9"/>
            <color indexed="81"/>
            <rFont val="Tahoma"/>
            <family val="2"/>
          </rPr>
          <t>Solver found a solution. All constraints and optimality conditions are satisfied.</t>
        </r>
      </text>
    </comment>
    <comment ref="B479" authorId="0" shapeId="0">
      <text>
        <r>
          <rPr>
            <sz val="9"/>
            <color indexed="81"/>
            <rFont val="Tahoma"/>
            <family val="2"/>
          </rPr>
          <t>Solver found a solution. All constraints and optimality conditions are satisfied.</t>
        </r>
      </text>
    </comment>
    <comment ref="B480" authorId="0" shapeId="0">
      <text>
        <r>
          <rPr>
            <sz val="9"/>
            <color indexed="81"/>
            <rFont val="Tahoma"/>
            <family val="2"/>
          </rPr>
          <t>Solver found a solution. All constraints and optimality conditions are satisfied.</t>
        </r>
      </text>
    </comment>
    <comment ref="B481" authorId="0" shapeId="0">
      <text>
        <r>
          <rPr>
            <sz val="9"/>
            <color indexed="81"/>
            <rFont val="Tahoma"/>
            <family val="2"/>
          </rPr>
          <t>Solver found a solution. All constraints and optimality conditions are satisfied.</t>
        </r>
      </text>
    </comment>
    <comment ref="B482" authorId="0" shapeId="0">
      <text>
        <r>
          <rPr>
            <sz val="9"/>
            <color indexed="81"/>
            <rFont val="Tahoma"/>
            <family val="2"/>
          </rPr>
          <t>Solver found a solution. All constraints and optimality conditions are satisfied.</t>
        </r>
      </text>
    </comment>
    <comment ref="B483" authorId="0" shapeId="0">
      <text>
        <r>
          <rPr>
            <sz val="9"/>
            <color indexed="81"/>
            <rFont val="Tahoma"/>
            <family val="2"/>
          </rPr>
          <t>Solver found a solution. All constraints and optimality conditions are satisfied.</t>
        </r>
      </text>
    </comment>
    <comment ref="B484" authorId="0" shapeId="0">
      <text>
        <r>
          <rPr>
            <sz val="9"/>
            <color indexed="81"/>
            <rFont val="Tahoma"/>
            <family val="2"/>
          </rPr>
          <t>Solver found a solution. All constraints and optimality conditions are satisfied.</t>
        </r>
      </text>
    </comment>
    <comment ref="B485" authorId="0" shapeId="0">
      <text>
        <r>
          <rPr>
            <sz val="9"/>
            <color indexed="81"/>
            <rFont val="Tahoma"/>
            <family val="2"/>
          </rPr>
          <t>Solver found a solution. All constraints and optimality conditions are satisfied.</t>
        </r>
      </text>
    </comment>
    <comment ref="B486" authorId="0" shapeId="0">
      <text>
        <r>
          <rPr>
            <sz val="9"/>
            <color indexed="81"/>
            <rFont val="Tahoma"/>
            <family val="2"/>
          </rPr>
          <t>Solver found a solution. All constraints and optimality conditions are satisfied.</t>
        </r>
      </text>
    </comment>
    <comment ref="B487" authorId="0" shapeId="0">
      <text>
        <r>
          <rPr>
            <sz val="9"/>
            <color indexed="81"/>
            <rFont val="Tahoma"/>
            <family val="2"/>
          </rPr>
          <t>Solver found a solution. All constraints and optimality conditions are satisfied.</t>
        </r>
      </text>
    </comment>
    <comment ref="B488" authorId="0" shapeId="0">
      <text>
        <r>
          <rPr>
            <sz val="9"/>
            <color indexed="81"/>
            <rFont val="Tahoma"/>
            <family val="2"/>
          </rPr>
          <t>Solver found a solution. All constraints and optimality conditions are satisfied.</t>
        </r>
      </text>
    </comment>
    <comment ref="B489" authorId="0" shapeId="0">
      <text>
        <r>
          <rPr>
            <sz val="9"/>
            <color indexed="81"/>
            <rFont val="Tahoma"/>
            <family val="2"/>
          </rPr>
          <t>Solver found a solution. All constraints and optimality conditions are satisfied.</t>
        </r>
      </text>
    </comment>
    <comment ref="B490" authorId="0" shapeId="0">
      <text>
        <r>
          <rPr>
            <sz val="9"/>
            <color indexed="81"/>
            <rFont val="Tahoma"/>
            <family val="2"/>
          </rPr>
          <t>Solver found a solution. All constraints and optimality conditions are satisfied.</t>
        </r>
      </text>
    </comment>
    <comment ref="B491" authorId="0" shapeId="0">
      <text>
        <r>
          <rPr>
            <sz val="9"/>
            <color indexed="81"/>
            <rFont val="Tahoma"/>
            <family val="2"/>
          </rPr>
          <t>Solver found a solution. All constraints and optimality conditions are satisfied.</t>
        </r>
      </text>
    </comment>
    <comment ref="B492" authorId="0" shapeId="0">
      <text>
        <r>
          <rPr>
            <sz val="9"/>
            <color indexed="81"/>
            <rFont val="Tahoma"/>
            <family val="2"/>
          </rPr>
          <t>Solver found a solution. All constraints and optimality conditions are satisfied.</t>
        </r>
      </text>
    </comment>
    <comment ref="B493" authorId="0" shapeId="0">
      <text>
        <r>
          <rPr>
            <sz val="9"/>
            <color indexed="81"/>
            <rFont val="Tahoma"/>
            <family val="2"/>
          </rPr>
          <t>Solver found a solution. All constraints and optimality conditions are satisfied.</t>
        </r>
      </text>
    </comment>
    <comment ref="B494" authorId="0" shapeId="0">
      <text>
        <r>
          <rPr>
            <sz val="9"/>
            <color indexed="81"/>
            <rFont val="Tahoma"/>
            <family val="2"/>
          </rPr>
          <t>Solver found a solution. All constraints and optimality conditions are satisfied.</t>
        </r>
      </text>
    </comment>
    <comment ref="B495" authorId="0" shapeId="0">
      <text>
        <r>
          <rPr>
            <sz val="9"/>
            <color indexed="81"/>
            <rFont val="Tahoma"/>
            <family val="2"/>
          </rPr>
          <t>Solver found a solution. All constraints and optimality conditions are satisfied.</t>
        </r>
      </text>
    </comment>
    <comment ref="B496" authorId="0" shapeId="0">
      <text>
        <r>
          <rPr>
            <sz val="9"/>
            <color indexed="81"/>
            <rFont val="Tahoma"/>
            <family val="2"/>
          </rPr>
          <t>Solver found a solution. All constraints and optimality conditions are satisfied.</t>
        </r>
      </text>
    </comment>
    <comment ref="B497" authorId="0" shapeId="0">
      <text>
        <r>
          <rPr>
            <sz val="9"/>
            <color indexed="81"/>
            <rFont val="Tahoma"/>
            <family val="2"/>
          </rPr>
          <t>Solver found a solution. All constraints and optimality conditions are satisfied.</t>
        </r>
      </text>
    </comment>
    <comment ref="B498" authorId="0" shapeId="0">
      <text>
        <r>
          <rPr>
            <sz val="9"/>
            <color indexed="81"/>
            <rFont val="Tahoma"/>
            <family val="2"/>
          </rPr>
          <t>Solver found a solution. All constraints and optimality conditions are satisfied.</t>
        </r>
      </text>
    </comment>
    <comment ref="B499" authorId="0" shapeId="0">
      <text>
        <r>
          <rPr>
            <sz val="9"/>
            <color indexed="81"/>
            <rFont val="Tahoma"/>
            <family val="2"/>
          </rPr>
          <t>Solver found a solution. All constraints and optimality conditions are satisfied.</t>
        </r>
      </text>
    </comment>
    <comment ref="B500" authorId="0" shapeId="0">
      <text>
        <r>
          <rPr>
            <sz val="9"/>
            <color indexed="81"/>
            <rFont val="Tahoma"/>
            <family val="2"/>
          </rPr>
          <t>Solver found a solution. All constraints and optimality conditions are satisfied.</t>
        </r>
      </text>
    </comment>
    <comment ref="B501" authorId="0" shapeId="0">
      <text>
        <r>
          <rPr>
            <sz val="9"/>
            <color indexed="81"/>
            <rFont val="Tahoma"/>
            <family val="2"/>
          </rPr>
          <t>Solver found a solution. All constraints and optimality conditions are satisfied.</t>
        </r>
      </text>
    </comment>
    <comment ref="B502" authorId="0" shapeId="0">
      <text>
        <r>
          <rPr>
            <sz val="9"/>
            <color indexed="81"/>
            <rFont val="Tahoma"/>
            <family val="2"/>
          </rPr>
          <t>Solver found a solution. All constraints and optimality conditions are satisfied.</t>
        </r>
      </text>
    </comment>
    <comment ref="B503" authorId="0" shapeId="0">
      <text>
        <r>
          <rPr>
            <sz val="9"/>
            <color indexed="81"/>
            <rFont val="Tahoma"/>
            <family val="2"/>
          </rPr>
          <t>Solver found a solution. All constraints and optimality conditions are satisfied.</t>
        </r>
      </text>
    </comment>
    <comment ref="B504" authorId="0" shapeId="0">
      <text>
        <r>
          <rPr>
            <sz val="9"/>
            <color indexed="81"/>
            <rFont val="Tahoma"/>
            <family val="2"/>
          </rPr>
          <t>Solver found a solution. All constraints and optimality conditions are satisfied.</t>
        </r>
      </text>
    </comment>
    <comment ref="B505" authorId="0" shapeId="0">
      <text>
        <r>
          <rPr>
            <sz val="9"/>
            <color indexed="81"/>
            <rFont val="Tahoma"/>
            <family val="2"/>
          </rPr>
          <t>Solver found a solution. All constraints and optimality conditions are satisfied.</t>
        </r>
      </text>
    </comment>
    <comment ref="B506" authorId="0" shapeId="0">
      <text>
        <r>
          <rPr>
            <sz val="9"/>
            <color indexed="81"/>
            <rFont val="Tahoma"/>
            <family val="2"/>
          </rPr>
          <t>Solver found a solution. All constraints and optimality conditions are satisfied.</t>
        </r>
      </text>
    </comment>
    <comment ref="B507" authorId="0" shapeId="0">
      <text>
        <r>
          <rPr>
            <sz val="9"/>
            <color indexed="81"/>
            <rFont val="Tahoma"/>
            <family val="2"/>
          </rPr>
          <t>Solver found a solution. All constraints and optimality conditions are satisfied.</t>
        </r>
      </text>
    </comment>
    <comment ref="B508" authorId="0" shapeId="0">
      <text>
        <r>
          <rPr>
            <sz val="9"/>
            <color indexed="81"/>
            <rFont val="Tahoma"/>
            <family val="2"/>
          </rPr>
          <t>Solver found a solution. All constraints and optimality conditions are satisfied.</t>
        </r>
      </text>
    </comment>
    <comment ref="B509" authorId="0" shapeId="0">
      <text>
        <r>
          <rPr>
            <sz val="9"/>
            <color indexed="81"/>
            <rFont val="Tahoma"/>
            <family val="2"/>
          </rPr>
          <t>Solver found a solution. All constraints and optimality conditions are satisfied.</t>
        </r>
      </text>
    </comment>
    <comment ref="B510" authorId="0" shapeId="0">
      <text>
        <r>
          <rPr>
            <sz val="9"/>
            <color indexed="81"/>
            <rFont val="Tahoma"/>
            <family val="2"/>
          </rPr>
          <t>Solver found a solution. All constraints and optimality conditions are satisfied.</t>
        </r>
      </text>
    </comment>
    <comment ref="B511" authorId="0" shapeId="0">
      <text>
        <r>
          <rPr>
            <sz val="9"/>
            <color indexed="81"/>
            <rFont val="Tahoma"/>
            <family val="2"/>
          </rPr>
          <t>Solver found a solution. All constraints and optimality conditions are satisfied.</t>
        </r>
      </text>
    </comment>
    <comment ref="B512" authorId="0" shapeId="0">
      <text>
        <r>
          <rPr>
            <sz val="9"/>
            <color indexed="81"/>
            <rFont val="Tahoma"/>
            <family val="2"/>
          </rPr>
          <t>Solver found a solution. All constraints and optimality conditions are satisfied.</t>
        </r>
      </text>
    </comment>
    <comment ref="B513" authorId="0" shapeId="0">
      <text>
        <r>
          <rPr>
            <sz val="9"/>
            <color indexed="81"/>
            <rFont val="Tahoma"/>
            <family val="2"/>
          </rPr>
          <t>Solver found a solution. All constraints and optimality conditions are satisfied.</t>
        </r>
      </text>
    </comment>
    <comment ref="B514" authorId="0" shapeId="0">
      <text>
        <r>
          <rPr>
            <sz val="9"/>
            <color indexed="81"/>
            <rFont val="Tahoma"/>
            <family val="2"/>
          </rPr>
          <t>Solver found a solution. All constraints and optimality conditions are satisfied.</t>
        </r>
      </text>
    </comment>
    <comment ref="B515" authorId="0" shapeId="0">
      <text>
        <r>
          <rPr>
            <sz val="9"/>
            <color indexed="81"/>
            <rFont val="Tahoma"/>
            <family val="2"/>
          </rPr>
          <t>Solver found a solution. All constraints and optimality conditions are satisfied.</t>
        </r>
      </text>
    </comment>
    <comment ref="B516" authorId="0" shapeId="0">
      <text>
        <r>
          <rPr>
            <sz val="9"/>
            <color indexed="81"/>
            <rFont val="Tahoma"/>
            <family val="2"/>
          </rPr>
          <t>Solver found a solution. All constraints and optimality conditions are satisfied.</t>
        </r>
      </text>
    </comment>
    <comment ref="B517" authorId="0" shapeId="0">
      <text>
        <r>
          <rPr>
            <sz val="9"/>
            <color indexed="81"/>
            <rFont val="Tahoma"/>
            <family val="2"/>
          </rPr>
          <t>Solver found a solution. All constraints and optimality conditions are satisfied.</t>
        </r>
      </text>
    </comment>
    <comment ref="B518" authorId="0" shapeId="0">
      <text>
        <r>
          <rPr>
            <sz val="9"/>
            <color indexed="81"/>
            <rFont val="Tahoma"/>
            <family val="2"/>
          </rPr>
          <t>Solver found a solution. All constraints and optimality conditions are satisfied.</t>
        </r>
      </text>
    </comment>
    <comment ref="B519" authorId="0" shapeId="0">
      <text>
        <r>
          <rPr>
            <sz val="9"/>
            <color indexed="81"/>
            <rFont val="Tahoma"/>
            <family val="2"/>
          </rPr>
          <t>Solver found a solution. All constraints and optimality conditions are satisfied.</t>
        </r>
      </text>
    </comment>
    <comment ref="B520" authorId="0" shapeId="0">
      <text>
        <r>
          <rPr>
            <sz val="9"/>
            <color indexed="81"/>
            <rFont val="Tahoma"/>
            <family val="2"/>
          </rPr>
          <t>Solver found a solution. All constraints and optimality conditions are satisfied.</t>
        </r>
      </text>
    </comment>
    <comment ref="B521" authorId="0" shapeId="0">
      <text>
        <r>
          <rPr>
            <sz val="9"/>
            <color indexed="81"/>
            <rFont val="Tahoma"/>
            <family val="2"/>
          </rPr>
          <t>Solver found a solution. All constraints and optimality conditions are satisfied.</t>
        </r>
      </text>
    </comment>
    <comment ref="B522" authorId="0" shapeId="0">
      <text>
        <r>
          <rPr>
            <sz val="9"/>
            <color indexed="81"/>
            <rFont val="Tahoma"/>
            <family val="2"/>
          </rPr>
          <t>Solver found a solution. All constraints and optimality conditions are satisfied.</t>
        </r>
      </text>
    </comment>
    <comment ref="B523" authorId="0" shapeId="0">
      <text>
        <r>
          <rPr>
            <sz val="9"/>
            <color indexed="81"/>
            <rFont val="Tahoma"/>
            <family val="2"/>
          </rPr>
          <t>Solver found a solution. All constraints and optimality conditions are satisfied.</t>
        </r>
      </text>
    </comment>
    <comment ref="B524" authorId="0" shapeId="0">
      <text>
        <r>
          <rPr>
            <sz val="9"/>
            <color indexed="81"/>
            <rFont val="Tahoma"/>
            <family val="2"/>
          </rPr>
          <t>Solver found a solution. All constraints and optimality conditions are satisfied.</t>
        </r>
      </text>
    </comment>
    <comment ref="B525" authorId="0" shapeId="0">
      <text>
        <r>
          <rPr>
            <sz val="9"/>
            <color indexed="81"/>
            <rFont val="Tahoma"/>
            <family val="2"/>
          </rPr>
          <t>Solver found a solution. All constraints and optimality conditions are satisfied.</t>
        </r>
      </text>
    </comment>
    <comment ref="B526" authorId="0" shapeId="0">
      <text>
        <r>
          <rPr>
            <sz val="9"/>
            <color indexed="81"/>
            <rFont val="Tahoma"/>
            <family val="2"/>
          </rPr>
          <t>Solver found a solution. All constraints and optimality conditions are satisfied.</t>
        </r>
      </text>
    </comment>
    <comment ref="B527" authorId="0" shapeId="0">
      <text>
        <r>
          <rPr>
            <sz val="9"/>
            <color indexed="81"/>
            <rFont val="Tahoma"/>
            <family val="2"/>
          </rPr>
          <t>Solver found a solution. All constraints and optimality conditions are satisfied.</t>
        </r>
      </text>
    </comment>
    <comment ref="B528" authorId="0" shapeId="0">
      <text>
        <r>
          <rPr>
            <sz val="9"/>
            <color indexed="81"/>
            <rFont val="Tahoma"/>
            <family val="2"/>
          </rPr>
          <t>Solver found a solution. All constraints and optimality conditions are satisfied.</t>
        </r>
      </text>
    </comment>
    <comment ref="B529" authorId="0" shapeId="0">
      <text>
        <r>
          <rPr>
            <sz val="9"/>
            <color indexed="81"/>
            <rFont val="Tahoma"/>
            <family val="2"/>
          </rPr>
          <t>Solver found a solution. All constraints and optimality conditions are satisfied.</t>
        </r>
      </text>
    </comment>
    <comment ref="B530" authorId="0" shapeId="0">
      <text>
        <r>
          <rPr>
            <sz val="9"/>
            <color indexed="81"/>
            <rFont val="Tahoma"/>
            <family val="2"/>
          </rPr>
          <t>Solver found a solution. All constraints and optimality conditions are satisfied.</t>
        </r>
      </text>
    </comment>
    <comment ref="B531" authorId="0" shapeId="0">
      <text>
        <r>
          <rPr>
            <sz val="9"/>
            <color indexed="81"/>
            <rFont val="Tahoma"/>
            <family val="2"/>
          </rPr>
          <t>Solver found a solution. All constraints and optimality conditions are satisfied.</t>
        </r>
      </text>
    </comment>
    <comment ref="B532" authorId="0" shapeId="0">
      <text>
        <r>
          <rPr>
            <sz val="9"/>
            <color indexed="81"/>
            <rFont val="Tahoma"/>
            <family val="2"/>
          </rPr>
          <t>Solver found a solution. All constraints and optimality conditions are satisfied.</t>
        </r>
      </text>
    </comment>
    <comment ref="B533" authorId="0" shapeId="0">
      <text>
        <r>
          <rPr>
            <sz val="9"/>
            <color indexed="81"/>
            <rFont val="Tahoma"/>
            <family val="2"/>
          </rPr>
          <t>Solver found a solution. All constraints and optimality conditions are satisfied.</t>
        </r>
      </text>
    </comment>
    <comment ref="B534" authorId="0" shapeId="0">
      <text>
        <r>
          <rPr>
            <sz val="9"/>
            <color indexed="81"/>
            <rFont val="Tahoma"/>
            <family val="2"/>
          </rPr>
          <t>Solver found a solution. All constraints and optimality conditions are satisfied.</t>
        </r>
      </text>
    </comment>
    <comment ref="B535" authorId="0" shapeId="0">
      <text>
        <r>
          <rPr>
            <sz val="9"/>
            <color indexed="81"/>
            <rFont val="Tahoma"/>
            <family val="2"/>
          </rPr>
          <t>Solver found a solution. All constraints and optimality conditions are satisfied.</t>
        </r>
      </text>
    </comment>
    <comment ref="B536" authorId="0" shapeId="0">
      <text>
        <r>
          <rPr>
            <sz val="9"/>
            <color indexed="81"/>
            <rFont val="Tahoma"/>
            <family val="2"/>
          </rPr>
          <t>Solver found a solution. All constraints and optimality conditions are satisfied.</t>
        </r>
      </text>
    </comment>
    <comment ref="B537" authorId="0" shapeId="0">
      <text>
        <r>
          <rPr>
            <sz val="9"/>
            <color indexed="81"/>
            <rFont val="Tahoma"/>
            <family val="2"/>
          </rPr>
          <t>Solver found a solution. All constraints and optimality conditions are satisfied.</t>
        </r>
      </text>
    </comment>
    <comment ref="B538" authorId="0" shapeId="0">
      <text>
        <r>
          <rPr>
            <sz val="9"/>
            <color indexed="81"/>
            <rFont val="Tahoma"/>
            <family val="2"/>
          </rPr>
          <t>Solver found a solution. All constraints and optimality conditions are satisfied.</t>
        </r>
      </text>
    </comment>
    <comment ref="B539" authorId="0" shapeId="0">
      <text>
        <r>
          <rPr>
            <sz val="9"/>
            <color indexed="81"/>
            <rFont val="Tahoma"/>
            <family val="2"/>
          </rPr>
          <t>Solver found a solution. All constraints and optimality conditions are satisfied.</t>
        </r>
      </text>
    </comment>
    <comment ref="B540" authorId="0" shapeId="0">
      <text>
        <r>
          <rPr>
            <sz val="9"/>
            <color indexed="81"/>
            <rFont val="Tahoma"/>
            <family val="2"/>
          </rPr>
          <t>Solver found a solution. All constraints and optimality conditions are satisfied.</t>
        </r>
      </text>
    </comment>
    <comment ref="B541" authorId="0" shapeId="0">
      <text>
        <r>
          <rPr>
            <sz val="9"/>
            <color indexed="81"/>
            <rFont val="Tahoma"/>
            <family val="2"/>
          </rPr>
          <t>Solver found a solution. All constraints and optimality conditions are satisfied.</t>
        </r>
      </text>
    </comment>
    <comment ref="B542" authorId="0" shapeId="0">
      <text>
        <r>
          <rPr>
            <sz val="9"/>
            <color indexed="81"/>
            <rFont val="Tahoma"/>
            <family val="2"/>
          </rPr>
          <t>Solver found a solution. All constraints and optimality conditions are satisfied.</t>
        </r>
      </text>
    </comment>
    <comment ref="B543" authorId="0" shapeId="0">
      <text>
        <r>
          <rPr>
            <sz val="9"/>
            <color indexed="81"/>
            <rFont val="Tahoma"/>
            <family val="2"/>
          </rPr>
          <t>Solver found a solution. All constraints and optimality conditions are satisfied.</t>
        </r>
      </text>
    </comment>
    <comment ref="B544" authorId="0" shapeId="0">
      <text>
        <r>
          <rPr>
            <sz val="9"/>
            <color indexed="81"/>
            <rFont val="Tahoma"/>
            <family val="2"/>
          </rPr>
          <t>Solver found a solution. All constraints and optimality conditions are satisfied.</t>
        </r>
      </text>
    </comment>
    <comment ref="B545" authorId="0" shapeId="0">
      <text>
        <r>
          <rPr>
            <sz val="9"/>
            <color indexed="81"/>
            <rFont val="Tahoma"/>
            <family val="2"/>
          </rPr>
          <t>Solver found a solution. All constraints and optimality conditions are satisfied.</t>
        </r>
      </text>
    </comment>
    <comment ref="B546" authorId="0" shapeId="0">
      <text>
        <r>
          <rPr>
            <sz val="9"/>
            <color indexed="81"/>
            <rFont val="Tahoma"/>
            <family val="2"/>
          </rPr>
          <t>Solver found a solution. All constraints and optimality conditions are satisfied.</t>
        </r>
      </text>
    </comment>
    <comment ref="B547" authorId="0" shapeId="0">
      <text>
        <r>
          <rPr>
            <sz val="9"/>
            <color indexed="81"/>
            <rFont val="Tahoma"/>
            <family val="2"/>
          </rPr>
          <t>Solver found a solution. All constraints and optimality conditions are satisfied.</t>
        </r>
      </text>
    </comment>
    <comment ref="B548" authorId="0" shapeId="0">
      <text>
        <r>
          <rPr>
            <sz val="9"/>
            <color indexed="81"/>
            <rFont val="Tahoma"/>
            <family val="2"/>
          </rPr>
          <t>Solver found a solution. All constraints and optimality conditions are satisfied.</t>
        </r>
      </text>
    </comment>
    <comment ref="B549" authorId="0" shapeId="0">
      <text>
        <r>
          <rPr>
            <sz val="9"/>
            <color indexed="81"/>
            <rFont val="Tahoma"/>
            <family val="2"/>
          </rPr>
          <t>Solver found a solution. All constraints and optimality conditions are satisfied.</t>
        </r>
      </text>
    </comment>
    <comment ref="B550" authorId="0" shapeId="0">
      <text>
        <r>
          <rPr>
            <sz val="9"/>
            <color indexed="81"/>
            <rFont val="Tahoma"/>
            <family val="2"/>
          </rPr>
          <t>Solver found a solution. All constraints and optimality conditions are satisfied.</t>
        </r>
      </text>
    </comment>
    <comment ref="B551" authorId="0" shapeId="0">
      <text>
        <r>
          <rPr>
            <sz val="9"/>
            <color indexed="81"/>
            <rFont val="Tahoma"/>
            <family val="2"/>
          </rPr>
          <t>Solver found a solution. All constraints and optimality conditions are satisfied.</t>
        </r>
      </text>
    </comment>
    <comment ref="B552" authorId="0" shapeId="0">
      <text>
        <r>
          <rPr>
            <sz val="9"/>
            <color indexed="81"/>
            <rFont val="Tahoma"/>
            <family val="2"/>
          </rPr>
          <t>Solver found a solution. All constraints and optimality conditions are satisfied.</t>
        </r>
      </text>
    </comment>
    <comment ref="B553" authorId="0" shapeId="0">
      <text>
        <r>
          <rPr>
            <sz val="9"/>
            <color indexed="81"/>
            <rFont val="Tahoma"/>
            <family val="2"/>
          </rPr>
          <t>Solver found a solution. All constraints and optimality conditions are satisfied.</t>
        </r>
      </text>
    </comment>
    <comment ref="B554" authorId="0" shapeId="0">
      <text>
        <r>
          <rPr>
            <sz val="9"/>
            <color indexed="81"/>
            <rFont val="Tahoma"/>
            <family val="2"/>
          </rPr>
          <t>Solver found a solution. All constraints and optimality conditions are satisfied.</t>
        </r>
      </text>
    </comment>
    <comment ref="B555" authorId="0" shapeId="0">
      <text>
        <r>
          <rPr>
            <sz val="9"/>
            <color indexed="81"/>
            <rFont val="Tahoma"/>
            <family val="2"/>
          </rPr>
          <t>Solver found a solution. All constraints and optimality conditions are satisfied.</t>
        </r>
      </text>
    </comment>
    <comment ref="B556" authorId="0" shapeId="0">
      <text>
        <r>
          <rPr>
            <sz val="9"/>
            <color indexed="81"/>
            <rFont val="Tahoma"/>
            <family val="2"/>
          </rPr>
          <t>Solver found a solution. All constraints and optimality conditions are satisfied.</t>
        </r>
      </text>
    </comment>
    <comment ref="B557" authorId="0" shapeId="0">
      <text>
        <r>
          <rPr>
            <sz val="9"/>
            <color indexed="81"/>
            <rFont val="Tahoma"/>
            <family val="2"/>
          </rPr>
          <t>Solver found a solution. All constraints and optimality conditions are satisfied.</t>
        </r>
      </text>
    </comment>
    <comment ref="B558" authorId="0" shapeId="0">
      <text>
        <r>
          <rPr>
            <sz val="9"/>
            <color indexed="81"/>
            <rFont val="Tahoma"/>
            <family val="2"/>
          </rPr>
          <t>Solver found a solution. All constraints and optimality conditions are satisfied.</t>
        </r>
      </text>
    </comment>
    <comment ref="B559" authorId="0" shapeId="0">
      <text>
        <r>
          <rPr>
            <sz val="9"/>
            <color indexed="81"/>
            <rFont val="Tahoma"/>
            <family val="2"/>
          </rPr>
          <t>Solver found a solution. All constraints and optimality conditions are satisfied.</t>
        </r>
      </text>
    </comment>
    <comment ref="B560" authorId="0" shapeId="0">
      <text>
        <r>
          <rPr>
            <sz val="9"/>
            <color indexed="81"/>
            <rFont val="Tahoma"/>
            <family val="2"/>
          </rPr>
          <t>Solver found a solution. All constraints and optimality conditions are satisfied.</t>
        </r>
      </text>
    </comment>
    <comment ref="B561" authorId="0" shapeId="0">
      <text>
        <r>
          <rPr>
            <sz val="9"/>
            <color indexed="81"/>
            <rFont val="Tahoma"/>
            <family val="2"/>
          </rPr>
          <t>Solver found a solution. All constraints and optimality conditions are satisfied.</t>
        </r>
      </text>
    </comment>
    <comment ref="B562" authorId="0" shapeId="0">
      <text>
        <r>
          <rPr>
            <sz val="9"/>
            <color indexed="81"/>
            <rFont val="Tahoma"/>
            <family val="2"/>
          </rPr>
          <t>Solver found a solution. All constraints and optimality conditions are satisfied.</t>
        </r>
      </text>
    </comment>
    <comment ref="B563" authorId="0" shapeId="0">
      <text>
        <r>
          <rPr>
            <sz val="9"/>
            <color indexed="81"/>
            <rFont val="Tahoma"/>
            <family val="2"/>
          </rPr>
          <t>Solver found a solution. All constraints and optimality conditions are satisfied.</t>
        </r>
      </text>
    </comment>
    <comment ref="B564" authorId="0" shapeId="0">
      <text>
        <r>
          <rPr>
            <sz val="9"/>
            <color indexed="81"/>
            <rFont val="Tahoma"/>
            <family val="2"/>
          </rPr>
          <t>Solver found a solution. All constraints and optimality conditions are satisfied.</t>
        </r>
      </text>
    </comment>
    <comment ref="B565" authorId="0" shapeId="0">
      <text>
        <r>
          <rPr>
            <sz val="9"/>
            <color indexed="81"/>
            <rFont val="Tahoma"/>
            <family val="2"/>
          </rPr>
          <t>Solver found a solution. All constraints and optimality conditions are satisfied.</t>
        </r>
      </text>
    </comment>
    <comment ref="B566" authorId="0" shapeId="0">
      <text>
        <r>
          <rPr>
            <sz val="9"/>
            <color indexed="81"/>
            <rFont val="Tahoma"/>
            <family val="2"/>
          </rPr>
          <t>Solver found a solution. All constraints and optimality conditions are satisfied.</t>
        </r>
      </text>
    </comment>
    <comment ref="B567" authorId="0" shapeId="0">
      <text>
        <r>
          <rPr>
            <sz val="9"/>
            <color indexed="81"/>
            <rFont val="Tahoma"/>
            <family val="2"/>
          </rPr>
          <t>Solver found a solution. All constraints and optimality conditions are satisfied.</t>
        </r>
      </text>
    </comment>
    <comment ref="B568" authorId="0" shapeId="0">
      <text>
        <r>
          <rPr>
            <sz val="9"/>
            <color indexed="81"/>
            <rFont val="Tahoma"/>
            <family val="2"/>
          </rPr>
          <t>Solver found a solution. All constraints and optimality conditions are satisfied.</t>
        </r>
      </text>
    </comment>
    <comment ref="B569" authorId="0" shapeId="0">
      <text>
        <r>
          <rPr>
            <sz val="9"/>
            <color indexed="81"/>
            <rFont val="Tahoma"/>
            <family val="2"/>
          </rPr>
          <t>Solver found a solution. All constraints and optimality conditions are satisfied.</t>
        </r>
      </text>
    </comment>
    <comment ref="B570" authorId="0" shapeId="0">
      <text>
        <r>
          <rPr>
            <sz val="9"/>
            <color indexed="81"/>
            <rFont val="Tahoma"/>
            <family val="2"/>
          </rPr>
          <t>Solver found a solution. All constraints and optimality conditions are satisfied.</t>
        </r>
      </text>
    </comment>
    <comment ref="B571" authorId="0" shapeId="0">
      <text>
        <r>
          <rPr>
            <sz val="9"/>
            <color indexed="81"/>
            <rFont val="Tahoma"/>
            <family val="2"/>
          </rPr>
          <t>Solver found a solution. All constraints and optimality conditions are satisfied.</t>
        </r>
      </text>
    </comment>
    <comment ref="B572" authorId="0" shapeId="0">
      <text>
        <r>
          <rPr>
            <sz val="9"/>
            <color indexed="81"/>
            <rFont val="Tahoma"/>
            <family val="2"/>
          </rPr>
          <t>Solver found a solution. All constraints and optimality conditions are satisfied.</t>
        </r>
      </text>
    </comment>
    <comment ref="B573" authorId="0" shapeId="0">
      <text>
        <r>
          <rPr>
            <sz val="9"/>
            <color indexed="81"/>
            <rFont val="Tahoma"/>
            <family val="2"/>
          </rPr>
          <t>Solver found a solution. All constraints and optimality conditions are satisfied.</t>
        </r>
      </text>
    </comment>
    <comment ref="B574" authorId="0" shapeId="0">
      <text>
        <r>
          <rPr>
            <sz val="9"/>
            <color indexed="81"/>
            <rFont val="Tahoma"/>
            <family val="2"/>
          </rPr>
          <t>Solver found a solution. All constraints and optimality conditions are satisfied.</t>
        </r>
      </text>
    </comment>
    <comment ref="B575" authorId="0" shapeId="0">
      <text>
        <r>
          <rPr>
            <sz val="9"/>
            <color indexed="81"/>
            <rFont val="Tahoma"/>
            <family val="2"/>
          </rPr>
          <t>Solver found a solution. All constraints and optimality conditions are satisfied.</t>
        </r>
      </text>
    </comment>
    <comment ref="B576" authorId="0" shapeId="0">
      <text>
        <r>
          <rPr>
            <sz val="9"/>
            <color indexed="81"/>
            <rFont val="Tahoma"/>
            <family val="2"/>
          </rPr>
          <t>Solver found a solution. All constraints and optimality conditions are satisfied.</t>
        </r>
      </text>
    </comment>
    <comment ref="B577" authorId="0" shapeId="0">
      <text>
        <r>
          <rPr>
            <sz val="9"/>
            <color indexed="81"/>
            <rFont val="Tahoma"/>
            <family val="2"/>
          </rPr>
          <t>Solver found a solution. All constraints and optimality conditions are satisfied.</t>
        </r>
      </text>
    </comment>
    <comment ref="B578" authorId="0" shapeId="0">
      <text>
        <r>
          <rPr>
            <sz val="9"/>
            <color indexed="81"/>
            <rFont val="Tahoma"/>
            <family val="2"/>
          </rPr>
          <t>Solver found a solution. All constraints and optimality conditions are satisfied.</t>
        </r>
      </text>
    </comment>
    <comment ref="B579" authorId="0" shapeId="0">
      <text>
        <r>
          <rPr>
            <sz val="9"/>
            <color indexed="81"/>
            <rFont val="Tahoma"/>
            <family val="2"/>
          </rPr>
          <t>Solver found a solution. All constraints and optimality conditions are satisfied.</t>
        </r>
      </text>
    </comment>
    <comment ref="B580" authorId="0" shapeId="0">
      <text>
        <r>
          <rPr>
            <sz val="9"/>
            <color indexed="81"/>
            <rFont val="Tahoma"/>
            <family val="2"/>
          </rPr>
          <t>Solver found a solution. All constraints and optimality conditions are satisfied.</t>
        </r>
      </text>
    </comment>
    <comment ref="B581" authorId="0" shapeId="0">
      <text>
        <r>
          <rPr>
            <sz val="9"/>
            <color indexed="81"/>
            <rFont val="Tahoma"/>
            <family val="2"/>
          </rPr>
          <t>Solver found a solution. All constraints and optimality conditions are satisfied.</t>
        </r>
      </text>
    </comment>
    <comment ref="B582" authorId="0" shapeId="0">
      <text>
        <r>
          <rPr>
            <sz val="9"/>
            <color indexed="81"/>
            <rFont val="Tahoma"/>
            <family val="2"/>
          </rPr>
          <t>Solver found a solution. All constraints and optimality conditions are satisfied.</t>
        </r>
      </text>
    </comment>
    <comment ref="B583" authorId="0" shapeId="0">
      <text>
        <r>
          <rPr>
            <sz val="9"/>
            <color indexed="81"/>
            <rFont val="Tahoma"/>
            <family val="2"/>
          </rPr>
          <t>Solver found a solution. All constraints and optimality conditions are satisfied.</t>
        </r>
      </text>
    </comment>
    <comment ref="B584" authorId="0" shapeId="0">
      <text>
        <r>
          <rPr>
            <sz val="9"/>
            <color indexed="81"/>
            <rFont val="Tahoma"/>
            <family val="2"/>
          </rPr>
          <t>Solver found a solution. All constraints and optimality conditions are satisfied.</t>
        </r>
      </text>
    </comment>
    <comment ref="B585" authorId="0" shapeId="0">
      <text>
        <r>
          <rPr>
            <sz val="9"/>
            <color indexed="81"/>
            <rFont val="Tahoma"/>
            <family val="2"/>
          </rPr>
          <t>Solver found a solution. All constraints and optimality conditions are satisfied.</t>
        </r>
      </text>
    </comment>
    <comment ref="B586" authorId="0" shapeId="0">
      <text>
        <r>
          <rPr>
            <sz val="9"/>
            <color indexed="81"/>
            <rFont val="Tahoma"/>
            <family val="2"/>
          </rPr>
          <t>Solver found a solution. All constraints and optimality conditions are satisfied.</t>
        </r>
      </text>
    </comment>
    <comment ref="B587" authorId="0" shapeId="0">
      <text>
        <r>
          <rPr>
            <sz val="9"/>
            <color indexed="81"/>
            <rFont val="Tahoma"/>
            <family val="2"/>
          </rPr>
          <t>Solver found a solution. All constraints and optimality conditions are satisfied.</t>
        </r>
      </text>
    </comment>
    <comment ref="B588" authorId="0" shapeId="0">
      <text>
        <r>
          <rPr>
            <sz val="9"/>
            <color indexed="81"/>
            <rFont val="Tahoma"/>
            <family val="2"/>
          </rPr>
          <t>Solver found a solution. All constraints and optimality conditions are satisfied.</t>
        </r>
      </text>
    </comment>
    <comment ref="B589" authorId="0" shapeId="0">
      <text>
        <r>
          <rPr>
            <sz val="9"/>
            <color indexed="81"/>
            <rFont val="Tahoma"/>
            <family val="2"/>
          </rPr>
          <t>Solver found a solution. All constraints and optimality conditions are satisfied.</t>
        </r>
      </text>
    </comment>
    <comment ref="B590" authorId="0" shapeId="0">
      <text>
        <r>
          <rPr>
            <sz val="9"/>
            <color indexed="81"/>
            <rFont val="Tahoma"/>
            <family val="2"/>
          </rPr>
          <t>Solver found a solution. All constraints and optimality conditions are satisfied.</t>
        </r>
      </text>
    </comment>
    <comment ref="B591" authorId="0" shapeId="0">
      <text>
        <r>
          <rPr>
            <sz val="9"/>
            <color indexed="81"/>
            <rFont val="Tahoma"/>
            <family val="2"/>
          </rPr>
          <t>Solver found a solution. All constraints and optimality conditions are satisfied.</t>
        </r>
      </text>
    </comment>
    <comment ref="B592" authorId="0" shapeId="0">
      <text>
        <r>
          <rPr>
            <sz val="9"/>
            <color indexed="81"/>
            <rFont val="Tahoma"/>
            <family val="2"/>
          </rPr>
          <t>Solver found a solution. All constraints and optimality conditions are satisfied.</t>
        </r>
      </text>
    </comment>
    <comment ref="B593" authorId="0" shapeId="0">
      <text>
        <r>
          <rPr>
            <sz val="9"/>
            <color indexed="81"/>
            <rFont val="Tahoma"/>
            <family val="2"/>
          </rPr>
          <t>Solver found a solution. All constraints and optimality conditions are satisfied.</t>
        </r>
      </text>
    </comment>
    <comment ref="B594" authorId="0" shapeId="0">
      <text>
        <r>
          <rPr>
            <sz val="9"/>
            <color indexed="81"/>
            <rFont val="Tahoma"/>
            <family val="2"/>
          </rPr>
          <t>Solver found a solution. All constraints and optimality conditions are satisfied.</t>
        </r>
      </text>
    </comment>
    <comment ref="B595" authorId="0" shapeId="0">
      <text>
        <r>
          <rPr>
            <sz val="9"/>
            <color indexed="81"/>
            <rFont val="Tahoma"/>
            <family val="2"/>
          </rPr>
          <t>Solver found a solution. All constraints and optimality conditions are satisfied.</t>
        </r>
      </text>
    </comment>
    <comment ref="B596" authorId="0" shapeId="0">
      <text>
        <r>
          <rPr>
            <sz val="9"/>
            <color indexed="81"/>
            <rFont val="Tahoma"/>
            <family val="2"/>
          </rPr>
          <t>Solver found a solution. All constraints and optimality conditions are satisfied.</t>
        </r>
      </text>
    </comment>
    <comment ref="B597" authorId="0" shapeId="0">
      <text>
        <r>
          <rPr>
            <sz val="9"/>
            <color indexed="81"/>
            <rFont val="Tahoma"/>
            <family val="2"/>
          </rPr>
          <t>Solver found a solution. All constraints and optimality conditions are satisfied.</t>
        </r>
      </text>
    </comment>
    <comment ref="B598" authorId="0" shapeId="0">
      <text>
        <r>
          <rPr>
            <sz val="9"/>
            <color indexed="81"/>
            <rFont val="Tahoma"/>
            <family val="2"/>
          </rPr>
          <t>Solver found a solution. All constraints and optimality conditions are satisfied.</t>
        </r>
      </text>
    </comment>
    <comment ref="B599" authorId="0" shapeId="0">
      <text>
        <r>
          <rPr>
            <sz val="9"/>
            <color indexed="81"/>
            <rFont val="Tahoma"/>
            <family val="2"/>
          </rPr>
          <t>Solver found a solution. All constraints and optimality conditions are satisfied.</t>
        </r>
      </text>
    </comment>
    <comment ref="B600" authorId="0" shapeId="0">
      <text>
        <r>
          <rPr>
            <sz val="9"/>
            <color indexed="81"/>
            <rFont val="Tahoma"/>
            <family val="2"/>
          </rPr>
          <t>Solver found a solution. All constraints and optimality conditions are satisfied.</t>
        </r>
      </text>
    </comment>
    <comment ref="B601" authorId="0" shapeId="0">
      <text>
        <r>
          <rPr>
            <sz val="9"/>
            <color indexed="81"/>
            <rFont val="Tahoma"/>
            <family val="2"/>
          </rPr>
          <t>Solver found a solution. All constraints and optimality conditions are satisfied.</t>
        </r>
      </text>
    </comment>
    <comment ref="B602" authorId="0" shapeId="0">
      <text>
        <r>
          <rPr>
            <sz val="9"/>
            <color indexed="81"/>
            <rFont val="Tahoma"/>
            <family val="2"/>
          </rPr>
          <t>Solver found a solution. All constraints and optimality conditions are satisfied.</t>
        </r>
      </text>
    </comment>
    <comment ref="B603" authorId="0" shapeId="0">
      <text>
        <r>
          <rPr>
            <sz val="9"/>
            <color indexed="81"/>
            <rFont val="Tahoma"/>
            <family val="2"/>
          </rPr>
          <t>Solver found a solution. All constraints and optimality conditions are satisfied.</t>
        </r>
      </text>
    </comment>
    <comment ref="B604" authorId="0" shapeId="0">
      <text>
        <r>
          <rPr>
            <sz val="9"/>
            <color indexed="81"/>
            <rFont val="Tahoma"/>
            <family val="2"/>
          </rPr>
          <t>Solver found a solution. All constraints and optimality conditions are satisfied.</t>
        </r>
      </text>
    </comment>
    <comment ref="B605" authorId="0" shapeId="0">
      <text>
        <r>
          <rPr>
            <sz val="9"/>
            <color indexed="81"/>
            <rFont val="Tahoma"/>
            <family val="2"/>
          </rPr>
          <t>Solver found a solution. All constraints and optimality conditions are satisfied.</t>
        </r>
      </text>
    </comment>
    <comment ref="B606" authorId="0" shapeId="0">
      <text>
        <r>
          <rPr>
            <sz val="9"/>
            <color indexed="81"/>
            <rFont val="Tahoma"/>
            <family val="2"/>
          </rPr>
          <t>Solver found a solution. All constraints and optimality conditions are satisfied.</t>
        </r>
      </text>
    </comment>
    <comment ref="B607" authorId="0" shapeId="0">
      <text>
        <r>
          <rPr>
            <sz val="9"/>
            <color indexed="81"/>
            <rFont val="Tahoma"/>
            <family val="2"/>
          </rPr>
          <t>Solver found a solution. All constraints and optimality conditions are satisfied.</t>
        </r>
      </text>
    </comment>
    <comment ref="B608" authorId="0" shapeId="0">
      <text>
        <r>
          <rPr>
            <sz val="9"/>
            <color indexed="81"/>
            <rFont val="Tahoma"/>
            <family val="2"/>
          </rPr>
          <t>Solver found a solution. All constraints and optimality conditions are satisfied.</t>
        </r>
      </text>
    </comment>
    <comment ref="B609" authorId="0" shapeId="0">
      <text>
        <r>
          <rPr>
            <sz val="9"/>
            <color indexed="81"/>
            <rFont val="Tahoma"/>
            <family val="2"/>
          </rPr>
          <t>Solver found a solution. All constraints and optimality conditions are satisfied.</t>
        </r>
      </text>
    </comment>
    <comment ref="B610" authorId="0" shapeId="0">
      <text>
        <r>
          <rPr>
            <sz val="9"/>
            <color indexed="81"/>
            <rFont val="Tahoma"/>
            <family val="2"/>
          </rPr>
          <t>Solver found a solution. All constraints and optimality conditions are satisfied.</t>
        </r>
      </text>
    </comment>
    <comment ref="B611" authorId="0" shapeId="0">
      <text>
        <r>
          <rPr>
            <sz val="9"/>
            <color indexed="81"/>
            <rFont val="Tahoma"/>
            <family val="2"/>
          </rPr>
          <t>Solver found a solution. All constraints and optimality conditions are satisfied.</t>
        </r>
      </text>
    </comment>
    <comment ref="B612" authorId="0" shapeId="0">
      <text>
        <r>
          <rPr>
            <sz val="9"/>
            <color indexed="81"/>
            <rFont val="Tahoma"/>
            <family val="2"/>
          </rPr>
          <t>Solver found a solution. All constraints and optimality conditions are satisfied.</t>
        </r>
      </text>
    </comment>
    <comment ref="B613" authorId="0" shapeId="0">
      <text>
        <r>
          <rPr>
            <sz val="9"/>
            <color indexed="81"/>
            <rFont val="Tahoma"/>
            <family val="2"/>
          </rPr>
          <t>Solver found a solution. All constraints and optimality conditions are satisfied.</t>
        </r>
      </text>
    </comment>
    <comment ref="B614" authorId="0" shapeId="0">
      <text>
        <r>
          <rPr>
            <sz val="9"/>
            <color indexed="81"/>
            <rFont val="Tahoma"/>
            <family val="2"/>
          </rPr>
          <t>Solver found a solution. All constraints and optimality conditions are satisfied.</t>
        </r>
      </text>
    </comment>
    <comment ref="B615" authorId="0" shapeId="0">
      <text>
        <r>
          <rPr>
            <sz val="9"/>
            <color indexed="81"/>
            <rFont val="Tahoma"/>
            <family val="2"/>
          </rPr>
          <t>Solver found a solution. All constraints and optimality conditions are satisfied.</t>
        </r>
      </text>
    </comment>
    <comment ref="B616" authorId="0" shapeId="0">
      <text>
        <r>
          <rPr>
            <sz val="9"/>
            <color indexed="81"/>
            <rFont val="Tahoma"/>
            <family val="2"/>
          </rPr>
          <t>Solver found a solution. All constraints and optimality conditions are satisfied.</t>
        </r>
      </text>
    </comment>
    <comment ref="B617" authorId="0" shapeId="0">
      <text>
        <r>
          <rPr>
            <sz val="9"/>
            <color indexed="81"/>
            <rFont val="Tahoma"/>
            <family val="2"/>
          </rPr>
          <t>Solver found a solution. All constraints and optimality conditions are satisfied.</t>
        </r>
      </text>
    </comment>
    <comment ref="B618" authorId="0" shapeId="0">
      <text>
        <r>
          <rPr>
            <sz val="9"/>
            <color indexed="81"/>
            <rFont val="Tahoma"/>
            <family val="2"/>
          </rPr>
          <t>Solver found a solution. All constraints and optimality conditions are satisfied.</t>
        </r>
      </text>
    </comment>
    <comment ref="B619" authorId="0" shapeId="0">
      <text>
        <r>
          <rPr>
            <sz val="9"/>
            <color indexed="81"/>
            <rFont val="Tahoma"/>
            <family val="2"/>
          </rPr>
          <t>Solver found a solution. All constraints and optimality conditions are satisfied.</t>
        </r>
      </text>
    </comment>
    <comment ref="B620" authorId="0" shapeId="0">
      <text>
        <r>
          <rPr>
            <sz val="9"/>
            <color indexed="81"/>
            <rFont val="Tahoma"/>
            <family val="2"/>
          </rPr>
          <t>Solver found a solution. All constraints and optimality conditions are satisfied.</t>
        </r>
      </text>
    </comment>
    <comment ref="B621" authorId="0" shapeId="0">
      <text>
        <r>
          <rPr>
            <sz val="9"/>
            <color indexed="81"/>
            <rFont val="Tahoma"/>
            <family val="2"/>
          </rPr>
          <t>Solver found a solution. All constraints and optimality conditions are satisfied.</t>
        </r>
      </text>
    </comment>
    <comment ref="B622" authorId="0" shapeId="0">
      <text>
        <r>
          <rPr>
            <sz val="9"/>
            <color indexed="81"/>
            <rFont val="Tahoma"/>
            <family val="2"/>
          </rPr>
          <t>Solver found a solution. All constraints and optimality conditions are satisfied.</t>
        </r>
      </text>
    </comment>
    <comment ref="B623" authorId="0" shapeId="0">
      <text>
        <r>
          <rPr>
            <sz val="9"/>
            <color indexed="81"/>
            <rFont val="Tahoma"/>
            <family val="2"/>
          </rPr>
          <t>Solver found a solution. All constraints and optimality conditions are satisfied.</t>
        </r>
      </text>
    </comment>
    <comment ref="B624" authorId="0" shapeId="0">
      <text>
        <r>
          <rPr>
            <sz val="9"/>
            <color indexed="81"/>
            <rFont val="Tahoma"/>
            <family val="2"/>
          </rPr>
          <t>Solver found a solution. All constraints and optimality conditions are satisfied.</t>
        </r>
      </text>
    </comment>
    <comment ref="B625" authorId="0" shapeId="0">
      <text>
        <r>
          <rPr>
            <sz val="9"/>
            <color indexed="81"/>
            <rFont val="Tahoma"/>
            <family val="2"/>
          </rPr>
          <t>Solver found a solution. All constraints and optimality conditions are satisfied.</t>
        </r>
      </text>
    </comment>
    <comment ref="B626" authorId="0" shapeId="0">
      <text>
        <r>
          <rPr>
            <sz val="9"/>
            <color indexed="81"/>
            <rFont val="Tahoma"/>
            <family val="2"/>
          </rPr>
          <t>Solver found a solution. All constraints and optimality conditions are satisfied.</t>
        </r>
      </text>
    </comment>
    <comment ref="B627" authorId="0" shapeId="0">
      <text>
        <r>
          <rPr>
            <sz val="9"/>
            <color indexed="81"/>
            <rFont val="Tahoma"/>
            <family val="2"/>
          </rPr>
          <t>Solver found a solution. All constraints and optimality conditions are satisfied.</t>
        </r>
      </text>
    </comment>
    <comment ref="B628" authorId="0" shapeId="0">
      <text>
        <r>
          <rPr>
            <sz val="9"/>
            <color indexed="81"/>
            <rFont val="Tahoma"/>
            <family val="2"/>
          </rPr>
          <t>Solver found a solution. All constraints and optimality conditions are satisfied.</t>
        </r>
      </text>
    </comment>
    <comment ref="B629" authorId="0" shapeId="0">
      <text>
        <r>
          <rPr>
            <sz val="9"/>
            <color indexed="81"/>
            <rFont val="Tahoma"/>
            <family val="2"/>
          </rPr>
          <t>Solver found a solution. All constraints and optimality conditions are satisfied.</t>
        </r>
      </text>
    </comment>
    <comment ref="B630" authorId="0" shapeId="0">
      <text>
        <r>
          <rPr>
            <sz val="9"/>
            <color indexed="81"/>
            <rFont val="Tahoma"/>
            <family val="2"/>
          </rPr>
          <t>Solver found a solution. All constraints and optimality conditions are satisfied.</t>
        </r>
      </text>
    </comment>
    <comment ref="B631" authorId="0" shapeId="0">
      <text>
        <r>
          <rPr>
            <sz val="9"/>
            <color indexed="81"/>
            <rFont val="Tahoma"/>
            <family val="2"/>
          </rPr>
          <t>Solver found a solution. All constraints and optimality conditions are satisfied.</t>
        </r>
      </text>
    </comment>
    <comment ref="B632" authorId="0" shapeId="0">
      <text>
        <r>
          <rPr>
            <sz val="9"/>
            <color indexed="81"/>
            <rFont val="Tahoma"/>
            <family val="2"/>
          </rPr>
          <t>Solver found a solution. All constraints and optimality conditions are satisfied.</t>
        </r>
      </text>
    </comment>
    <comment ref="B633" authorId="0" shapeId="0">
      <text>
        <r>
          <rPr>
            <sz val="9"/>
            <color indexed="81"/>
            <rFont val="Tahoma"/>
            <family val="2"/>
          </rPr>
          <t>Solver found a solution. All constraints and optimality conditions are satisfied.</t>
        </r>
      </text>
    </comment>
    <comment ref="B634" authorId="0" shapeId="0">
      <text>
        <r>
          <rPr>
            <sz val="9"/>
            <color indexed="81"/>
            <rFont val="Tahoma"/>
            <family val="2"/>
          </rPr>
          <t>Solver found a solution. All constraints and optimality conditions are satisfied.</t>
        </r>
      </text>
    </comment>
    <comment ref="B635" authorId="0" shapeId="0">
      <text>
        <r>
          <rPr>
            <sz val="9"/>
            <color indexed="81"/>
            <rFont val="Tahoma"/>
            <family val="2"/>
          </rPr>
          <t>Solver found a solution. All constraints and optimality conditions are satisfied.</t>
        </r>
      </text>
    </comment>
    <comment ref="B636" authorId="0" shapeId="0">
      <text>
        <r>
          <rPr>
            <sz val="9"/>
            <color indexed="81"/>
            <rFont val="Tahoma"/>
            <family val="2"/>
          </rPr>
          <t>Solver found a solution. All constraints and optimality conditions are satisfied.</t>
        </r>
      </text>
    </comment>
    <comment ref="B637" authorId="0" shapeId="0">
      <text>
        <r>
          <rPr>
            <sz val="9"/>
            <color indexed="81"/>
            <rFont val="Tahoma"/>
            <family val="2"/>
          </rPr>
          <t>Solver found a solution. All constraints and optimality conditions are satisfied.</t>
        </r>
      </text>
    </comment>
    <comment ref="B638" authorId="0" shapeId="0">
      <text>
        <r>
          <rPr>
            <sz val="9"/>
            <color indexed="81"/>
            <rFont val="Tahoma"/>
            <family val="2"/>
          </rPr>
          <t>Solver found a solution. All constraints and optimality conditions are satisfied.</t>
        </r>
      </text>
    </comment>
    <comment ref="B639" authorId="0" shapeId="0">
      <text>
        <r>
          <rPr>
            <sz val="9"/>
            <color indexed="81"/>
            <rFont val="Tahoma"/>
            <family val="2"/>
          </rPr>
          <t>Solver found a solution. All constraints and optimality conditions are satisfied.</t>
        </r>
      </text>
    </comment>
    <comment ref="B640" authorId="0" shapeId="0">
      <text>
        <r>
          <rPr>
            <sz val="9"/>
            <color indexed="81"/>
            <rFont val="Tahoma"/>
            <family val="2"/>
          </rPr>
          <t>Solver found a solution. All constraints and optimality conditions are satisfied.</t>
        </r>
      </text>
    </comment>
    <comment ref="B641" authorId="0" shapeId="0">
      <text>
        <r>
          <rPr>
            <sz val="9"/>
            <color indexed="81"/>
            <rFont val="Tahoma"/>
            <family val="2"/>
          </rPr>
          <t>Solver found a solution. All constraints and optimality conditions are satisfied.</t>
        </r>
      </text>
    </comment>
    <comment ref="B642" authorId="0" shapeId="0">
      <text>
        <r>
          <rPr>
            <sz val="9"/>
            <color indexed="81"/>
            <rFont val="Tahoma"/>
            <family val="2"/>
          </rPr>
          <t>Solver found a solution. All constraints and optimality conditions are satisfied.</t>
        </r>
      </text>
    </comment>
    <comment ref="B643" authorId="0" shapeId="0">
      <text>
        <r>
          <rPr>
            <sz val="9"/>
            <color indexed="81"/>
            <rFont val="Tahoma"/>
            <family val="2"/>
          </rPr>
          <t>Solver found a solution. All constraints and optimality conditions are satisfied.</t>
        </r>
      </text>
    </comment>
    <comment ref="B644" authorId="0" shapeId="0">
      <text>
        <r>
          <rPr>
            <sz val="9"/>
            <color indexed="81"/>
            <rFont val="Tahoma"/>
            <family val="2"/>
          </rPr>
          <t>Solver found a solution. All constraints and optimality conditions are satisfied.</t>
        </r>
      </text>
    </comment>
    <comment ref="B645" authorId="0" shapeId="0">
      <text>
        <r>
          <rPr>
            <sz val="9"/>
            <color indexed="81"/>
            <rFont val="Tahoma"/>
            <family val="2"/>
          </rPr>
          <t>Solver found a solution. All constraints and optimality conditions are satisfied.</t>
        </r>
      </text>
    </comment>
    <comment ref="B646" authorId="0" shapeId="0">
      <text>
        <r>
          <rPr>
            <sz val="9"/>
            <color indexed="81"/>
            <rFont val="Tahoma"/>
            <family val="2"/>
          </rPr>
          <t>Solver found a solution. All constraints and optimality conditions are satisfied.</t>
        </r>
      </text>
    </comment>
    <comment ref="B647" authorId="0" shapeId="0">
      <text>
        <r>
          <rPr>
            <sz val="9"/>
            <color indexed="81"/>
            <rFont val="Tahoma"/>
            <family val="2"/>
          </rPr>
          <t>Solver found a solution. All constraints and optimality conditions are satisfied.</t>
        </r>
      </text>
    </comment>
    <comment ref="B648" authorId="0" shapeId="0">
      <text>
        <r>
          <rPr>
            <sz val="9"/>
            <color indexed="81"/>
            <rFont val="Tahoma"/>
            <family val="2"/>
          </rPr>
          <t>Solver found a solution. All constraints and optimality conditions are satisfied.</t>
        </r>
      </text>
    </comment>
    <comment ref="B649" authorId="0" shapeId="0">
      <text>
        <r>
          <rPr>
            <sz val="9"/>
            <color indexed="81"/>
            <rFont val="Tahoma"/>
            <family val="2"/>
          </rPr>
          <t>Solver found a solution. All constraints and optimality conditions are satisfied.</t>
        </r>
      </text>
    </comment>
    <comment ref="B650" authorId="0" shapeId="0">
      <text>
        <r>
          <rPr>
            <sz val="9"/>
            <color indexed="81"/>
            <rFont val="Tahoma"/>
            <family val="2"/>
          </rPr>
          <t>Solver found a solution. All constraints and optimality conditions are satisfied.</t>
        </r>
      </text>
    </comment>
    <comment ref="B651" authorId="0" shapeId="0">
      <text>
        <r>
          <rPr>
            <sz val="9"/>
            <color indexed="81"/>
            <rFont val="Tahoma"/>
            <family val="2"/>
          </rPr>
          <t>Solver found a solution. All constraints and optimality conditions are satisfied.</t>
        </r>
      </text>
    </comment>
    <comment ref="B652" authorId="0" shapeId="0">
      <text>
        <r>
          <rPr>
            <sz val="9"/>
            <color indexed="81"/>
            <rFont val="Tahoma"/>
            <family val="2"/>
          </rPr>
          <t>Solver found a solution. All constraints and optimality conditions are satisfied.</t>
        </r>
      </text>
    </comment>
    <comment ref="B653" authorId="0" shapeId="0">
      <text>
        <r>
          <rPr>
            <sz val="9"/>
            <color indexed="81"/>
            <rFont val="Tahoma"/>
            <family val="2"/>
          </rPr>
          <t>Solver found a solution. All constraints and optimality conditions are satisfied.</t>
        </r>
      </text>
    </comment>
    <comment ref="B654" authorId="0" shapeId="0">
      <text>
        <r>
          <rPr>
            <sz val="9"/>
            <color indexed="81"/>
            <rFont val="Tahoma"/>
            <family val="2"/>
          </rPr>
          <t>Solver found a solution. All constraints and optimality conditions are satisfied.</t>
        </r>
      </text>
    </comment>
    <comment ref="B655" authorId="0" shapeId="0">
      <text>
        <r>
          <rPr>
            <sz val="9"/>
            <color indexed="81"/>
            <rFont val="Tahoma"/>
            <family val="2"/>
          </rPr>
          <t>Solver found a solution. All constraints and optimality conditions are satisfied.</t>
        </r>
      </text>
    </comment>
    <comment ref="B656" authorId="0" shapeId="0">
      <text>
        <r>
          <rPr>
            <sz val="9"/>
            <color indexed="81"/>
            <rFont val="Tahoma"/>
            <family val="2"/>
          </rPr>
          <t>Solver found a solution. All constraints and optimality conditions are satisfied.</t>
        </r>
      </text>
    </comment>
    <comment ref="B657" authorId="0" shapeId="0">
      <text>
        <r>
          <rPr>
            <sz val="9"/>
            <color indexed="81"/>
            <rFont val="Tahoma"/>
            <family val="2"/>
          </rPr>
          <t>Solver found a solution. All constraints and optimality conditions are satisfied.</t>
        </r>
      </text>
    </comment>
    <comment ref="B658" authorId="0" shapeId="0">
      <text>
        <r>
          <rPr>
            <sz val="9"/>
            <color indexed="81"/>
            <rFont val="Tahoma"/>
            <family val="2"/>
          </rPr>
          <t>Solver found a solution. All constraints and optimality conditions are satisfied.</t>
        </r>
      </text>
    </comment>
    <comment ref="B659" authorId="0" shapeId="0">
      <text>
        <r>
          <rPr>
            <sz val="9"/>
            <color indexed="81"/>
            <rFont val="Tahoma"/>
            <family val="2"/>
          </rPr>
          <t>Solver found a solution. All constraints and optimality conditions are satisfied.</t>
        </r>
      </text>
    </comment>
    <comment ref="B660" authorId="0" shapeId="0">
      <text>
        <r>
          <rPr>
            <sz val="9"/>
            <color indexed="81"/>
            <rFont val="Tahoma"/>
            <family val="2"/>
          </rPr>
          <t>Solver found a solution. All constraints and optimality conditions are satisfied.</t>
        </r>
      </text>
    </comment>
    <comment ref="B661" authorId="0" shapeId="0">
      <text>
        <r>
          <rPr>
            <sz val="9"/>
            <color indexed="81"/>
            <rFont val="Tahoma"/>
            <family val="2"/>
          </rPr>
          <t>Solver found a solution. All constraints and optimality conditions are satisfied.</t>
        </r>
      </text>
    </comment>
    <comment ref="B662" authorId="0" shapeId="0">
      <text>
        <r>
          <rPr>
            <sz val="9"/>
            <color indexed="81"/>
            <rFont val="Tahoma"/>
            <family val="2"/>
          </rPr>
          <t>Solver found a solution. All constraints and optimality conditions are satisfied.</t>
        </r>
      </text>
    </comment>
    <comment ref="B663" authorId="0" shapeId="0">
      <text>
        <r>
          <rPr>
            <sz val="9"/>
            <color indexed="81"/>
            <rFont val="Tahoma"/>
            <family val="2"/>
          </rPr>
          <t>Solver found a solution. All constraints and optimality conditions are satisfied.</t>
        </r>
      </text>
    </comment>
    <comment ref="B664" authorId="0" shapeId="0">
      <text>
        <r>
          <rPr>
            <sz val="9"/>
            <color indexed="81"/>
            <rFont val="Tahoma"/>
            <family val="2"/>
          </rPr>
          <t>Solver found a solution. All constraints and optimality conditions are satisfied.</t>
        </r>
      </text>
    </comment>
    <comment ref="B665" authorId="0" shapeId="0">
      <text>
        <r>
          <rPr>
            <sz val="9"/>
            <color indexed="81"/>
            <rFont val="Tahoma"/>
            <family val="2"/>
          </rPr>
          <t>Solver found a solution. All constraints and optimality conditions are satisfied.</t>
        </r>
      </text>
    </comment>
    <comment ref="B666" authorId="0" shapeId="0">
      <text>
        <r>
          <rPr>
            <sz val="9"/>
            <color indexed="81"/>
            <rFont val="Tahoma"/>
            <family val="2"/>
          </rPr>
          <t>Solver found a solution. All constraints and optimality conditions are satisfied.</t>
        </r>
      </text>
    </comment>
    <comment ref="B667" authorId="0" shapeId="0">
      <text>
        <r>
          <rPr>
            <sz val="9"/>
            <color indexed="81"/>
            <rFont val="Tahoma"/>
            <family val="2"/>
          </rPr>
          <t>Solver found a solution. All constraints and optimality conditions are satisfied.</t>
        </r>
      </text>
    </comment>
    <comment ref="B668" authorId="0" shapeId="0">
      <text>
        <r>
          <rPr>
            <sz val="9"/>
            <color indexed="81"/>
            <rFont val="Tahoma"/>
            <family val="2"/>
          </rPr>
          <t>Solver found a solution. All constraints and optimality conditions are satisfied.</t>
        </r>
      </text>
    </comment>
    <comment ref="B669" authorId="0" shapeId="0">
      <text>
        <r>
          <rPr>
            <sz val="9"/>
            <color indexed="81"/>
            <rFont val="Tahoma"/>
            <family val="2"/>
          </rPr>
          <t>Solver found a solution. All constraints and optimality conditions are satisfied.</t>
        </r>
      </text>
    </comment>
    <comment ref="B670" authorId="0" shapeId="0">
      <text>
        <r>
          <rPr>
            <sz val="9"/>
            <color indexed="81"/>
            <rFont val="Tahoma"/>
            <family val="2"/>
          </rPr>
          <t>Solver found a solution. All constraints and optimality conditions are satisfied.</t>
        </r>
      </text>
    </comment>
    <comment ref="B671" authorId="0" shapeId="0">
      <text>
        <r>
          <rPr>
            <sz val="9"/>
            <color indexed="81"/>
            <rFont val="Tahoma"/>
            <family val="2"/>
          </rPr>
          <t>Solver found a solution. All constraints and optimality conditions are satisfied.</t>
        </r>
      </text>
    </comment>
    <comment ref="B672" authorId="0" shapeId="0">
      <text>
        <r>
          <rPr>
            <sz val="9"/>
            <color indexed="81"/>
            <rFont val="Tahoma"/>
            <family val="2"/>
          </rPr>
          <t>Solver found a solution. All constraints and optimality conditions are satisfied.</t>
        </r>
      </text>
    </comment>
    <comment ref="B673" authorId="0" shapeId="0">
      <text>
        <r>
          <rPr>
            <sz val="9"/>
            <color indexed="81"/>
            <rFont val="Tahoma"/>
            <family val="2"/>
          </rPr>
          <t>Solver found a solution. All constraints and optimality conditions are satisfied.</t>
        </r>
      </text>
    </comment>
    <comment ref="B674" authorId="0" shapeId="0">
      <text>
        <r>
          <rPr>
            <sz val="9"/>
            <color indexed="81"/>
            <rFont val="Tahoma"/>
            <family val="2"/>
          </rPr>
          <t>Solver found a solution. All constraints and optimality conditions are satisfied.</t>
        </r>
      </text>
    </comment>
    <comment ref="B675" authorId="0" shapeId="0">
      <text>
        <r>
          <rPr>
            <sz val="9"/>
            <color indexed="81"/>
            <rFont val="Tahoma"/>
            <family val="2"/>
          </rPr>
          <t>Solver found a solution. All constraints and optimality conditions are satisfied.</t>
        </r>
      </text>
    </comment>
    <comment ref="B676" authorId="0" shapeId="0">
      <text>
        <r>
          <rPr>
            <sz val="9"/>
            <color indexed="81"/>
            <rFont val="Tahoma"/>
            <family val="2"/>
          </rPr>
          <t>Solver found a solution. All constraints and optimality conditions are satisfied.</t>
        </r>
      </text>
    </comment>
    <comment ref="B677" authorId="0" shapeId="0">
      <text>
        <r>
          <rPr>
            <sz val="9"/>
            <color indexed="81"/>
            <rFont val="Tahoma"/>
            <family val="2"/>
          </rPr>
          <t>Solver found a solution. All constraints and optimality conditions are satisfied.</t>
        </r>
      </text>
    </comment>
    <comment ref="B678" authorId="0" shapeId="0">
      <text>
        <r>
          <rPr>
            <sz val="9"/>
            <color indexed="81"/>
            <rFont val="Tahoma"/>
            <family val="2"/>
          </rPr>
          <t>Solver found a solution. All constraints and optimality conditions are satisfied.</t>
        </r>
      </text>
    </comment>
    <comment ref="B679" authorId="0" shapeId="0">
      <text>
        <r>
          <rPr>
            <sz val="9"/>
            <color indexed="81"/>
            <rFont val="Tahoma"/>
            <family val="2"/>
          </rPr>
          <t>Solver found a solution. All constraints and optimality conditions are satisfied.</t>
        </r>
      </text>
    </comment>
    <comment ref="B680" authorId="0" shapeId="0">
      <text>
        <r>
          <rPr>
            <sz val="9"/>
            <color indexed="81"/>
            <rFont val="Tahoma"/>
            <family val="2"/>
          </rPr>
          <t>Solver found a solution. All constraints and optimality conditions are satisfied.</t>
        </r>
      </text>
    </comment>
    <comment ref="B681" authorId="0" shapeId="0">
      <text>
        <r>
          <rPr>
            <sz val="9"/>
            <color indexed="81"/>
            <rFont val="Tahoma"/>
            <family val="2"/>
          </rPr>
          <t>Solver found a solution. All constraints and optimality conditions are satisfied.</t>
        </r>
      </text>
    </comment>
    <comment ref="B682" authorId="0" shapeId="0">
      <text>
        <r>
          <rPr>
            <sz val="9"/>
            <color indexed="81"/>
            <rFont val="Tahoma"/>
            <family val="2"/>
          </rPr>
          <t>Solver found a solution. All constraints and optimality conditions are satisfied.</t>
        </r>
      </text>
    </comment>
    <comment ref="B683" authorId="0" shapeId="0">
      <text>
        <r>
          <rPr>
            <sz val="9"/>
            <color indexed="81"/>
            <rFont val="Tahoma"/>
            <family val="2"/>
          </rPr>
          <t>Solver found a solution. All constraints and optimality conditions are satisfied.</t>
        </r>
      </text>
    </comment>
    <comment ref="B684" authorId="0" shapeId="0">
      <text>
        <r>
          <rPr>
            <sz val="9"/>
            <color indexed="81"/>
            <rFont val="Tahoma"/>
            <family val="2"/>
          </rPr>
          <t>Solver found a solution. All constraints and optimality conditions are satisfied.</t>
        </r>
      </text>
    </comment>
    <comment ref="B685" authorId="0" shapeId="0">
      <text>
        <r>
          <rPr>
            <sz val="9"/>
            <color indexed="81"/>
            <rFont val="Tahoma"/>
            <family val="2"/>
          </rPr>
          <t>Solver found a solution. All constraints and optimality conditions are satisfied.</t>
        </r>
      </text>
    </comment>
    <comment ref="B686" authorId="0" shapeId="0">
      <text>
        <r>
          <rPr>
            <sz val="9"/>
            <color indexed="81"/>
            <rFont val="Tahoma"/>
            <family val="2"/>
          </rPr>
          <t>Solver found a solution. All constraints and optimality conditions are satisfied.</t>
        </r>
      </text>
    </comment>
    <comment ref="B687" authorId="0" shapeId="0">
      <text>
        <r>
          <rPr>
            <sz val="9"/>
            <color indexed="81"/>
            <rFont val="Tahoma"/>
            <family val="2"/>
          </rPr>
          <t>Solver found a solution. All constraints and optimality conditions are satisfied.</t>
        </r>
      </text>
    </comment>
    <comment ref="B688" authorId="0" shapeId="0">
      <text>
        <r>
          <rPr>
            <sz val="9"/>
            <color indexed="81"/>
            <rFont val="Tahoma"/>
            <family val="2"/>
          </rPr>
          <t>Solver found a solution. All constraints and optimality conditions are satisfied.</t>
        </r>
      </text>
    </comment>
    <comment ref="B689" authorId="0" shapeId="0">
      <text>
        <r>
          <rPr>
            <sz val="9"/>
            <color indexed="81"/>
            <rFont val="Tahoma"/>
            <family val="2"/>
          </rPr>
          <t>Solver found a solution. All constraints and optimality conditions are satisfied.</t>
        </r>
      </text>
    </comment>
    <comment ref="B690" authorId="0" shapeId="0">
      <text>
        <r>
          <rPr>
            <sz val="9"/>
            <color indexed="81"/>
            <rFont val="Tahoma"/>
            <family val="2"/>
          </rPr>
          <t>Solver found a solution. All constraints and optimality conditions are satisfied.</t>
        </r>
      </text>
    </comment>
    <comment ref="B691" authorId="0" shapeId="0">
      <text>
        <r>
          <rPr>
            <sz val="9"/>
            <color indexed="81"/>
            <rFont val="Tahoma"/>
            <family val="2"/>
          </rPr>
          <t>Solver found a solution. All constraints and optimality conditions are satisfied.</t>
        </r>
      </text>
    </comment>
    <comment ref="B692" authorId="0" shapeId="0">
      <text>
        <r>
          <rPr>
            <sz val="9"/>
            <color indexed="81"/>
            <rFont val="Tahoma"/>
            <family val="2"/>
          </rPr>
          <t>Solver found a solution. All constraints and optimality conditions are satisfied.</t>
        </r>
      </text>
    </comment>
    <comment ref="B693" authorId="0" shapeId="0">
      <text>
        <r>
          <rPr>
            <sz val="9"/>
            <color indexed="81"/>
            <rFont val="Tahoma"/>
            <family val="2"/>
          </rPr>
          <t>Solver found a solution. All constraints and optimality conditions are satisfied.</t>
        </r>
      </text>
    </comment>
    <comment ref="B694" authorId="0" shapeId="0">
      <text>
        <r>
          <rPr>
            <sz val="9"/>
            <color indexed="81"/>
            <rFont val="Tahoma"/>
            <family val="2"/>
          </rPr>
          <t>Solver found a solution. All constraints and optimality conditions are satisfied.</t>
        </r>
      </text>
    </comment>
    <comment ref="B695" authorId="0" shapeId="0">
      <text>
        <r>
          <rPr>
            <sz val="9"/>
            <color indexed="81"/>
            <rFont val="Tahoma"/>
            <family val="2"/>
          </rPr>
          <t>Solver found a solution. All constraints and optimality conditions are satisfied.</t>
        </r>
      </text>
    </comment>
    <comment ref="B696" authorId="0" shapeId="0">
      <text>
        <r>
          <rPr>
            <sz val="9"/>
            <color indexed="81"/>
            <rFont val="Tahoma"/>
            <family val="2"/>
          </rPr>
          <t>Solver found a solution. All constraints and optimality conditions are satisfied.</t>
        </r>
      </text>
    </comment>
    <comment ref="B697" authorId="0" shapeId="0">
      <text>
        <r>
          <rPr>
            <sz val="9"/>
            <color indexed="81"/>
            <rFont val="Tahoma"/>
            <family val="2"/>
          </rPr>
          <t>Solver found a solution. All constraints and optimality conditions are satisfied.</t>
        </r>
      </text>
    </comment>
    <comment ref="B698" authorId="0" shapeId="0">
      <text>
        <r>
          <rPr>
            <sz val="9"/>
            <color indexed="81"/>
            <rFont val="Tahoma"/>
            <family val="2"/>
          </rPr>
          <t>Solver found a solution. All constraints and optimality conditions are satisfied.</t>
        </r>
      </text>
    </comment>
    <comment ref="B699" authorId="0" shapeId="0">
      <text>
        <r>
          <rPr>
            <sz val="9"/>
            <color indexed="81"/>
            <rFont val="Tahoma"/>
            <family val="2"/>
          </rPr>
          <t>Solver found a solution. All constraints and optimality conditions are satisfied.</t>
        </r>
      </text>
    </comment>
    <comment ref="B700" authorId="0" shapeId="0">
      <text>
        <r>
          <rPr>
            <sz val="9"/>
            <color indexed="81"/>
            <rFont val="Tahoma"/>
            <family val="2"/>
          </rPr>
          <t>Solver found a solution. All constraints and optimality conditions are satisfied.</t>
        </r>
      </text>
    </comment>
    <comment ref="B701" authorId="0" shapeId="0">
      <text>
        <r>
          <rPr>
            <sz val="9"/>
            <color indexed="81"/>
            <rFont val="Tahoma"/>
            <family val="2"/>
          </rPr>
          <t>Solver found a solution. All constraints and optimality conditions are satisfied.</t>
        </r>
      </text>
    </comment>
    <comment ref="B702" authorId="0" shapeId="0">
      <text>
        <r>
          <rPr>
            <sz val="9"/>
            <color indexed="81"/>
            <rFont val="Tahoma"/>
            <family val="2"/>
          </rPr>
          <t>Solver found a solution. All constraints and optimality conditions are satisfied.</t>
        </r>
      </text>
    </comment>
    <comment ref="B703" authorId="0" shapeId="0">
      <text>
        <r>
          <rPr>
            <sz val="9"/>
            <color indexed="81"/>
            <rFont val="Tahoma"/>
            <family val="2"/>
          </rPr>
          <t>Solver found a solution. All constraints and optimality conditions are satisfied.</t>
        </r>
      </text>
    </comment>
    <comment ref="B704" authorId="0" shapeId="0">
      <text>
        <r>
          <rPr>
            <sz val="9"/>
            <color indexed="81"/>
            <rFont val="Tahoma"/>
            <family val="2"/>
          </rPr>
          <t>Solver found a solution. All constraints and optimality conditions are satisfied.</t>
        </r>
      </text>
    </comment>
    <comment ref="B705" authorId="0" shapeId="0">
      <text>
        <r>
          <rPr>
            <sz val="9"/>
            <color indexed="81"/>
            <rFont val="Tahoma"/>
            <family val="2"/>
          </rPr>
          <t>Solver found a solution. All constraints and optimality conditions are satisfied.</t>
        </r>
      </text>
    </comment>
    <comment ref="B706" authorId="0" shapeId="0">
      <text>
        <r>
          <rPr>
            <sz val="9"/>
            <color indexed="81"/>
            <rFont val="Tahoma"/>
            <family val="2"/>
          </rPr>
          <t>Solver found a solution. All constraints and optimality conditions are satisfied.</t>
        </r>
      </text>
    </comment>
    <comment ref="B707" authorId="0" shapeId="0">
      <text>
        <r>
          <rPr>
            <sz val="9"/>
            <color indexed="81"/>
            <rFont val="Tahoma"/>
            <family val="2"/>
          </rPr>
          <t>Solver found a solution. All constraints and optimality conditions are satisfied.</t>
        </r>
      </text>
    </comment>
    <comment ref="B708" authorId="0" shapeId="0">
      <text>
        <r>
          <rPr>
            <sz val="9"/>
            <color indexed="81"/>
            <rFont val="Tahoma"/>
            <family val="2"/>
          </rPr>
          <t>Solver found a solution. All constraints and optimality conditions are satisfied.</t>
        </r>
      </text>
    </comment>
    <comment ref="B709" authorId="0" shapeId="0">
      <text>
        <r>
          <rPr>
            <sz val="9"/>
            <color indexed="81"/>
            <rFont val="Tahoma"/>
            <family val="2"/>
          </rPr>
          <t>Solver found a solution. All constraints and optimality conditions are satisfied.</t>
        </r>
      </text>
    </comment>
    <comment ref="B710" authorId="0" shapeId="0">
      <text>
        <r>
          <rPr>
            <sz val="9"/>
            <color indexed="81"/>
            <rFont val="Tahoma"/>
            <family val="2"/>
          </rPr>
          <t>Solver found a solution. All constraints and optimality conditions are satisfied.</t>
        </r>
      </text>
    </comment>
    <comment ref="B711" authorId="0" shapeId="0">
      <text>
        <r>
          <rPr>
            <sz val="9"/>
            <color indexed="81"/>
            <rFont val="Tahoma"/>
            <family val="2"/>
          </rPr>
          <t>Solver found a solution. All constraints and optimality conditions are satisfied.</t>
        </r>
      </text>
    </comment>
    <comment ref="B712" authorId="0" shapeId="0">
      <text>
        <r>
          <rPr>
            <sz val="9"/>
            <color indexed="81"/>
            <rFont val="Tahoma"/>
            <family val="2"/>
          </rPr>
          <t>Solver found a solution. All constraints and optimality conditions are satisfied.</t>
        </r>
      </text>
    </comment>
    <comment ref="B713" authorId="0" shapeId="0">
      <text>
        <r>
          <rPr>
            <sz val="9"/>
            <color indexed="81"/>
            <rFont val="Tahoma"/>
            <family val="2"/>
          </rPr>
          <t>Solver found a solution. All constraints and optimality conditions are satisfied.</t>
        </r>
      </text>
    </comment>
    <comment ref="B714" authorId="0" shapeId="0">
      <text>
        <r>
          <rPr>
            <sz val="9"/>
            <color indexed="81"/>
            <rFont val="Tahoma"/>
            <family val="2"/>
          </rPr>
          <t>Solver found a solution. All constraints and optimality conditions are satisfied.</t>
        </r>
      </text>
    </comment>
    <comment ref="B715" authorId="0" shapeId="0">
      <text>
        <r>
          <rPr>
            <sz val="9"/>
            <color indexed="81"/>
            <rFont val="Tahoma"/>
            <family val="2"/>
          </rPr>
          <t>Solver found a solution. All constraints and optimality conditions are satisfied.</t>
        </r>
      </text>
    </comment>
    <comment ref="B716" authorId="0" shapeId="0">
      <text>
        <r>
          <rPr>
            <sz val="9"/>
            <color indexed="81"/>
            <rFont val="Tahoma"/>
            <family val="2"/>
          </rPr>
          <t>Solver found a solution. All constraints and optimality conditions are satisfied.</t>
        </r>
      </text>
    </comment>
    <comment ref="B717" authorId="0" shapeId="0">
      <text>
        <r>
          <rPr>
            <sz val="9"/>
            <color indexed="81"/>
            <rFont val="Tahoma"/>
            <family val="2"/>
          </rPr>
          <t>Solver found a solution. All constraints and optimality conditions are satisfied.</t>
        </r>
      </text>
    </comment>
    <comment ref="B718" authorId="0" shapeId="0">
      <text>
        <r>
          <rPr>
            <sz val="9"/>
            <color indexed="81"/>
            <rFont val="Tahoma"/>
            <family val="2"/>
          </rPr>
          <t>Solver found a solution. All constraints and optimality conditions are satisfied.</t>
        </r>
      </text>
    </comment>
    <comment ref="B719" authorId="0" shapeId="0">
      <text>
        <r>
          <rPr>
            <sz val="9"/>
            <color indexed="81"/>
            <rFont val="Tahoma"/>
            <family val="2"/>
          </rPr>
          <t>Solver found a solution. All constraints and optimality conditions are satisfied.</t>
        </r>
      </text>
    </comment>
    <comment ref="B720" authorId="0" shapeId="0">
      <text>
        <r>
          <rPr>
            <sz val="9"/>
            <color indexed="81"/>
            <rFont val="Tahoma"/>
            <family val="2"/>
          </rPr>
          <t>Solver found a solution. All constraints and optimality conditions are satisfied.</t>
        </r>
      </text>
    </comment>
    <comment ref="B721" authorId="0" shapeId="0">
      <text>
        <r>
          <rPr>
            <sz val="9"/>
            <color indexed="81"/>
            <rFont val="Tahoma"/>
            <family val="2"/>
          </rPr>
          <t>Solver found a solution. All constraints and optimality conditions are satisfied.</t>
        </r>
      </text>
    </comment>
    <comment ref="B722" authorId="0" shapeId="0">
      <text>
        <r>
          <rPr>
            <sz val="9"/>
            <color indexed="81"/>
            <rFont val="Tahoma"/>
            <family val="2"/>
          </rPr>
          <t>Solver found a solution. All constraints and optimality conditions are satisfied.</t>
        </r>
      </text>
    </comment>
    <comment ref="B723" authorId="0" shapeId="0">
      <text>
        <r>
          <rPr>
            <sz val="9"/>
            <color indexed="81"/>
            <rFont val="Tahoma"/>
            <family val="2"/>
          </rPr>
          <t>Solver found a solution. All constraints and optimality conditions are satisfied.</t>
        </r>
      </text>
    </comment>
    <comment ref="B724" authorId="0" shapeId="0">
      <text>
        <r>
          <rPr>
            <sz val="9"/>
            <color indexed="81"/>
            <rFont val="Tahoma"/>
            <family val="2"/>
          </rPr>
          <t>Solver found a solution. All constraints and optimality conditions are satisfied.</t>
        </r>
      </text>
    </comment>
    <comment ref="B725" authorId="0" shapeId="0">
      <text>
        <r>
          <rPr>
            <sz val="9"/>
            <color indexed="81"/>
            <rFont val="Tahoma"/>
            <family val="2"/>
          </rPr>
          <t>Solver found a solution. All constraints and optimality conditions are satisfied.</t>
        </r>
      </text>
    </comment>
    <comment ref="B726" authorId="0" shapeId="0">
      <text>
        <r>
          <rPr>
            <sz val="9"/>
            <color indexed="81"/>
            <rFont val="Tahoma"/>
            <family val="2"/>
          </rPr>
          <t>Solver found a solution. All constraints and optimality conditions are satisfied.</t>
        </r>
      </text>
    </comment>
    <comment ref="B727" authorId="0" shapeId="0">
      <text>
        <r>
          <rPr>
            <sz val="9"/>
            <color indexed="81"/>
            <rFont val="Tahoma"/>
            <family val="2"/>
          </rPr>
          <t>Solver found a solution. All constraints and optimality conditions are satisfied.</t>
        </r>
      </text>
    </comment>
    <comment ref="B728" authorId="0" shapeId="0">
      <text>
        <r>
          <rPr>
            <sz val="9"/>
            <color indexed="81"/>
            <rFont val="Tahoma"/>
            <family val="2"/>
          </rPr>
          <t>Solver found a solution. All constraints and optimality conditions are satisfied.</t>
        </r>
      </text>
    </comment>
    <comment ref="B729" authorId="0" shapeId="0">
      <text>
        <r>
          <rPr>
            <sz val="9"/>
            <color indexed="81"/>
            <rFont val="Tahoma"/>
            <family val="2"/>
          </rPr>
          <t>Solver found a solution. All constraints and optimality conditions are satisfied.</t>
        </r>
      </text>
    </comment>
    <comment ref="B730" authorId="0" shapeId="0">
      <text>
        <r>
          <rPr>
            <sz val="9"/>
            <color indexed="81"/>
            <rFont val="Tahoma"/>
            <family val="2"/>
          </rPr>
          <t>Solver found a solution. All constraints and optimality conditions are satisfied.</t>
        </r>
      </text>
    </comment>
    <comment ref="B731" authorId="0" shapeId="0">
      <text>
        <r>
          <rPr>
            <sz val="9"/>
            <color indexed="81"/>
            <rFont val="Tahoma"/>
            <family val="2"/>
          </rPr>
          <t>Solver found a solution. All constraints and optimality conditions are satisfied.</t>
        </r>
      </text>
    </comment>
    <comment ref="B732" authorId="0" shapeId="0">
      <text>
        <r>
          <rPr>
            <sz val="9"/>
            <color indexed="81"/>
            <rFont val="Tahoma"/>
            <family val="2"/>
          </rPr>
          <t>Solver found a solution. All constraints and optimality conditions are satisfied.</t>
        </r>
      </text>
    </comment>
    <comment ref="B733" authorId="0" shapeId="0">
      <text>
        <r>
          <rPr>
            <sz val="9"/>
            <color indexed="81"/>
            <rFont val="Tahoma"/>
            <family val="2"/>
          </rPr>
          <t>Solver found a solution. All constraints and optimality conditions are satisfied.</t>
        </r>
      </text>
    </comment>
    <comment ref="B734" authorId="0" shapeId="0">
      <text>
        <r>
          <rPr>
            <sz val="9"/>
            <color indexed="81"/>
            <rFont val="Tahoma"/>
            <family val="2"/>
          </rPr>
          <t>Solver found a solution. All constraints and optimality conditions are satisfied.</t>
        </r>
      </text>
    </comment>
    <comment ref="B735" authorId="0" shapeId="0">
      <text>
        <r>
          <rPr>
            <sz val="9"/>
            <color indexed="81"/>
            <rFont val="Tahoma"/>
            <family val="2"/>
          </rPr>
          <t>Solver found a solution. All constraints and optimality conditions are satisfied.</t>
        </r>
      </text>
    </comment>
    <comment ref="B736" authorId="0" shapeId="0">
      <text>
        <r>
          <rPr>
            <sz val="9"/>
            <color indexed="81"/>
            <rFont val="Tahoma"/>
            <family val="2"/>
          </rPr>
          <t>Solver found a solution. All constraints and optimality conditions are satisfied.</t>
        </r>
      </text>
    </comment>
    <comment ref="B737" authorId="0" shapeId="0">
      <text>
        <r>
          <rPr>
            <sz val="9"/>
            <color indexed="81"/>
            <rFont val="Tahoma"/>
            <family val="2"/>
          </rPr>
          <t>Solver found a solution. All constraints and optimality conditions are satisfied.</t>
        </r>
      </text>
    </comment>
    <comment ref="B738" authorId="0" shapeId="0">
      <text>
        <r>
          <rPr>
            <sz val="9"/>
            <color indexed="81"/>
            <rFont val="Tahoma"/>
            <family val="2"/>
          </rPr>
          <t>Solver found a solution. All constraints and optimality conditions are satisfied.</t>
        </r>
      </text>
    </comment>
    <comment ref="B739" authorId="0" shapeId="0">
      <text>
        <r>
          <rPr>
            <sz val="9"/>
            <color indexed="81"/>
            <rFont val="Tahoma"/>
            <family val="2"/>
          </rPr>
          <t>Solver found a solution. All constraints and optimality conditions are satisfied.</t>
        </r>
      </text>
    </comment>
    <comment ref="B740" authorId="0" shapeId="0">
      <text>
        <r>
          <rPr>
            <sz val="9"/>
            <color indexed="81"/>
            <rFont val="Tahoma"/>
            <family val="2"/>
          </rPr>
          <t>Solver found a solution. All constraints and optimality conditions are satisfied.</t>
        </r>
      </text>
    </comment>
    <comment ref="B741" authorId="0" shapeId="0">
      <text>
        <r>
          <rPr>
            <sz val="9"/>
            <color indexed="81"/>
            <rFont val="Tahoma"/>
            <family val="2"/>
          </rPr>
          <t>Solver found a solution. All constraints and optimality conditions are satisfied.</t>
        </r>
      </text>
    </comment>
    <comment ref="B742" authorId="0" shapeId="0">
      <text>
        <r>
          <rPr>
            <sz val="9"/>
            <color indexed="81"/>
            <rFont val="Tahoma"/>
            <family val="2"/>
          </rPr>
          <t>Solver found a solution. All constraints and optimality conditions are satisfied.</t>
        </r>
      </text>
    </comment>
    <comment ref="B743" authorId="0" shapeId="0">
      <text>
        <r>
          <rPr>
            <sz val="9"/>
            <color indexed="81"/>
            <rFont val="Tahoma"/>
            <family val="2"/>
          </rPr>
          <t>Solver found a solution. All constraints and optimality conditions are satisfied.</t>
        </r>
      </text>
    </comment>
    <comment ref="B744" authorId="0" shapeId="0">
      <text>
        <r>
          <rPr>
            <sz val="9"/>
            <color indexed="81"/>
            <rFont val="Tahoma"/>
            <family val="2"/>
          </rPr>
          <t>Solver found a solution. All constraints and optimality conditions are satisfied.</t>
        </r>
      </text>
    </comment>
    <comment ref="B745" authorId="0" shapeId="0">
      <text>
        <r>
          <rPr>
            <sz val="9"/>
            <color indexed="81"/>
            <rFont val="Tahoma"/>
            <family val="2"/>
          </rPr>
          <t>Solver found a solution. All constraints and optimality conditions are satisfied.</t>
        </r>
      </text>
    </comment>
    <comment ref="B746" authorId="0" shapeId="0">
      <text>
        <r>
          <rPr>
            <sz val="9"/>
            <color indexed="81"/>
            <rFont val="Tahoma"/>
            <family val="2"/>
          </rPr>
          <t>Solver found a solution. All constraints and optimality conditions are satisfied.</t>
        </r>
      </text>
    </comment>
    <comment ref="B747" authorId="0" shapeId="0">
      <text>
        <r>
          <rPr>
            <sz val="9"/>
            <color indexed="81"/>
            <rFont val="Tahoma"/>
            <family val="2"/>
          </rPr>
          <t>Solver found a solution. All constraints and optimality conditions are satisfied.</t>
        </r>
      </text>
    </comment>
    <comment ref="B748" authorId="0" shapeId="0">
      <text>
        <r>
          <rPr>
            <sz val="9"/>
            <color indexed="81"/>
            <rFont val="Tahoma"/>
            <family val="2"/>
          </rPr>
          <t>Solver found a solution. All constraints and optimality conditions are satisfied.</t>
        </r>
      </text>
    </comment>
    <comment ref="B749" authorId="0" shapeId="0">
      <text>
        <r>
          <rPr>
            <sz val="9"/>
            <color indexed="81"/>
            <rFont val="Tahoma"/>
            <family val="2"/>
          </rPr>
          <t>Solver found a solution. All constraints and optimality conditions are satisfied.</t>
        </r>
      </text>
    </comment>
    <comment ref="B750" authorId="0" shapeId="0">
      <text>
        <r>
          <rPr>
            <sz val="9"/>
            <color indexed="81"/>
            <rFont val="Tahoma"/>
            <family val="2"/>
          </rPr>
          <t>Solver found a solution. All constraints and optimality conditions are satisfied.</t>
        </r>
      </text>
    </comment>
    <comment ref="B751" authorId="0" shapeId="0">
      <text>
        <r>
          <rPr>
            <sz val="9"/>
            <color indexed="81"/>
            <rFont val="Tahoma"/>
            <family val="2"/>
          </rPr>
          <t>Solver found a solution. All constraints and optimality conditions are satisfied.</t>
        </r>
      </text>
    </comment>
    <comment ref="B752" authorId="0" shapeId="0">
      <text>
        <r>
          <rPr>
            <sz val="9"/>
            <color indexed="81"/>
            <rFont val="Tahoma"/>
            <family val="2"/>
          </rPr>
          <t>Solver found a solution. All constraints and optimality conditions are satisfied.</t>
        </r>
      </text>
    </comment>
    <comment ref="B753" authorId="0" shapeId="0">
      <text>
        <r>
          <rPr>
            <sz val="9"/>
            <color indexed="81"/>
            <rFont val="Tahoma"/>
            <family val="2"/>
          </rPr>
          <t>Solver found a solution. All constraints and optimality conditions are satisfied.</t>
        </r>
      </text>
    </comment>
    <comment ref="B754" authorId="0" shapeId="0">
      <text>
        <r>
          <rPr>
            <sz val="9"/>
            <color indexed="81"/>
            <rFont val="Tahoma"/>
            <family val="2"/>
          </rPr>
          <t>Solver found a solution. All constraints and optimality conditions are satisfied.</t>
        </r>
      </text>
    </comment>
    <comment ref="B755" authorId="0" shapeId="0">
      <text>
        <r>
          <rPr>
            <sz val="9"/>
            <color indexed="81"/>
            <rFont val="Tahoma"/>
            <family val="2"/>
          </rPr>
          <t>Solver found a solution. All constraints and optimality conditions are satisfied.</t>
        </r>
      </text>
    </comment>
    <comment ref="B756" authorId="0" shapeId="0">
      <text>
        <r>
          <rPr>
            <sz val="9"/>
            <color indexed="81"/>
            <rFont val="Tahoma"/>
            <family val="2"/>
          </rPr>
          <t>Solver found a solution. All constraints and optimality conditions are satisfied.</t>
        </r>
      </text>
    </comment>
    <comment ref="B757" authorId="0" shapeId="0">
      <text>
        <r>
          <rPr>
            <sz val="9"/>
            <color indexed="81"/>
            <rFont val="Tahoma"/>
            <family val="2"/>
          </rPr>
          <t>Solver found a solution. All constraints and optimality conditions are satisfied.</t>
        </r>
      </text>
    </comment>
    <comment ref="B758" authorId="0" shapeId="0">
      <text>
        <r>
          <rPr>
            <sz val="9"/>
            <color indexed="81"/>
            <rFont val="Tahoma"/>
            <family val="2"/>
          </rPr>
          <t>Solver found a solution. All constraints and optimality conditions are satisfied.</t>
        </r>
      </text>
    </comment>
    <comment ref="B759" authorId="0" shapeId="0">
      <text>
        <r>
          <rPr>
            <sz val="9"/>
            <color indexed="81"/>
            <rFont val="Tahoma"/>
            <family val="2"/>
          </rPr>
          <t>Solver found a solution. All constraints and optimality conditions are satisfied.</t>
        </r>
      </text>
    </comment>
    <comment ref="B760" authorId="0" shapeId="0">
      <text>
        <r>
          <rPr>
            <sz val="9"/>
            <color indexed="81"/>
            <rFont val="Tahoma"/>
            <family val="2"/>
          </rPr>
          <t>Solver found a solution. All constraints and optimality conditions are satisfied.</t>
        </r>
      </text>
    </comment>
    <comment ref="B761" authorId="0" shapeId="0">
      <text>
        <r>
          <rPr>
            <sz val="9"/>
            <color indexed="81"/>
            <rFont val="Tahoma"/>
            <family val="2"/>
          </rPr>
          <t>Solver found a solution. All constraints and optimality conditions are satisfied.</t>
        </r>
      </text>
    </comment>
    <comment ref="B762" authorId="0" shapeId="0">
      <text>
        <r>
          <rPr>
            <sz val="9"/>
            <color indexed="81"/>
            <rFont val="Tahoma"/>
            <family val="2"/>
          </rPr>
          <t>Solver found a solution. All constraints and optimality conditions are satisfied.</t>
        </r>
      </text>
    </comment>
    <comment ref="B763" authorId="0" shapeId="0">
      <text>
        <r>
          <rPr>
            <sz val="9"/>
            <color indexed="81"/>
            <rFont val="Tahoma"/>
            <family val="2"/>
          </rPr>
          <t>Solver found a solution. All constraints and optimality conditions are satisfied.</t>
        </r>
      </text>
    </comment>
    <comment ref="B764" authorId="0" shapeId="0">
      <text>
        <r>
          <rPr>
            <sz val="9"/>
            <color indexed="81"/>
            <rFont val="Tahoma"/>
            <family val="2"/>
          </rPr>
          <t>Solver found a solution. All constraints and optimality conditions are satisfied.</t>
        </r>
      </text>
    </comment>
    <comment ref="B765" authorId="0" shapeId="0">
      <text>
        <r>
          <rPr>
            <sz val="9"/>
            <color indexed="81"/>
            <rFont val="Tahoma"/>
            <family val="2"/>
          </rPr>
          <t>Solver found a solution. All constraints and optimality conditions are satisfied.</t>
        </r>
      </text>
    </comment>
    <comment ref="B766" authorId="0" shapeId="0">
      <text>
        <r>
          <rPr>
            <sz val="9"/>
            <color indexed="81"/>
            <rFont val="Tahoma"/>
            <family val="2"/>
          </rPr>
          <t>Solver found a solution. All constraints and optimality conditions are satisfied.</t>
        </r>
      </text>
    </comment>
    <comment ref="B767" authorId="0" shapeId="0">
      <text>
        <r>
          <rPr>
            <sz val="9"/>
            <color indexed="81"/>
            <rFont val="Tahoma"/>
            <family val="2"/>
          </rPr>
          <t>Solver found a solution. All constraints and optimality conditions are satisfied.</t>
        </r>
      </text>
    </comment>
    <comment ref="B768" authorId="0" shapeId="0">
      <text>
        <r>
          <rPr>
            <sz val="9"/>
            <color indexed="81"/>
            <rFont val="Tahoma"/>
            <family val="2"/>
          </rPr>
          <t>Solver found a solution. All constraints and optimality conditions are satisfied.</t>
        </r>
      </text>
    </comment>
    <comment ref="B769" authorId="0" shapeId="0">
      <text>
        <r>
          <rPr>
            <sz val="9"/>
            <color indexed="81"/>
            <rFont val="Tahoma"/>
            <family val="2"/>
          </rPr>
          <t>Solver found a solution. All constraints and optimality conditions are satisfied.</t>
        </r>
      </text>
    </comment>
    <comment ref="B770" authorId="0" shapeId="0">
      <text>
        <r>
          <rPr>
            <sz val="9"/>
            <color indexed="81"/>
            <rFont val="Tahoma"/>
            <family val="2"/>
          </rPr>
          <t>Solver found a solution. All constraints and optimality conditions are satisfied.</t>
        </r>
      </text>
    </comment>
    <comment ref="B771" authorId="0" shapeId="0">
      <text>
        <r>
          <rPr>
            <sz val="9"/>
            <color indexed="81"/>
            <rFont val="Tahoma"/>
            <family val="2"/>
          </rPr>
          <t>Solver found a solution. All constraints and optimality conditions are satisfied.</t>
        </r>
      </text>
    </comment>
    <comment ref="B772" authorId="0" shapeId="0">
      <text>
        <r>
          <rPr>
            <sz val="9"/>
            <color indexed="81"/>
            <rFont val="Tahoma"/>
            <family val="2"/>
          </rPr>
          <t>Solver found a solution. All constraints and optimality conditions are satisfied.</t>
        </r>
      </text>
    </comment>
    <comment ref="B773" authorId="0" shapeId="0">
      <text>
        <r>
          <rPr>
            <sz val="9"/>
            <color indexed="81"/>
            <rFont val="Tahoma"/>
            <family val="2"/>
          </rPr>
          <t>Solver found a solution. All constraints and optimality conditions are satisfied.</t>
        </r>
      </text>
    </comment>
    <comment ref="B774" authorId="0" shapeId="0">
      <text>
        <r>
          <rPr>
            <sz val="9"/>
            <color indexed="81"/>
            <rFont val="Tahoma"/>
            <family val="2"/>
          </rPr>
          <t>Solver found a solution. All constraints and optimality conditions are satisfied.</t>
        </r>
      </text>
    </comment>
    <comment ref="B775" authorId="0" shapeId="0">
      <text>
        <r>
          <rPr>
            <sz val="9"/>
            <color indexed="81"/>
            <rFont val="Tahoma"/>
            <family val="2"/>
          </rPr>
          <t>Solver found a solution. All constraints and optimality conditions are satisfied.</t>
        </r>
      </text>
    </comment>
    <comment ref="B776" authorId="0" shapeId="0">
      <text>
        <r>
          <rPr>
            <sz val="9"/>
            <color indexed="81"/>
            <rFont val="Tahoma"/>
            <family val="2"/>
          </rPr>
          <t>Solver found a solution. All constraints and optimality conditions are satisfied.</t>
        </r>
      </text>
    </comment>
    <comment ref="B777" authorId="0" shapeId="0">
      <text>
        <r>
          <rPr>
            <sz val="9"/>
            <color indexed="81"/>
            <rFont val="Tahoma"/>
            <family val="2"/>
          </rPr>
          <t>Solver found a solution. All constraints and optimality conditions are satisfied.</t>
        </r>
      </text>
    </comment>
    <comment ref="B778" authorId="0" shapeId="0">
      <text>
        <r>
          <rPr>
            <sz val="9"/>
            <color indexed="81"/>
            <rFont val="Tahoma"/>
            <family val="2"/>
          </rPr>
          <t>Solver found a solution. All constraints and optimality conditions are satisfied.</t>
        </r>
      </text>
    </comment>
    <comment ref="B779" authorId="0" shapeId="0">
      <text>
        <r>
          <rPr>
            <sz val="9"/>
            <color indexed="81"/>
            <rFont val="Tahoma"/>
            <family val="2"/>
          </rPr>
          <t>Solver found a solution. All constraints and optimality conditions are satisfied.</t>
        </r>
      </text>
    </comment>
    <comment ref="B780" authorId="0" shapeId="0">
      <text>
        <r>
          <rPr>
            <sz val="9"/>
            <color indexed="81"/>
            <rFont val="Tahoma"/>
            <family val="2"/>
          </rPr>
          <t>Solver found a solution. All constraints and optimality conditions are satisfied.</t>
        </r>
      </text>
    </comment>
    <comment ref="B781" authorId="0" shapeId="0">
      <text>
        <r>
          <rPr>
            <sz val="9"/>
            <color indexed="81"/>
            <rFont val="Tahoma"/>
            <family val="2"/>
          </rPr>
          <t>Solver found a solution. All constraints and optimality conditions are satisfied.</t>
        </r>
      </text>
    </comment>
    <comment ref="B782" authorId="0" shapeId="0">
      <text>
        <r>
          <rPr>
            <sz val="9"/>
            <color indexed="81"/>
            <rFont val="Tahoma"/>
            <family val="2"/>
          </rPr>
          <t>Solver found a solution. All constraints and optimality conditions are satisfied.</t>
        </r>
      </text>
    </comment>
    <comment ref="B783" authorId="0" shapeId="0">
      <text>
        <r>
          <rPr>
            <sz val="9"/>
            <color indexed="81"/>
            <rFont val="Tahoma"/>
            <family val="2"/>
          </rPr>
          <t>Solver found a solution. All constraints and optimality conditions are satisfied.</t>
        </r>
      </text>
    </comment>
    <comment ref="B784" authorId="0" shapeId="0">
      <text>
        <r>
          <rPr>
            <sz val="9"/>
            <color indexed="81"/>
            <rFont val="Tahoma"/>
            <family val="2"/>
          </rPr>
          <t>Solver found a solution. All constraints and optimality conditions are satisfied.</t>
        </r>
      </text>
    </comment>
    <comment ref="B785" authorId="0" shapeId="0">
      <text>
        <r>
          <rPr>
            <sz val="9"/>
            <color indexed="81"/>
            <rFont val="Tahoma"/>
            <family val="2"/>
          </rPr>
          <t>Solver found a solution. All constraints and optimality conditions are satisfied.</t>
        </r>
      </text>
    </comment>
    <comment ref="B786" authorId="0" shapeId="0">
      <text>
        <r>
          <rPr>
            <sz val="9"/>
            <color indexed="81"/>
            <rFont val="Tahoma"/>
            <family val="2"/>
          </rPr>
          <t>Solver found a solution. All constraints and optimality conditions are satisfied.</t>
        </r>
      </text>
    </comment>
    <comment ref="B787" authorId="0" shapeId="0">
      <text>
        <r>
          <rPr>
            <sz val="9"/>
            <color indexed="81"/>
            <rFont val="Tahoma"/>
            <family val="2"/>
          </rPr>
          <t>Solver found a solution. All constraints and optimality conditions are satisfied.</t>
        </r>
      </text>
    </comment>
    <comment ref="B788" authorId="0" shapeId="0">
      <text>
        <r>
          <rPr>
            <sz val="9"/>
            <color indexed="81"/>
            <rFont val="Tahoma"/>
            <family val="2"/>
          </rPr>
          <t>Solver found a solution. All constraints and optimality conditions are satisfied.</t>
        </r>
      </text>
    </comment>
    <comment ref="B789" authorId="0" shapeId="0">
      <text>
        <r>
          <rPr>
            <sz val="9"/>
            <color indexed="81"/>
            <rFont val="Tahoma"/>
            <family val="2"/>
          </rPr>
          <t>Solver found a solution. All constraints and optimality conditions are satisfied.</t>
        </r>
      </text>
    </comment>
    <comment ref="B790" authorId="0" shapeId="0">
      <text>
        <r>
          <rPr>
            <sz val="9"/>
            <color indexed="81"/>
            <rFont val="Tahoma"/>
            <family val="2"/>
          </rPr>
          <t>Solver found a solution. All constraints and optimality conditions are satisfied.</t>
        </r>
      </text>
    </comment>
    <comment ref="B791" authorId="0" shapeId="0">
      <text>
        <r>
          <rPr>
            <sz val="9"/>
            <color indexed="81"/>
            <rFont val="Tahoma"/>
            <family val="2"/>
          </rPr>
          <t>Solver found a solution. All constraints and optimality conditions are satisfied.</t>
        </r>
      </text>
    </comment>
    <comment ref="B792" authorId="0" shapeId="0">
      <text>
        <r>
          <rPr>
            <sz val="9"/>
            <color indexed="81"/>
            <rFont val="Tahoma"/>
            <family val="2"/>
          </rPr>
          <t>Solver found a solution. All constraints and optimality conditions are satisfied.</t>
        </r>
      </text>
    </comment>
    <comment ref="B793" authorId="0" shapeId="0">
      <text>
        <r>
          <rPr>
            <sz val="9"/>
            <color indexed="81"/>
            <rFont val="Tahoma"/>
            <family val="2"/>
          </rPr>
          <t>Solver found a solution. All constraints and optimality conditions are satisfied.</t>
        </r>
      </text>
    </comment>
    <comment ref="B794" authorId="0" shapeId="0">
      <text>
        <r>
          <rPr>
            <sz val="9"/>
            <color indexed="81"/>
            <rFont val="Tahoma"/>
            <family val="2"/>
          </rPr>
          <t>Solver found a solution. All constraints and optimality conditions are satisfied.</t>
        </r>
      </text>
    </comment>
    <comment ref="B795" authorId="0" shapeId="0">
      <text>
        <r>
          <rPr>
            <sz val="9"/>
            <color indexed="81"/>
            <rFont val="Tahoma"/>
            <family val="2"/>
          </rPr>
          <t>Solver found a solution. All constraints and optimality conditions are satisfied.</t>
        </r>
      </text>
    </comment>
    <comment ref="B796" authorId="0" shapeId="0">
      <text>
        <r>
          <rPr>
            <sz val="9"/>
            <color indexed="81"/>
            <rFont val="Tahoma"/>
            <family val="2"/>
          </rPr>
          <t>Solver found a solution. All constraints and optimality conditions are satisfied.</t>
        </r>
      </text>
    </comment>
    <comment ref="B797" authorId="0" shapeId="0">
      <text>
        <r>
          <rPr>
            <sz val="9"/>
            <color indexed="81"/>
            <rFont val="Tahoma"/>
            <family val="2"/>
          </rPr>
          <t>Solver found a solution. All constraints and optimality conditions are satisfied.</t>
        </r>
      </text>
    </comment>
    <comment ref="B798" authorId="0" shapeId="0">
      <text>
        <r>
          <rPr>
            <sz val="9"/>
            <color indexed="81"/>
            <rFont val="Tahoma"/>
            <family val="2"/>
          </rPr>
          <t>Solver found a solution. All constraints and optimality conditions are satisfied.</t>
        </r>
      </text>
    </comment>
    <comment ref="B799" authorId="0" shapeId="0">
      <text>
        <r>
          <rPr>
            <sz val="9"/>
            <color indexed="81"/>
            <rFont val="Tahoma"/>
            <family val="2"/>
          </rPr>
          <t>Solver found a solution. All constraints and optimality conditions are satisfied.</t>
        </r>
      </text>
    </comment>
    <comment ref="B800" authorId="0" shapeId="0">
      <text>
        <r>
          <rPr>
            <sz val="9"/>
            <color indexed="81"/>
            <rFont val="Tahoma"/>
            <family val="2"/>
          </rPr>
          <t>Solver found a solution. All constraints and optimality conditions are satisfied.</t>
        </r>
      </text>
    </comment>
    <comment ref="B801" authorId="0" shapeId="0">
      <text>
        <r>
          <rPr>
            <sz val="9"/>
            <color indexed="81"/>
            <rFont val="Tahoma"/>
            <family val="2"/>
          </rPr>
          <t>Solver found a solution. All constraints and optimality conditions are satisfied.</t>
        </r>
      </text>
    </comment>
    <comment ref="B802" authorId="0" shapeId="0">
      <text>
        <r>
          <rPr>
            <sz val="9"/>
            <color indexed="81"/>
            <rFont val="Tahoma"/>
            <family val="2"/>
          </rPr>
          <t>Solver found a solution. All constraints and optimality conditions are satisfied.</t>
        </r>
      </text>
    </comment>
    <comment ref="B803" authorId="0" shapeId="0">
      <text>
        <r>
          <rPr>
            <sz val="9"/>
            <color indexed="81"/>
            <rFont val="Tahoma"/>
            <family val="2"/>
          </rPr>
          <t>Solver found a solution. All constraints and optimality conditions are satisfied.</t>
        </r>
      </text>
    </comment>
    <comment ref="B804" authorId="0" shapeId="0">
      <text>
        <r>
          <rPr>
            <sz val="9"/>
            <color indexed="81"/>
            <rFont val="Tahoma"/>
            <family val="2"/>
          </rPr>
          <t>Solver found a solution. All constraints and optimality conditions are satisfied.</t>
        </r>
      </text>
    </comment>
    <comment ref="B805" authorId="0" shapeId="0">
      <text>
        <r>
          <rPr>
            <sz val="9"/>
            <color indexed="81"/>
            <rFont val="Tahoma"/>
            <family val="2"/>
          </rPr>
          <t>Solver found a solution. All constraints and optimality conditions are satisfied.</t>
        </r>
      </text>
    </comment>
  </commentList>
</comments>
</file>

<file path=xl/comments2.xml><?xml version="1.0" encoding="utf-8"?>
<comments xmlns="http://schemas.openxmlformats.org/spreadsheetml/2006/main">
  <authors>
    <author>yingjunpan</author>
  </authors>
  <commentList>
    <comment ref="B5" authorId="0" shapeId="0">
      <text>
        <r>
          <rPr>
            <sz val="9"/>
            <color indexed="81"/>
            <rFont val="Tahoma"/>
            <family val="2"/>
          </rPr>
          <t>Solver found a solution. All constraints and optimality conditions are satisfied.</t>
        </r>
      </text>
    </comment>
    <comment ref="B6" authorId="0" shapeId="0">
      <text>
        <r>
          <rPr>
            <sz val="9"/>
            <color indexed="81"/>
            <rFont val="Tahoma"/>
            <family val="2"/>
          </rPr>
          <t>Solver found a solution. All constraints and optimality conditions are satisfied.</t>
        </r>
      </text>
    </comment>
    <comment ref="B7" authorId="0" shapeId="0">
      <text>
        <r>
          <rPr>
            <sz val="9"/>
            <color indexed="81"/>
            <rFont val="Tahoma"/>
            <family val="2"/>
          </rPr>
          <t>Solver found a solution. All constraints and optimality conditions are satisfied.</t>
        </r>
      </text>
    </comment>
    <comment ref="B8" authorId="0" shapeId="0">
      <text>
        <r>
          <rPr>
            <sz val="9"/>
            <color indexed="81"/>
            <rFont val="Tahoma"/>
            <family val="2"/>
          </rPr>
          <t>Solver found a solution. All constraints and optimality conditions are satisfied.</t>
        </r>
      </text>
    </comment>
    <comment ref="B9" authorId="0" shapeId="0">
      <text>
        <r>
          <rPr>
            <sz val="9"/>
            <color indexed="81"/>
            <rFont val="Tahoma"/>
            <family val="2"/>
          </rPr>
          <t>Solver found a solution. All constraints and optimality conditions are satisfied.</t>
        </r>
      </text>
    </comment>
    <comment ref="B10" authorId="0" shapeId="0">
      <text>
        <r>
          <rPr>
            <sz val="9"/>
            <color indexed="81"/>
            <rFont val="Tahoma"/>
            <family val="2"/>
          </rPr>
          <t>Solver found a solution. All constraints and optimality conditions are satisfied.</t>
        </r>
      </text>
    </comment>
    <comment ref="B11" authorId="0" shapeId="0">
      <text>
        <r>
          <rPr>
            <sz val="9"/>
            <color indexed="81"/>
            <rFont val="Tahoma"/>
            <family val="2"/>
          </rPr>
          <t>Solver found a solution. All constraints and optimality conditions are satisfied.</t>
        </r>
      </text>
    </comment>
    <comment ref="B12" authorId="0" shapeId="0">
      <text>
        <r>
          <rPr>
            <sz val="9"/>
            <color indexed="81"/>
            <rFont val="Tahoma"/>
            <family val="2"/>
          </rPr>
          <t>Solver found a solution. All constraints and optimality conditions are satisfied.</t>
        </r>
      </text>
    </comment>
    <comment ref="B13" authorId="0" shapeId="0">
      <text>
        <r>
          <rPr>
            <sz val="9"/>
            <color indexed="81"/>
            <rFont val="Tahoma"/>
            <family val="2"/>
          </rPr>
          <t>Solver found a solution. All constraints and optimality conditions are satisfied.</t>
        </r>
      </text>
    </comment>
    <comment ref="B14" authorId="0" shapeId="0">
      <text>
        <r>
          <rPr>
            <sz val="9"/>
            <color indexed="81"/>
            <rFont val="Tahoma"/>
            <family val="2"/>
          </rPr>
          <t>Solver found a solution. All constraints and optimality conditions are satisfied.</t>
        </r>
      </text>
    </comment>
    <comment ref="B15" authorId="0" shapeId="0">
      <text>
        <r>
          <rPr>
            <sz val="9"/>
            <color indexed="81"/>
            <rFont val="Tahoma"/>
            <family val="2"/>
          </rPr>
          <t>Solver found a solution. All constraints and optimality conditions are satisfied.</t>
        </r>
      </text>
    </comment>
    <comment ref="B16" authorId="0" shapeId="0">
      <text>
        <r>
          <rPr>
            <sz val="9"/>
            <color indexed="81"/>
            <rFont val="Tahoma"/>
            <family val="2"/>
          </rPr>
          <t>Solver found a solution. All constraints and optimality conditions are satisfied.</t>
        </r>
      </text>
    </comment>
    <comment ref="B17" authorId="0" shapeId="0">
      <text>
        <r>
          <rPr>
            <sz val="9"/>
            <color indexed="81"/>
            <rFont val="Tahoma"/>
            <family val="2"/>
          </rPr>
          <t>Solver found a solution. All constraints and optimality conditions are satisfied.</t>
        </r>
      </text>
    </comment>
    <comment ref="B18" authorId="0" shapeId="0">
      <text>
        <r>
          <rPr>
            <sz val="9"/>
            <color indexed="81"/>
            <rFont val="Tahoma"/>
            <family val="2"/>
          </rPr>
          <t>Solver found a solution. All constraints and optimality conditions are satisfied.</t>
        </r>
      </text>
    </comment>
    <comment ref="B19" authorId="0" shapeId="0">
      <text>
        <r>
          <rPr>
            <sz val="9"/>
            <color indexed="81"/>
            <rFont val="Tahoma"/>
            <family val="2"/>
          </rPr>
          <t>Solver found a solution. All constraints and optimality conditions are satisfied.</t>
        </r>
      </text>
    </comment>
    <comment ref="B20" authorId="0" shapeId="0">
      <text>
        <r>
          <rPr>
            <sz val="9"/>
            <color indexed="81"/>
            <rFont val="Tahoma"/>
            <family val="2"/>
          </rPr>
          <t>Solver found a solution. All constraints and optimality conditions are satisfied.</t>
        </r>
      </text>
    </comment>
    <comment ref="B21" authorId="0" shapeId="0">
      <text>
        <r>
          <rPr>
            <sz val="9"/>
            <color indexed="81"/>
            <rFont val="Tahoma"/>
            <family val="2"/>
          </rPr>
          <t>Solver found a solution. All constraints and optimality conditions are satisfied.</t>
        </r>
      </text>
    </comment>
    <comment ref="B22" authorId="0" shapeId="0">
      <text>
        <r>
          <rPr>
            <sz val="9"/>
            <color indexed="81"/>
            <rFont val="Tahoma"/>
            <family val="2"/>
          </rPr>
          <t>Solver found a solution. All constraints and optimality conditions are satisfied.</t>
        </r>
      </text>
    </comment>
    <comment ref="B23" authorId="0" shapeId="0">
      <text>
        <r>
          <rPr>
            <sz val="9"/>
            <color indexed="81"/>
            <rFont val="Tahoma"/>
            <family val="2"/>
          </rPr>
          <t>Solver found a solution. All constraints and optimality conditions are satisfied.</t>
        </r>
      </text>
    </comment>
    <comment ref="B24" authorId="0" shapeId="0">
      <text>
        <r>
          <rPr>
            <sz val="9"/>
            <color indexed="81"/>
            <rFont val="Tahoma"/>
            <family val="2"/>
          </rPr>
          <t>Solver found a solution. All constraints and optimality conditions are satisfied.</t>
        </r>
      </text>
    </comment>
    <comment ref="B25" authorId="0" shapeId="0">
      <text>
        <r>
          <rPr>
            <sz val="9"/>
            <color indexed="81"/>
            <rFont val="Tahoma"/>
            <family val="2"/>
          </rPr>
          <t>Solver found a solution. All constraints and optimality conditions are satisfied.</t>
        </r>
      </text>
    </comment>
  </commentList>
</comments>
</file>

<file path=xl/comments3.xml><?xml version="1.0" encoding="utf-8"?>
<comments xmlns="http://schemas.openxmlformats.org/spreadsheetml/2006/main">
  <authors>
    <author>yingjunpan</author>
  </authors>
  <commentList>
    <comment ref="B5" authorId="0" shapeId="0">
      <text>
        <r>
          <rPr>
            <sz val="9"/>
            <color indexed="81"/>
            <rFont val="Tahoma"/>
            <family val="2"/>
          </rPr>
          <t>Solver found a solution. All constraints and optimality conditions are satisfied.</t>
        </r>
      </text>
    </comment>
    <comment ref="B6" authorId="0" shapeId="0">
      <text>
        <r>
          <rPr>
            <sz val="9"/>
            <color indexed="81"/>
            <rFont val="Tahoma"/>
            <family val="2"/>
          </rPr>
          <t>Solver found a solution. All constraints and optimality conditions are satisfied.</t>
        </r>
      </text>
    </comment>
    <comment ref="B7" authorId="0" shapeId="0">
      <text>
        <r>
          <rPr>
            <sz val="9"/>
            <color indexed="81"/>
            <rFont val="Tahoma"/>
            <family val="2"/>
          </rPr>
          <t>Solver found a solution. All constraints and optimality conditions are satisfied.</t>
        </r>
      </text>
    </comment>
    <comment ref="B8" authorId="0" shapeId="0">
      <text>
        <r>
          <rPr>
            <sz val="9"/>
            <color indexed="81"/>
            <rFont val="Tahoma"/>
            <family val="2"/>
          </rPr>
          <t>Solver found a solution. All constraints and optimality conditions are satisfied.</t>
        </r>
      </text>
    </comment>
    <comment ref="B9" authorId="0" shapeId="0">
      <text>
        <r>
          <rPr>
            <sz val="9"/>
            <color indexed="81"/>
            <rFont val="Tahoma"/>
            <family val="2"/>
          </rPr>
          <t>Solver found a solution. All constraints and optimality conditions are satisfied.</t>
        </r>
      </text>
    </comment>
    <comment ref="B10" authorId="0" shapeId="0">
      <text>
        <r>
          <rPr>
            <sz val="9"/>
            <color indexed="81"/>
            <rFont val="Tahoma"/>
            <family val="2"/>
          </rPr>
          <t>Solver found a solution. All constraints and optimality conditions are satisfied.</t>
        </r>
      </text>
    </comment>
    <comment ref="B11" authorId="0" shapeId="0">
      <text>
        <r>
          <rPr>
            <sz val="9"/>
            <color indexed="81"/>
            <rFont val="Tahoma"/>
            <family val="2"/>
          </rPr>
          <t>Solver found a solution. All constraints and optimality conditions are satisfied.</t>
        </r>
      </text>
    </comment>
    <comment ref="B12" authorId="0" shapeId="0">
      <text>
        <r>
          <rPr>
            <sz val="9"/>
            <color indexed="81"/>
            <rFont val="Tahoma"/>
            <family val="2"/>
          </rPr>
          <t>Solver found a solution. All constraints and optimality conditions are satisfied.</t>
        </r>
      </text>
    </comment>
    <comment ref="B13" authorId="0" shapeId="0">
      <text>
        <r>
          <rPr>
            <sz val="9"/>
            <color indexed="81"/>
            <rFont val="Tahoma"/>
            <family val="2"/>
          </rPr>
          <t>Solver found a solution. All constraints and optimality conditions are satisfied.</t>
        </r>
      </text>
    </comment>
    <comment ref="B14" authorId="0" shapeId="0">
      <text>
        <r>
          <rPr>
            <sz val="9"/>
            <color indexed="81"/>
            <rFont val="Tahoma"/>
            <family val="2"/>
          </rPr>
          <t>Solver found a solution. All constraints and optimality conditions are satisfied.</t>
        </r>
      </text>
    </comment>
    <comment ref="B15" authorId="0" shapeId="0">
      <text>
        <r>
          <rPr>
            <sz val="9"/>
            <color indexed="81"/>
            <rFont val="Tahoma"/>
            <family val="2"/>
          </rPr>
          <t>Solver found a solution. All constraints and optimality conditions are satisfied.</t>
        </r>
      </text>
    </comment>
  </commentList>
</comments>
</file>

<file path=xl/comments4.xml><?xml version="1.0" encoding="utf-8"?>
<comments xmlns="http://schemas.openxmlformats.org/spreadsheetml/2006/main">
  <authors>
    <author>yingjunpan</author>
  </authors>
  <commentList>
    <comment ref="B5" authorId="0" shapeId="0">
      <text>
        <r>
          <rPr>
            <sz val="9"/>
            <color indexed="81"/>
            <rFont val="Tahoma"/>
            <family val="2"/>
          </rPr>
          <t>Solver found a solution. All constraints and optimality conditions are satisfied.</t>
        </r>
      </text>
    </comment>
    <comment ref="B6" authorId="0" shapeId="0">
      <text>
        <r>
          <rPr>
            <sz val="9"/>
            <color indexed="81"/>
            <rFont val="Tahoma"/>
            <family val="2"/>
          </rPr>
          <t>Solver found a solution. All constraints and optimality conditions are satisfied.</t>
        </r>
      </text>
    </comment>
    <comment ref="B7" authorId="0" shapeId="0">
      <text>
        <r>
          <rPr>
            <sz val="9"/>
            <color indexed="81"/>
            <rFont val="Tahoma"/>
            <family val="2"/>
          </rPr>
          <t>Solver found a solution. All constraints and optimality conditions are satisfied.</t>
        </r>
      </text>
    </comment>
    <comment ref="B8" authorId="0" shapeId="0">
      <text>
        <r>
          <rPr>
            <sz val="9"/>
            <color indexed="81"/>
            <rFont val="Tahoma"/>
            <family val="2"/>
          </rPr>
          <t>Solver found a solution. All constraints and optimality conditions are satisfied.</t>
        </r>
      </text>
    </comment>
    <comment ref="B9" authorId="0" shapeId="0">
      <text>
        <r>
          <rPr>
            <sz val="9"/>
            <color indexed="81"/>
            <rFont val="Tahoma"/>
            <family val="2"/>
          </rPr>
          <t>Solver found a solution. All constraints and optimality conditions are satisfied.</t>
        </r>
      </text>
    </comment>
    <comment ref="B10" authorId="0" shapeId="0">
      <text>
        <r>
          <rPr>
            <sz val="9"/>
            <color indexed="81"/>
            <rFont val="Tahoma"/>
            <family val="2"/>
          </rPr>
          <t>Solver found a solution. All constraints and optimality conditions are satisfied.</t>
        </r>
      </text>
    </comment>
    <comment ref="B11" authorId="0" shapeId="0">
      <text>
        <r>
          <rPr>
            <sz val="9"/>
            <color indexed="81"/>
            <rFont val="Tahoma"/>
            <family val="2"/>
          </rPr>
          <t>Solver found a solution. All constraints and optimality conditions are satisfied.</t>
        </r>
      </text>
    </comment>
    <comment ref="B12" authorId="0" shapeId="0">
      <text>
        <r>
          <rPr>
            <sz val="9"/>
            <color indexed="81"/>
            <rFont val="Tahoma"/>
            <family val="2"/>
          </rPr>
          <t>Solver found a solution. All constraints and optimality conditions are satisfied.</t>
        </r>
      </text>
    </comment>
    <comment ref="B13" authorId="0" shapeId="0">
      <text>
        <r>
          <rPr>
            <sz val="9"/>
            <color indexed="81"/>
            <rFont val="Tahoma"/>
            <family val="2"/>
          </rPr>
          <t>Solver found a solution. All constraints and optimality conditions are satisfied.</t>
        </r>
      </text>
    </comment>
    <comment ref="B14" authorId="0" shapeId="0">
      <text>
        <r>
          <rPr>
            <sz val="9"/>
            <color indexed="81"/>
            <rFont val="Tahoma"/>
            <family val="2"/>
          </rPr>
          <t>Solver found a solution. All constraints and optimality conditions are satisfied.</t>
        </r>
      </text>
    </comment>
    <comment ref="B15" authorId="0" shapeId="0">
      <text>
        <r>
          <rPr>
            <sz val="9"/>
            <color indexed="81"/>
            <rFont val="Tahoma"/>
            <family val="2"/>
          </rPr>
          <t>Solver found a solution. All constraints and optimality conditions are satisfied.</t>
        </r>
      </text>
    </comment>
    <comment ref="B16" authorId="0" shapeId="0">
      <text>
        <r>
          <rPr>
            <sz val="9"/>
            <color indexed="81"/>
            <rFont val="Tahoma"/>
            <family val="2"/>
          </rPr>
          <t>Solver found a solution. All constraints and optimality conditions are satisfied.</t>
        </r>
      </text>
    </comment>
    <comment ref="B17" authorId="0" shapeId="0">
      <text>
        <r>
          <rPr>
            <sz val="9"/>
            <color indexed="81"/>
            <rFont val="Tahoma"/>
            <family val="2"/>
          </rPr>
          <t>Solver found a solution. All constraints and optimality conditions are satisfied.</t>
        </r>
      </text>
    </comment>
    <comment ref="B18" authorId="0" shapeId="0">
      <text>
        <r>
          <rPr>
            <sz val="9"/>
            <color indexed="81"/>
            <rFont val="Tahoma"/>
            <family val="2"/>
          </rPr>
          <t>Solver found a solution. All constraints and optimality conditions are satisfied.</t>
        </r>
      </text>
    </comment>
    <comment ref="B19" authorId="0" shapeId="0">
      <text>
        <r>
          <rPr>
            <sz val="9"/>
            <color indexed="81"/>
            <rFont val="Tahoma"/>
            <family val="2"/>
          </rPr>
          <t>Solver found a solution. All constraints and optimality conditions are satisfied.</t>
        </r>
      </text>
    </comment>
    <comment ref="B20" authorId="0" shapeId="0">
      <text>
        <r>
          <rPr>
            <sz val="9"/>
            <color indexed="81"/>
            <rFont val="Tahoma"/>
            <family val="2"/>
          </rPr>
          <t>Solver found a solution. All constraints and optimality conditions are satisfied.</t>
        </r>
      </text>
    </comment>
    <comment ref="B21" authorId="0" shapeId="0">
      <text>
        <r>
          <rPr>
            <sz val="9"/>
            <color indexed="81"/>
            <rFont val="Tahoma"/>
            <family val="2"/>
          </rPr>
          <t>Solver found a solution. All constraints and optimality conditions are satisfied.</t>
        </r>
      </text>
    </comment>
    <comment ref="B22" authorId="0" shapeId="0">
      <text>
        <r>
          <rPr>
            <sz val="9"/>
            <color indexed="81"/>
            <rFont val="Tahoma"/>
            <family val="2"/>
          </rPr>
          <t>Solver found a solution. All constraints and optimality conditions are satisfied.</t>
        </r>
      </text>
    </comment>
    <comment ref="B23" authorId="0" shapeId="0">
      <text>
        <r>
          <rPr>
            <sz val="9"/>
            <color indexed="81"/>
            <rFont val="Tahoma"/>
            <family val="2"/>
          </rPr>
          <t>Solver found a solution. All constraints and optimality conditions are satisfied.</t>
        </r>
      </text>
    </comment>
    <comment ref="B24" authorId="0" shapeId="0">
      <text>
        <r>
          <rPr>
            <sz val="9"/>
            <color indexed="81"/>
            <rFont val="Tahoma"/>
            <family val="2"/>
          </rPr>
          <t>Solver found a solution. All constraints and optimality conditions are satisfied.</t>
        </r>
      </text>
    </comment>
    <comment ref="B25" authorId="0" shapeId="0">
      <text>
        <r>
          <rPr>
            <sz val="9"/>
            <color indexed="81"/>
            <rFont val="Tahoma"/>
            <family val="2"/>
          </rPr>
          <t>Solver found a solution. All constraints and optimality conditions are satisfied.</t>
        </r>
      </text>
    </comment>
    <comment ref="B26" authorId="0" shapeId="0">
      <text>
        <r>
          <rPr>
            <sz val="9"/>
            <color indexed="81"/>
            <rFont val="Tahoma"/>
            <family val="2"/>
          </rPr>
          <t>Solver found a solution. All constraints and optimality conditions are satisfied.</t>
        </r>
      </text>
    </comment>
    <comment ref="B27" authorId="0" shapeId="0">
      <text>
        <r>
          <rPr>
            <sz val="9"/>
            <color indexed="81"/>
            <rFont val="Tahoma"/>
            <family val="2"/>
          </rPr>
          <t>Solver found a solution. All constraints and optimality conditions are satisfied.</t>
        </r>
      </text>
    </comment>
    <comment ref="B28" authorId="0" shapeId="0">
      <text>
        <r>
          <rPr>
            <sz val="9"/>
            <color indexed="81"/>
            <rFont val="Tahoma"/>
            <family val="2"/>
          </rPr>
          <t>Solver found a solution. All constraints and optimality conditions are satisfied.</t>
        </r>
      </text>
    </comment>
    <comment ref="B29" authorId="0" shapeId="0">
      <text>
        <r>
          <rPr>
            <sz val="9"/>
            <color indexed="81"/>
            <rFont val="Tahoma"/>
            <family val="2"/>
          </rPr>
          <t>Solver found a solution. All constraints and optimality conditions are satisfied.</t>
        </r>
      </text>
    </comment>
    <comment ref="B30" authorId="0" shapeId="0">
      <text>
        <r>
          <rPr>
            <sz val="9"/>
            <color indexed="81"/>
            <rFont val="Tahoma"/>
            <family val="2"/>
          </rPr>
          <t>Solver found a solution. All constraints and optimality conditions are satisfied.</t>
        </r>
      </text>
    </comment>
    <comment ref="B31" authorId="0" shapeId="0">
      <text>
        <r>
          <rPr>
            <sz val="9"/>
            <color indexed="81"/>
            <rFont val="Tahoma"/>
            <family val="2"/>
          </rPr>
          <t>Solver found a solution. All constraints and optimality conditions are satisfied.</t>
        </r>
      </text>
    </comment>
    <comment ref="B32" authorId="0" shapeId="0">
      <text>
        <r>
          <rPr>
            <sz val="9"/>
            <color indexed="81"/>
            <rFont val="Tahoma"/>
            <family val="2"/>
          </rPr>
          <t>Solver found a solution. All constraints and optimality conditions are satisfied.</t>
        </r>
      </text>
    </comment>
    <comment ref="B33" authorId="0" shapeId="0">
      <text>
        <r>
          <rPr>
            <sz val="9"/>
            <color indexed="81"/>
            <rFont val="Tahoma"/>
            <family val="2"/>
          </rPr>
          <t>Solver found a solution. All constraints and optimality conditions are satisfied.</t>
        </r>
      </text>
    </comment>
    <comment ref="B34" authorId="0" shapeId="0">
      <text>
        <r>
          <rPr>
            <sz val="9"/>
            <color indexed="81"/>
            <rFont val="Tahoma"/>
            <family val="2"/>
          </rPr>
          <t>Solver found a solution. All constraints and optimality conditions are satisfied.</t>
        </r>
      </text>
    </comment>
    <comment ref="B35" authorId="0" shapeId="0">
      <text>
        <r>
          <rPr>
            <sz val="9"/>
            <color indexed="81"/>
            <rFont val="Tahoma"/>
            <family val="2"/>
          </rPr>
          <t>Solver found a solution. All constraints and optimality conditions are satisfied.</t>
        </r>
      </text>
    </comment>
    <comment ref="B36" authorId="0" shapeId="0">
      <text>
        <r>
          <rPr>
            <sz val="9"/>
            <color indexed="81"/>
            <rFont val="Tahoma"/>
            <family val="2"/>
          </rPr>
          <t>Solver found a solution. All constraints and optimality conditions are satisfied.</t>
        </r>
      </text>
    </comment>
    <comment ref="B37" authorId="0" shapeId="0">
      <text>
        <r>
          <rPr>
            <sz val="9"/>
            <color indexed="81"/>
            <rFont val="Tahoma"/>
            <family val="2"/>
          </rPr>
          <t>Solver found a solution. All constraints and optimality conditions are satisfied.</t>
        </r>
      </text>
    </comment>
    <comment ref="B38" authorId="0" shapeId="0">
      <text>
        <r>
          <rPr>
            <sz val="9"/>
            <color indexed="81"/>
            <rFont val="Tahoma"/>
            <family val="2"/>
          </rPr>
          <t>Solver found a solution. All constraints and optimality conditions are satisfied.</t>
        </r>
      </text>
    </comment>
    <comment ref="B39" authorId="0" shapeId="0">
      <text>
        <r>
          <rPr>
            <sz val="9"/>
            <color indexed="81"/>
            <rFont val="Tahoma"/>
            <family val="2"/>
          </rPr>
          <t>Solver found a solution. All constraints and optimality conditions are satisfied.</t>
        </r>
      </text>
    </comment>
    <comment ref="B40" authorId="0" shapeId="0">
      <text>
        <r>
          <rPr>
            <sz val="9"/>
            <color indexed="81"/>
            <rFont val="Tahoma"/>
            <family val="2"/>
          </rPr>
          <t>Solver found a solution. All constraints and optimality conditions are satisfied.</t>
        </r>
      </text>
    </comment>
    <comment ref="B41" authorId="0" shapeId="0">
      <text>
        <r>
          <rPr>
            <sz val="9"/>
            <color indexed="81"/>
            <rFont val="Tahoma"/>
            <family val="2"/>
          </rPr>
          <t>Solver found a solution. All constraints and optimality conditions are satisfied.</t>
        </r>
      </text>
    </comment>
    <comment ref="B42" authorId="0" shapeId="0">
      <text>
        <r>
          <rPr>
            <sz val="9"/>
            <color indexed="81"/>
            <rFont val="Tahoma"/>
            <family val="2"/>
          </rPr>
          <t>Solver found a solution. All constraints and optimality conditions are satisfied.</t>
        </r>
      </text>
    </comment>
    <comment ref="B43" authorId="0" shapeId="0">
      <text>
        <r>
          <rPr>
            <sz val="9"/>
            <color indexed="81"/>
            <rFont val="Tahoma"/>
            <family val="2"/>
          </rPr>
          <t>Solver found a solution. All constraints and optimality conditions are satisfied.</t>
        </r>
      </text>
    </comment>
    <comment ref="B44" authorId="0" shapeId="0">
      <text>
        <r>
          <rPr>
            <sz val="9"/>
            <color indexed="81"/>
            <rFont val="Tahoma"/>
            <family val="2"/>
          </rPr>
          <t>Solver found a solution. All constraints and optimality conditions are satisfied.</t>
        </r>
      </text>
    </comment>
    <comment ref="B45" authorId="0" shapeId="0">
      <text>
        <r>
          <rPr>
            <sz val="9"/>
            <color indexed="81"/>
            <rFont val="Tahoma"/>
            <family val="2"/>
          </rPr>
          <t>Solver found a solution. All constraints and optimality conditions are satisfied.</t>
        </r>
      </text>
    </comment>
    <comment ref="B46" authorId="0" shapeId="0">
      <text>
        <r>
          <rPr>
            <sz val="9"/>
            <color indexed="81"/>
            <rFont val="Tahoma"/>
            <family val="2"/>
          </rPr>
          <t>Solver found a solution. All constraints and optimality conditions are satisfied.</t>
        </r>
      </text>
    </comment>
    <comment ref="B47" authorId="0" shapeId="0">
      <text>
        <r>
          <rPr>
            <sz val="9"/>
            <color indexed="81"/>
            <rFont val="Tahoma"/>
            <family val="2"/>
          </rPr>
          <t>Solver found a solution. All constraints and optimality conditions are satisfied.</t>
        </r>
      </text>
    </comment>
    <comment ref="B48" authorId="0" shapeId="0">
      <text>
        <r>
          <rPr>
            <sz val="9"/>
            <color indexed="81"/>
            <rFont val="Tahoma"/>
            <family val="2"/>
          </rPr>
          <t>Solver found a solution. All constraints and optimality conditions are satisfied.</t>
        </r>
      </text>
    </comment>
    <comment ref="B49" authorId="0" shapeId="0">
      <text>
        <r>
          <rPr>
            <sz val="9"/>
            <color indexed="81"/>
            <rFont val="Tahoma"/>
            <family val="2"/>
          </rPr>
          <t>Solver found a solution. All constraints and optimality conditions are satisfied.</t>
        </r>
      </text>
    </comment>
    <comment ref="B50" authorId="0" shapeId="0">
      <text>
        <r>
          <rPr>
            <sz val="9"/>
            <color indexed="81"/>
            <rFont val="Tahoma"/>
            <family val="2"/>
          </rPr>
          <t>Solver found a solution. All constraints and optimality conditions are satisfied.</t>
        </r>
      </text>
    </comment>
    <comment ref="B51" authorId="0" shapeId="0">
      <text>
        <r>
          <rPr>
            <sz val="9"/>
            <color indexed="81"/>
            <rFont val="Tahoma"/>
            <family val="2"/>
          </rPr>
          <t>Solver found a solution. All constraints and optimality conditions are satisfied.</t>
        </r>
      </text>
    </comment>
    <comment ref="B52" authorId="0" shapeId="0">
      <text>
        <r>
          <rPr>
            <sz val="9"/>
            <color indexed="81"/>
            <rFont val="Tahoma"/>
            <family val="2"/>
          </rPr>
          <t>Solver found a solution. All constraints and optimality conditions are satisfied.</t>
        </r>
      </text>
    </comment>
    <comment ref="B53" authorId="0" shapeId="0">
      <text>
        <r>
          <rPr>
            <sz val="9"/>
            <color indexed="81"/>
            <rFont val="Tahoma"/>
            <family val="2"/>
          </rPr>
          <t>Solver found a solution. All constraints and optimality conditions are satisfied.</t>
        </r>
      </text>
    </comment>
    <comment ref="B54" authorId="0" shapeId="0">
      <text>
        <r>
          <rPr>
            <sz val="9"/>
            <color indexed="81"/>
            <rFont val="Tahoma"/>
            <family val="2"/>
          </rPr>
          <t>Solver found a solution. All constraints and optimality conditions are satisfied.</t>
        </r>
      </text>
    </comment>
    <comment ref="B55" authorId="0" shapeId="0">
      <text>
        <r>
          <rPr>
            <sz val="9"/>
            <color indexed="81"/>
            <rFont val="Tahoma"/>
            <family val="2"/>
          </rPr>
          <t>Solver found a solution. All constraints and optimality conditions are satisfied.</t>
        </r>
      </text>
    </comment>
    <comment ref="B56" authorId="0" shapeId="0">
      <text>
        <r>
          <rPr>
            <sz val="9"/>
            <color indexed="81"/>
            <rFont val="Tahoma"/>
            <family val="2"/>
          </rPr>
          <t>Solver found a solution. All constraints and optimality conditions are satisfied.</t>
        </r>
      </text>
    </comment>
    <comment ref="B57" authorId="0" shapeId="0">
      <text>
        <r>
          <rPr>
            <sz val="9"/>
            <color indexed="81"/>
            <rFont val="Tahoma"/>
            <family val="2"/>
          </rPr>
          <t>Solver found a solution. All constraints and optimality conditions are satisfied.</t>
        </r>
      </text>
    </comment>
    <comment ref="B58" authorId="0" shapeId="0">
      <text>
        <r>
          <rPr>
            <sz val="9"/>
            <color indexed="81"/>
            <rFont val="Tahoma"/>
            <family val="2"/>
          </rPr>
          <t>Solver found a solution. All constraints and optimality conditions are satisfied.</t>
        </r>
      </text>
    </comment>
    <comment ref="B59" authorId="0" shapeId="0">
      <text>
        <r>
          <rPr>
            <sz val="9"/>
            <color indexed="81"/>
            <rFont val="Tahoma"/>
            <family val="2"/>
          </rPr>
          <t>Solver found a solution. All constraints and optimality conditions are satisfied.</t>
        </r>
      </text>
    </comment>
    <comment ref="B60" authorId="0" shapeId="0">
      <text>
        <r>
          <rPr>
            <sz val="9"/>
            <color indexed="81"/>
            <rFont val="Tahoma"/>
            <family val="2"/>
          </rPr>
          <t>Solver found a solution. All constraints and optimality conditions are satisfied.</t>
        </r>
      </text>
    </comment>
    <comment ref="B61" authorId="0" shapeId="0">
      <text>
        <r>
          <rPr>
            <sz val="9"/>
            <color indexed="81"/>
            <rFont val="Tahoma"/>
            <family val="2"/>
          </rPr>
          <t>Solver found a solution. All constraints and optimality conditions are satisfied.</t>
        </r>
      </text>
    </comment>
    <comment ref="B62" authorId="0" shapeId="0">
      <text>
        <r>
          <rPr>
            <sz val="9"/>
            <color indexed="81"/>
            <rFont val="Tahoma"/>
            <family val="2"/>
          </rPr>
          <t>Solver found a solution. All constraints and optimality conditions are satisfied.</t>
        </r>
      </text>
    </comment>
    <comment ref="B63" authorId="0" shapeId="0">
      <text>
        <r>
          <rPr>
            <sz val="9"/>
            <color indexed="81"/>
            <rFont val="Tahoma"/>
            <family val="2"/>
          </rPr>
          <t>Solver found a solution. All constraints and optimality conditions are satisfied.</t>
        </r>
      </text>
    </comment>
    <comment ref="B64" authorId="0" shapeId="0">
      <text>
        <r>
          <rPr>
            <sz val="9"/>
            <color indexed="81"/>
            <rFont val="Tahoma"/>
            <family val="2"/>
          </rPr>
          <t>Solver found a solution. All constraints and optimality conditions are satisfied.</t>
        </r>
      </text>
    </comment>
    <comment ref="B65" authorId="0" shapeId="0">
      <text>
        <r>
          <rPr>
            <sz val="9"/>
            <color indexed="81"/>
            <rFont val="Tahoma"/>
            <family val="2"/>
          </rPr>
          <t>Solver found a solution. All constraints and optimality conditions are satisfied.</t>
        </r>
      </text>
    </comment>
    <comment ref="B66" authorId="0" shapeId="0">
      <text>
        <r>
          <rPr>
            <sz val="9"/>
            <color indexed="81"/>
            <rFont val="Tahoma"/>
            <family val="2"/>
          </rPr>
          <t>Solver found a solution. All constraints and optimality conditions are satisfied.</t>
        </r>
      </text>
    </comment>
    <comment ref="B67" authorId="0" shapeId="0">
      <text>
        <r>
          <rPr>
            <sz val="9"/>
            <color indexed="81"/>
            <rFont val="Tahoma"/>
            <family val="2"/>
          </rPr>
          <t>Solver found a solution. All constraints and optimality conditions are satisfied.</t>
        </r>
      </text>
    </comment>
    <comment ref="B68" authorId="0" shapeId="0">
      <text>
        <r>
          <rPr>
            <sz val="9"/>
            <color indexed="81"/>
            <rFont val="Tahoma"/>
            <family val="2"/>
          </rPr>
          <t>Solver found a solution. All constraints and optimality conditions are satisfied.</t>
        </r>
      </text>
    </comment>
    <comment ref="B69" authorId="0" shapeId="0">
      <text>
        <r>
          <rPr>
            <sz val="9"/>
            <color indexed="81"/>
            <rFont val="Tahoma"/>
            <family val="2"/>
          </rPr>
          <t>Solver found a solution. All constraints and optimality conditions are satisfied.</t>
        </r>
      </text>
    </comment>
    <comment ref="B70" authorId="0" shapeId="0">
      <text>
        <r>
          <rPr>
            <sz val="9"/>
            <color indexed="81"/>
            <rFont val="Tahoma"/>
            <family val="2"/>
          </rPr>
          <t>Solver found a solution. All constraints and optimality conditions are satisfied.</t>
        </r>
      </text>
    </comment>
    <comment ref="B71" authorId="0" shapeId="0">
      <text>
        <r>
          <rPr>
            <sz val="9"/>
            <color indexed="81"/>
            <rFont val="Tahoma"/>
            <family val="2"/>
          </rPr>
          <t>Solver found a solution. All constraints and optimality conditions are satisfied.</t>
        </r>
      </text>
    </comment>
    <comment ref="B72" authorId="0" shapeId="0">
      <text>
        <r>
          <rPr>
            <sz val="9"/>
            <color indexed="81"/>
            <rFont val="Tahoma"/>
            <family val="2"/>
          </rPr>
          <t>Solver found a solution. All constraints and optimality conditions are satisfied.</t>
        </r>
      </text>
    </comment>
    <comment ref="B73" authorId="0" shapeId="0">
      <text>
        <r>
          <rPr>
            <sz val="9"/>
            <color indexed="81"/>
            <rFont val="Tahoma"/>
            <family val="2"/>
          </rPr>
          <t>Solver found a solution. All constraints and optimality conditions are satisfied.</t>
        </r>
      </text>
    </comment>
    <comment ref="B74" authorId="0" shapeId="0">
      <text>
        <r>
          <rPr>
            <sz val="9"/>
            <color indexed="81"/>
            <rFont val="Tahoma"/>
            <family val="2"/>
          </rPr>
          <t>Solver found a solution. All constraints and optimality conditions are satisfied.</t>
        </r>
      </text>
    </comment>
    <comment ref="B75" authorId="0" shapeId="0">
      <text>
        <r>
          <rPr>
            <sz val="9"/>
            <color indexed="81"/>
            <rFont val="Tahoma"/>
            <family val="2"/>
          </rPr>
          <t>Solver found a solution. All constraints and optimality conditions are satisfied.</t>
        </r>
      </text>
    </comment>
    <comment ref="B76" authorId="0" shapeId="0">
      <text>
        <r>
          <rPr>
            <sz val="9"/>
            <color indexed="81"/>
            <rFont val="Tahoma"/>
            <family val="2"/>
          </rPr>
          <t>Solver found a solution. All constraints and optimality conditions are satisfied.</t>
        </r>
      </text>
    </comment>
    <comment ref="B77" authorId="0" shapeId="0">
      <text>
        <r>
          <rPr>
            <sz val="9"/>
            <color indexed="81"/>
            <rFont val="Tahoma"/>
            <family val="2"/>
          </rPr>
          <t>Solver found a solution. All constraints and optimality conditions are satisfied.</t>
        </r>
      </text>
    </comment>
    <comment ref="B78" authorId="0" shapeId="0">
      <text>
        <r>
          <rPr>
            <sz val="9"/>
            <color indexed="81"/>
            <rFont val="Tahoma"/>
            <family val="2"/>
          </rPr>
          <t>Solver found a solution. All constraints and optimality conditions are satisfied.</t>
        </r>
      </text>
    </comment>
    <comment ref="B79" authorId="0" shapeId="0">
      <text>
        <r>
          <rPr>
            <sz val="9"/>
            <color indexed="81"/>
            <rFont val="Tahoma"/>
            <family val="2"/>
          </rPr>
          <t>Solver found a solution. All constraints and optimality conditions are satisfied.</t>
        </r>
      </text>
    </comment>
    <comment ref="B80" authorId="0" shapeId="0">
      <text>
        <r>
          <rPr>
            <sz val="9"/>
            <color indexed="81"/>
            <rFont val="Tahoma"/>
            <family val="2"/>
          </rPr>
          <t>Solver found a solution. All constraints and optimality conditions are satisfied.</t>
        </r>
      </text>
    </comment>
    <comment ref="B81" authorId="0" shapeId="0">
      <text>
        <r>
          <rPr>
            <sz val="9"/>
            <color indexed="81"/>
            <rFont val="Tahoma"/>
            <family val="2"/>
          </rPr>
          <t>Solver found a solution. All constraints and optimality conditions are satisfied.</t>
        </r>
      </text>
    </comment>
    <comment ref="B82" authorId="0" shapeId="0">
      <text>
        <r>
          <rPr>
            <sz val="9"/>
            <color indexed="81"/>
            <rFont val="Tahoma"/>
            <family val="2"/>
          </rPr>
          <t>Solver found a solution. All constraints and optimality conditions are satisfied.</t>
        </r>
      </text>
    </comment>
    <comment ref="B83" authorId="0" shapeId="0">
      <text>
        <r>
          <rPr>
            <sz val="9"/>
            <color indexed="81"/>
            <rFont val="Tahoma"/>
            <family val="2"/>
          </rPr>
          <t>Solver found a solution. All constraints and optimality conditions are satisfied.</t>
        </r>
      </text>
    </comment>
    <comment ref="B84" authorId="0" shapeId="0">
      <text>
        <r>
          <rPr>
            <sz val="9"/>
            <color indexed="81"/>
            <rFont val="Tahoma"/>
            <family val="2"/>
          </rPr>
          <t>Solver found a solution. All constraints and optimality conditions are satisfied.</t>
        </r>
      </text>
    </comment>
    <comment ref="B85" authorId="0" shapeId="0">
      <text>
        <r>
          <rPr>
            <sz val="9"/>
            <color indexed="81"/>
            <rFont val="Tahoma"/>
            <family val="2"/>
          </rPr>
          <t>Solver found a solution. All constraints and optimality conditions are satisfied.</t>
        </r>
      </text>
    </comment>
    <comment ref="B86" authorId="0" shapeId="0">
      <text>
        <r>
          <rPr>
            <sz val="9"/>
            <color indexed="81"/>
            <rFont val="Tahoma"/>
            <family val="2"/>
          </rPr>
          <t>Solver found a solution. All constraints and optimality conditions are satisfied.</t>
        </r>
      </text>
    </comment>
    <comment ref="B87" authorId="0" shapeId="0">
      <text>
        <r>
          <rPr>
            <sz val="9"/>
            <color indexed="81"/>
            <rFont val="Tahoma"/>
            <family val="2"/>
          </rPr>
          <t>Solver found a solution. All constraints and optimality conditions are satisfied.</t>
        </r>
      </text>
    </comment>
    <comment ref="B88" authorId="0" shapeId="0">
      <text>
        <r>
          <rPr>
            <sz val="9"/>
            <color indexed="81"/>
            <rFont val="Tahoma"/>
            <family val="2"/>
          </rPr>
          <t>Solver found a solution. All constraints and optimality conditions are satisfied.</t>
        </r>
      </text>
    </comment>
    <comment ref="B89" authorId="0" shapeId="0">
      <text>
        <r>
          <rPr>
            <sz val="9"/>
            <color indexed="81"/>
            <rFont val="Tahoma"/>
            <family val="2"/>
          </rPr>
          <t>Solver found a solution. All constraints and optimality conditions are satisfied.</t>
        </r>
      </text>
    </comment>
    <comment ref="B90" authorId="0" shapeId="0">
      <text>
        <r>
          <rPr>
            <sz val="9"/>
            <color indexed="81"/>
            <rFont val="Tahoma"/>
            <family val="2"/>
          </rPr>
          <t>Solver found a solution. All constraints and optimality conditions are satisfied.</t>
        </r>
      </text>
    </comment>
    <comment ref="B91" authorId="0" shapeId="0">
      <text>
        <r>
          <rPr>
            <sz val="9"/>
            <color indexed="81"/>
            <rFont val="Tahoma"/>
            <family val="2"/>
          </rPr>
          <t>Solver found a solution. All constraints and optimality conditions are satisfied.</t>
        </r>
      </text>
    </comment>
    <comment ref="B92" authorId="0" shapeId="0">
      <text>
        <r>
          <rPr>
            <sz val="9"/>
            <color indexed="81"/>
            <rFont val="Tahoma"/>
            <family val="2"/>
          </rPr>
          <t>Solver found a solution. All constraints and optimality conditions are satisfied.</t>
        </r>
      </text>
    </comment>
    <comment ref="B93" authorId="0" shapeId="0">
      <text>
        <r>
          <rPr>
            <sz val="9"/>
            <color indexed="81"/>
            <rFont val="Tahoma"/>
            <family val="2"/>
          </rPr>
          <t>Solver found a solution. All constraints and optimality conditions are satisfied.</t>
        </r>
      </text>
    </comment>
    <comment ref="B94" authorId="0" shapeId="0">
      <text>
        <r>
          <rPr>
            <sz val="9"/>
            <color indexed="81"/>
            <rFont val="Tahoma"/>
            <family val="2"/>
          </rPr>
          <t>Solver found a solution. All constraints and optimality conditions are satisfied.</t>
        </r>
      </text>
    </comment>
    <comment ref="B95" authorId="0" shapeId="0">
      <text>
        <r>
          <rPr>
            <sz val="9"/>
            <color indexed="81"/>
            <rFont val="Tahoma"/>
            <family val="2"/>
          </rPr>
          <t>Solver found a solution. All constraints and optimality conditions are satisfied.</t>
        </r>
      </text>
    </comment>
    <comment ref="B96" authorId="0" shapeId="0">
      <text>
        <r>
          <rPr>
            <sz val="9"/>
            <color indexed="81"/>
            <rFont val="Tahoma"/>
            <family val="2"/>
          </rPr>
          <t>Solver found a solution. All constraints and optimality conditions are satisfied.</t>
        </r>
      </text>
    </comment>
    <comment ref="B97" authorId="0" shapeId="0">
      <text>
        <r>
          <rPr>
            <sz val="9"/>
            <color indexed="81"/>
            <rFont val="Tahoma"/>
            <family val="2"/>
          </rPr>
          <t>Solver found a solution. All constraints and optimality conditions are satisfied.</t>
        </r>
      </text>
    </comment>
    <comment ref="B98" authorId="0" shapeId="0">
      <text>
        <r>
          <rPr>
            <sz val="9"/>
            <color indexed="81"/>
            <rFont val="Tahoma"/>
            <family val="2"/>
          </rPr>
          <t>Solver found a solution. All constraints and optimality conditions are satisfied.</t>
        </r>
      </text>
    </comment>
    <comment ref="B99" authorId="0" shapeId="0">
      <text>
        <r>
          <rPr>
            <sz val="9"/>
            <color indexed="81"/>
            <rFont val="Tahoma"/>
            <family val="2"/>
          </rPr>
          <t>Solver found a solution. All constraints and optimality conditions are satisfied.</t>
        </r>
      </text>
    </comment>
    <comment ref="B100" authorId="0" shapeId="0">
      <text>
        <r>
          <rPr>
            <sz val="9"/>
            <color indexed="81"/>
            <rFont val="Tahoma"/>
            <family val="2"/>
          </rPr>
          <t>Solver found a solution. All constraints and optimality conditions are satisfied.</t>
        </r>
      </text>
    </comment>
    <comment ref="B101" authorId="0" shapeId="0">
      <text>
        <r>
          <rPr>
            <sz val="9"/>
            <color indexed="81"/>
            <rFont val="Tahoma"/>
            <family val="2"/>
          </rPr>
          <t>Solver found a solution. All constraints and optimality conditions are satisfied.</t>
        </r>
      </text>
    </comment>
    <comment ref="B102" authorId="0" shapeId="0">
      <text>
        <r>
          <rPr>
            <sz val="9"/>
            <color indexed="81"/>
            <rFont val="Tahoma"/>
            <family val="2"/>
          </rPr>
          <t>Solver found a solution. All constraints and optimality conditions are satisfied.</t>
        </r>
      </text>
    </comment>
    <comment ref="B103" authorId="0" shapeId="0">
      <text>
        <r>
          <rPr>
            <sz val="9"/>
            <color indexed="81"/>
            <rFont val="Tahoma"/>
            <family val="2"/>
          </rPr>
          <t>Solver found a solution. All constraints and optimality conditions are satisfied.</t>
        </r>
      </text>
    </comment>
    <comment ref="B104" authorId="0" shapeId="0">
      <text>
        <r>
          <rPr>
            <sz val="9"/>
            <color indexed="81"/>
            <rFont val="Tahoma"/>
            <family val="2"/>
          </rPr>
          <t>Solver found a solution. All constraints and optimality conditions are satisfied.</t>
        </r>
      </text>
    </comment>
    <comment ref="B105" authorId="0" shapeId="0">
      <text>
        <r>
          <rPr>
            <sz val="9"/>
            <color indexed="81"/>
            <rFont val="Tahoma"/>
            <family val="2"/>
          </rPr>
          <t>Solver found a solution. All constraints and optimality conditions are satisfied.</t>
        </r>
      </text>
    </comment>
  </commentList>
</comments>
</file>

<file path=xl/comments5.xml><?xml version="1.0" encoding="utf-8"?>
<comments xmlns="http://schemas.openxmlformats.org/spreadsheetml/2006/main">
  <authors>
    <author>yingjunpan</author>
  </authors>
  <commentList>
    <comment ref="B5" authorId="0" shapeId="0">
      <text>
        <r>
          <rPr>
            <sz val="9"/>
            <color indexed="81"/>
            <rFont val="Tahoma"/>
            <family val="2"/>
          </rPr>
          <t>Solver found a solution. All constraints and optimality conditions are satisfied.</t>
        </r>
      </text>
    </comment>
    <comment ref="C5" authorId="0" shapeId="0">
      <text>
        <r>
          <rPr>
            <sz val="9"/>
            <color indexed="81"/>
            <rFont val="Tahoma"/>
            <family val="2"/>
          </rPr>
          <t>Solver found a solution. All constraints and optimality conditions are satisfied.</t>
        </r>
      </text>
    </comment>
    <comment ref="D5" authorId="0" shapeId="0">
      <text>
        <r>
          <rPr>
            <sz val="9"/>
            <color indexed="81"/>
            <rFont val="Tahoma"/>
            <family val="2"/>
          </rPr>
          <t>Solver found a solution. All constraints and optimality conditions are satisfied.</t>
        </r>
      </text>
    </comment>
    <comment ref="E5" authorId="0" shapeId="0">
      <text>
        <r>
          <rPr>
            <sz val="9"/>
            <color indexed="81"/>
            <rFont val="Tahoma"/>
            <family val="2"/>
          </rPr>
          <t>Solver found a solution. All constraints and optimality conditions are satisfied.</t>
        </r>
      </text>
    </comment>
    <comment ref="F5" authorId="0" shapeId="0">
      <text>
        <r>
          <rPr>
            <sz val="9"/>
            <color indexed="81"/>
            <rFont val="Tahoma"/>
            <family val="2"/>
          </rPr>
          <t>Solver found a solution. All constraints and optimality conditions are satisfied.</t>
        </r>
      </text>
    </comment>
    <comment ref="G5" authorId="0" shapeId="0">
      <text>
        <r>
          <rPr>
            <sz val="9"/>
            <color indexed="81"/>
            <rFont val="Tahoma"/>
            <family val="2"/>
          </rPr>
          <t>Solver found a solution. All constraints and optimality conditions are satisfied.</t>
        </r>
      </text>
    </comment>
    <comment ref="H5" authorId="0" shapeId="0">
      <text>
        <r>
          <rPr>
            <sz val="9"/>
            <color indexed="81"/>
            <rFont val="Tahoma"/>
            <family val="2"/>
          </rPr>
          <t>Solver found a solution. All constraints and optimality conditions are satisfied.</t>
        </r>
      </text>
    </comment>
    <comment ref="B6" authorId="0" shapeId="0">
      <text>
        <r>
          <rPr>
            <sz val="9"/>
            <color indexed="81"/>
            <rFont val="Tahoma"/>
            <family val="2"/>
          </rPr>
          <t>Solver found a solution. All constraints and optimality conditions are satisfied.</t>
        </r>
      </text>
    </comment>
    <comment ref="C6" authorId="0" shapeId="0">
      <text>
        <r>
          <rPr>
            <sz val="9"/>
            <color indexed="81"/>
            <rFont val="Tahoma"/>
            <family val="2"/>
          </rPr>
          <t>Solver found a solution. All constraints and optimality conditions are satisfied.</t>
        </r>
      </text>
    </comment>
    <comment ref="D6" authorId="0" shapeId="0">
      <text>
        <r>
          <rPr>
            <sz val="9"/>
            <color indexed="81"/>
            <rFont val="Tahoma"/>
            <family val="2"/>
          </rPr>
          <t>Solver found a solution. All constraints and optimality conditions are satisfied.</t>
        </r>
      </text>
    </comment>
    <comment ref="E6" authorId="0" shapeId="0">
      <text>
        <r>
          <rPr>
            <sz val="9"/>
            <color indexed="81"/>
            <rFont val="Tahoma"/>
            <family val="2"/>
          </rPr>
          <t>Solver found a solution. All constraints and optimality conditions are satisfied.</t>
        </r>
      </text>
    </comment>
    <comment ref="F6" authorId="0" shapeId="0">
      <text>
        <r>
          <rPr>
            <sz val="9"/>
            <color indexed="81"/>
            <rFont val="Tahoma"/>
            <family val="2"/>
          </rPr>
          <t>Solver found a solution. All constraints and optimality conditions are satisfied.</t>
        </r>
      </text>
    </comment>
    <comment ref="G6" authorId="0" shapeId="0">
      <text>
        <r>
          <rPr>
            <sz val="9"/>
            <color indexed="81"/>
            <rFont val="Tahoma"/>
            <family val="2"/>
          </rPr>
          <t>Solver found a solution. All constraints and optimality conditions are satisfied.</t>
        </r>
      </text>
    </comment>
    <comment ref="H6" authorId="0" shapeId="0">
      <text>
        <r>
          <rPr>
            <sz val="9"/>
            <color indexed="81"/>
            <rFont val="Tahoma"/>
            <family val="2"/>
          </rPr>
          <t>Solver found a solution. All constraints and optimality conditions are satisfied.</t>
        </r>
      </text>
    </comment>
    <comment ref="B7" authorId="0" shapeId="0">
      <text>
        <r>
          <rPr>
            <sz val="9"/>
            <color indexed="81"/>
            <rFont val="Tahoma"/>
            <family val="2"/>
          </rPr>
          <t>Solver found a solution. All constraints and optimality conditions are satisfied.</t>
        </r>
      </text>
    </comment>
    <comment ref="C7" authorId="0" shapeId="0">
      <text>
        <r>
          <rPr>
            <sz val="9"/>
            <color indexed="81"/>
            <rFont val="Tahoma"/>
            <family val="2"/>
          </rPr>
          <t>Solver found a solution. All constraints and optimality conditions are satisfied.</t>
        </r>
      </text>
    </comment>
    <comment ref="D7" authorId="0" shapeId="0">
      <text>
        <r>
          <rPr>
            <sz val="9"/>
            <color indexed="81"/>
            <rFont val="Tahoma"/>
            <family val="2"/>
          </rPr>
          <t>Solver found a solution. All constraints and optimality conditions are satisfied.</t>
        </r>
      </text>
    </comment>
    <comment ref="E7" authorId="0" shapeId="0">
      <text>
        <r>
          <rPr>
            <sz val="9"/>
            <color indexed="81"/>
            <rFont val="Tahoma"/>
            <family val="2"/>
          </rPr>
          <t>Solver found a solution. All constraints and optimality conditions are satisfied.</t>
        </r>
      </text>
    </comment>
    <comment ref="F7" authorId="0" shapeId="0">
      <text>
        <r>
          <rPr>
            <sz val="9"/>
            <color indexed="81"/>
            <rFont val="Tahoma"/>
            <family val="2"/>
          </rPr>
          <t>Solver found a solution. All constraints and optimality conditions are satisfied.</t>
        </r>
      </text>
    </comment>
    <comment ref="G7" authorId="0" shapeId="0">
      <text>
        <r>
          <rPr>
            <sz val="9"/>
            <color indexed="81"/>
            <rFont val="Tahoma"/>
            <family val="2"/>
          </rPr>
          <t>Solver found a solution. All constraints and optimality conditions are satisfied.</t>
        </r>
      </text>
    </comment>
    <comment ref="H7" authorId="0" shapeId="0">
      <text>
        <r>
          <rPr>
            <sz val="9"/>
            <color indexed="81"/>
            <rFont val="Tahoma"/>
            <family val="2"/>
          </rPr>
          <t>Solver found a solution. All constraints and optimality conditions are satisfied.</t>
        </r>
      </text>
    </comment>
    <comment ref="B8" authorId="0" shapeId="0">
      <text>
        <r>
          <rPr>
            <sz val="9"/>
            <color indexed="81"/>
            <rFont val="Tahoma"/>
            <family val="2"/>
          </rPr>
          <t>Solver found a solution. All constraints and optimality conditions are satisfied.</t>
        </r>
      </text>
    </comment>
    <comment ref="C8" authorId="0" shapeId="0">
      <text>
        <r>
          <rPr>
            <sz val="9"/>
            <color indexed="81"/>
            <rFont val="Tahoma"/>
            <family val="2"/>
          </rPr>
          <t>Solver found a solution. All constraints and optimality conditions are satisfied.</t>
        </r>
      </text>
    </comment>
    <comment ref="D8" authorId="0" shapeId="0">
      <text>
        <r>
          <rPr>
            <sz val="9"/>
            <color indexed="81"/>
            <rFont val="Tahoma"/>
            <family val="2"/>
          </rPr>
          <t>Solver found a solution. All constraints and optimality conditions are satisfied.</t>
        </r>
      </text>
    </comment>
    <comment ref="E8" authorId="0" shapeId="0">
      <text>
        <r>
          <rPr>
            <sz val="9"/>
            <color indexed="81"/>
            <rFont val="Tahoma"/>
            <family val="2"/>
          </rPr>
          <t>Solver found a solution. All constraints and optimality conditions are satisfied.</t>
        </r>
      </text>
    </comment>
    <comment ref="F8" authorId="0" shapeId="0">
      <text>
        <r>
          <rPr>
            <sz val="9"/>
            <color indexed="81"/>
            <rFont val="Tahoma"/>
            <family val="2"/>
          </rPr>
          <t>Solver found a solution. All constraints and optimality conditions are satisfied.</t>
        </r>
      </text>
    </comment>
    <comment ref="G8" authorId="0" shapeId="0">
      <text>
        <r>
          <rPr>
            <sz val="9"/>
            <color indexed="81"/>
            <rFont val="Tahoma"/>
            <family val="2"/>
          </rPr>
          <t>Solver found a solution. All constraints and optimality conditions are satisfied.</t>
        </r>
      </text>
    </comment>
    <comment ref="H8" authorId="0" shapeId="0">
      <text>
        <r>
          <rPr>
            <sz val="9"/>
            <color indexed="81"/>
            <rFont val="Tahoma"/>
            <family val="2"/>
          </rPr>
          <t>Solver found a solution. All constraints and optimality conditions are satisfied.</t>
        </r>
      </text>
    </comment>
    <comment ref="B9" authorId="0" shapeId="0">
      <text>
        <r>
          <rPr>
            <sz val="9"/>
            <color indexed="81"/>
            <rFont val="Tahoma"/>
            <family val="2"/>
          </rPr>
          <t>Solver found a solution. All constraints and optimality conditions are satisfied.</t>
        </r>
      </text>
    </comment>
    <comment ref="C9" authorId="0" shapeId="0">
      <text>
        <r>
          <rPr>
            <sz val="9"/>
            <color indexed="81"/>
            <rFont val="Tahoma"/>
            <family val="2"/>
          </rPr>
          <t>Solver found a solution. All constraints and optimality conditions are satisfied.</t>
        </r>
      </text>
    </comment>
    <comment ref="D9" authorId="0" shapeId="0">
      <text>
        <r>
          <rPr>
            <sz val="9"/>
            <color indexed="81"/>
            <rFont val="Tahoma"/>
            <family val="2"/>
          </rPr>
          <t>Solver found a solution. All constraints and optimality conditions are satisfied.</t>
        </r>
      </text>
    </comment>
    <comment ref="E9" authorId="0" shapeId="0">
      <text>
        <r>
          <rPr>
            <sz val="9"/>
            <color indexed="81"/>
            <rFont val="Tahoma"/>
            <family val="2"/>
          </rPr>
          <t>Solver found a solution. All constraints and optimality conditions are satisfied.</t>
        </r>
      </text>
    </comment>
    <comment ref="F9" authorId="0" shapeId="0">
      <text>
        <r>
          <rPr>
            <sz val="9"/>
            <color indexed="81"/>
            <rFont val="Tahoma"/>
            <family val="2"/>
          </rPr>
          <t>Solver found a solution. All constraints and optimality conditions are satisfied.</t>
        </r>
      </text>
    </comment>
    <comment ref="G9" authorId="0" shapeId="0">
      <text>
        <r>
          <rPr>
            <sz val="9"/>
            <color indexed="81"/>
            <rFont val="Tahoma"/>
            <family val="2"/>
          </rPr>
          <t>Solver found a solution. All constraints and optimality conditions are satisfied.</t>
        </r>
      </text>
    </comment>
    <comment ref="H9" authorId="0" shapeId="0">
      <text>
        <r>
          <rPr>
            <sz val="9"/>
            <color indexed="81"/>
            <rFont val="Tahoma"/>
            <family val="2"/>
          </rPr>
          <t>Solver found a solution. All constraints and optimality conditions are satisfied.</t>
        </r>
      </text>
    </comment>
    <comment ref="B10" authorId="0" shapeId="0">
      <text>
        <r>
          <rPr>
            <sz val="9"/>
            <color indexed="81"/>
            <rFont val="Tahoma"/>
            <family val="2"/>
          </rPr>
          <t>Solver found a solution. All constraints and optimality conditions are satisfied.</t>
        </r>
      </text>
    </comment>
    <comment ref="C10" authorId="0" shapeId="0">
      <text>
        <r>
          <rPr>
            <sz val="9"/>
            <color indexed="81"/>
            <rFont val="Tahoma"/>
            <family val="2"/>
          </rPr>
          <t>Solver found a solution. All constraints and optimality conditions are satisfied.</t>
        </r>
      </text>
    </comment>
    <comment ref="D10" authorId="0" shapeId="0">
      <text>
        <r>
          <rPr>
            <sz val="9"/>
            <color indexed="81"/>
            <rFont val="Tahoma"/>
            <family val="2"/>
          </rPr>
          <t>Solver found a solution. All constraints and optimality conditions are satisfied.</t>
        </r>
      </text>
    </comment>
    <comment ref="E10" authorId="0" shapeId="0">
      <text>
        <r>
          <rPr>
            <sz val="9"/>
            <color indexed="81"/>
            <rFont val="Tahoma"/>
            <family val="2"/>
          </rPr>
          <t>Solver found a solution. All constraints and optimality conditions are satisfied.</t>
        </r>
      </text>
    </comment>
    <comment ref="F10" authorId="0" shapeId="0">
      <text>
        <r>
          <rPr>
            <sz val="9"/>
            <color indexed="81"/>
            <rFont val="Tahoma"/>
            <family val="2"/>
          </rPr>
          <t>Solver found a solution. All constraints and optimality conditions are satisfied.</t>
        </r>
      </text>
    </comment>
    <comment ref="G10" authorId="0" shapeId="0">
      <text>
        <r>
          <rPr>
            <sz val="9"/>
            <color indexed="81"/>
            <rFont val="Tahoma"/>
            <family val="2"/>
          </rPr>
          <t>Solver found a solution. All constraints and optimality conditions are satisfied.</t>
        </r>
      </text>
    </comment>
    <comment ref="H10" authorId="0" shapeId="0">
      <text>
        <r>
          <rPr>
            <sz val="9"/>
            <color indexed="81"/>
            <rFont val="Tahoma"/>
            <family val="2"/>
          </rPr>
          <t>Solver found a solution. All constraints and optimality conditions are satisfied.</t>
        </r>
      </text>
    </comment>
    <comment ref="B11" authorId="0" shapeId="0">
      <text>
        <r>
          <rPr>
            <sz val="9"/>
            <color indexed="81"/>
            <rFont val="Tahoma"/>
            <family val="2"/>
          </rPr>
          <t>Solver found a solution. All constraints and optimality conditions are satisfied.</t>
        </r>
      </text>
    </comment>
    <comment ref="C11" authorId="0" shapeId="0">
      <text>
        <r>
          <rPr>
            <sz val="9"/>
            <color indexed="81"/>
            <rFont val="Tahoma"/>
            <family val="2"/>
          </rPr>
          <t>Solver found a solution. All constraints and optimality conditions are satisfied.</t>
        </r>
      </text>
    </comment>
    <comment ref="D11" authorId="0" shapeId="0">
      <text>
        <r>
          <rPr>
            <sz val="9"/>
            <color indexed="81"/>
            <rFont val="Tahoma"/>
            <family val="2"/>
          </rPr>
          <t>Solver found a solution. All constraints and optimality conditions are satisfied.</t>
        </r>
      </text>
    </comment>
    <comment ref="E11" authorId="0" shapeId="0">
      <text>
        <r>
          <rPr>
            <sz val="9"/>
            <color indexed="81"/>
            <rFont val="Tahoma"/>
            <family val="2"/>
          </rPr>
          <t>Solver found a solution. All constraints and optimality conditions are satisfied.</t>
        </r>
      </text>
    </comment>
    <comment ref="F11" authorId="0" shapeId="0">
      <text>
        <r>
          <rPr>
            <sz val="9"/>
            <color indexed="81"/>
            <rFont val="Tahoma"/>
            <family val="2"/>
          </rPr>
          <t>Solver found a solution. All constraints and optimality conditions are satisfied.</t>
        </r>
      </text>
    </comment>
    <comment ref="G11" authorId="0" shapeId="0">
      <text>
        <r>
          <rPr>
            <sz val="9"/>
            <color indexed="81"/>
            <rFont val="Tahoma"/>
            <family val="2"/>
          </rPr>
          <t>Solver found a solution. All constraints and optimality conditions are satisfied.</t>
        </r>
      </text>
    </comment>
    <comment ref="H11" authorId="0" shapeId="0">
      <text>
        <r>
          <rPr>
            <sz val="9"/>
            <color indexed="81"/>
            <rFont val="Tahoma"/>
            <family val="2"/>
          </rPr>
          <t>Solver found a solution. All constraints and optimality conditions are satisfied.</t>
        </r>
      </text>
    </comment>
    <comment ref="C15" authorId="0" shapeId="0">
      <text>
        <r>
          <rPr>
            <sz val="9"/>
            <color indexed="81"/>
            <rFont val="Tahoma"/>
            <family val="2"/>
          </rPr>
          <t>Solver found a solution. All constraints and optimality conditions are satisfied.</t>
        </r>
      </text>
    </comment>
    <comment ref="C16" authorId="0" shapeId="0">
      <text>
        <r>
          <rPr>
            <sz val="9"/>
            <color indexed="81"/>
            <rFont val="Tahoma"/>
            <family val="2"/>
          </rPr>
          <t>Solver found a solution. All constraints and optimality conditions are satisfied.</t>
        </r>
      </text>
    </comment>
    <comment ref="C17" authorId="0" shapeId="0">
      <text>
        <r>
          <rPr>
            <sz val="9"/>
            <color indexed="81"/>
            <rFont val="Tahoma"/>
            <family val="2"/>
          </rPr>
          <t>Solver found a solution. All constraints and optimality conditions are satisfied.</t>
        </r>
      </text>
    </comment>
    <comment ref="C18" authorId="0" shapeId="0">
      <text>
        <r>
          <rPr>
            <sz val="9"/>
            <color indexed="81"/>
            <rFont val="Tahoma"/>
            <family val="2"/>
          </rPr>
          <t>Solver found a solution. All constraints and optimality conditions are satisfied.</t>
        </r>
      </text>
    </comment>
    <comment ref="C19" authorId="0" shapeId="0">
      <text>
        <r>
          <rPr>
            <sz val="9"/>
            <color indexed="81"/>
            <rFont val="Tahoma"/>
            <family val="2"/>
          </rPr>
          <t>Solver found a solution. All constraints and optimality conditions are satisfied.</t>
        </r>
      </text>
    </comment>
    <comment ref="C20" authorId="0" shapeId="0">
      <text>
        <r>
          <rPr>
            <sz val="9"/>
            <color indexed="81"/>
            <rFont val="Tahoma"/>
            <family val="2"/>
          </rPr>
          <t>Solver found a solution. All constraints and optimality conditions are satisfied.</t>
        </r>
      </text>
    </comment>
    <comment ref="C21" authorId="0" shapeId="0">
      <text>
        <r>
          <rPr>
            <sz val="9"/>
            <color indexed="81"/>
            <rFont val="Tahoma"/>
            <family val="2"/>
          </rPr>
          <t>Solver found a solution. All constraints and optimality conditions are satisfied.</t>
        </r>
      </text>
    </comment>
  </commentList>
</comments>
</file>

<file path=xl/sharedStrings.xml><?xml version="1.0" encoding="utf-8"?>
<sst xmlns="http://schemas.openxmlformats.org/spreadsheetml/2006/main" count="252" uniqueCount="143">
  <si>
    <t>Input data</t>
  </si>
  <si>
    <t>Shows Per Week</t>
  </si>
  <si>
    <t>Theater Capacity</t>
  </si>
  <si>
    <t>Assumptions for creating a new show</t>
  </si>
  <si>
    <t>Development Cost</t>
  </si>
  <si>
    <t>Cost per night</t>
  </si>
  <si>
    <t>Concession Profit</t>
  </si>
  <si>
    <t>Ticket Price</t>
  </si>
  <si>
    <t>Number of weeks</t>
  </si>
  <si>
    <t>Profit</t>
  </si>
  <si>
    <t xml:space="preserve">Return on investment </t>
  </si>
  <si>
    <t>Seat Occupancy Rate</t>
  </si>
  <si>
    <t>Total Weeks</t>
  </si>
  <si>
    <t>Profit by this time</t>
  </si>
  <si>
    <t>Part a: Weeks required for 100% return on development cost</t>
  </si>
  <si>
    <t>Part b: Sensitivity of profit to seat occupacy rate</t>
  </si>
  <si>
    <t>Part c: sensitivity of profit to average ticket price and number of weeks the play runs</t>
  </si>
  <si>
    <t>Input Data</t>
  </si>
  <si>
    <t>Unit Cost</t>
  </si>
  <si>
    <t>Constant</t>
  </si>
  <si>
    <t>Profit Model</t>
  </si>
  <si>
    <t>Demand</t>
  </si>
  <si>
    <t>Exchange Rate($/£)</t>
  </si>
  <si>
    <t>Revenue</t>
  </si>
  <si>
    <t>Total Cost</t>
  </si>
  <si>
    <t>Selling Price(£)</t>
  </si>
  <si>
    <t>Revenue($)</t>
  </si>
  <si>
    <t>Profit($)</t>
  </si>
  <si>
    <t>Total Cost($)</t>
  </si>
  <si>
    <t>Data Table- 1</t>
  </si>
  <si>
    <t>Data Table- 2</t>
  </si>
  <si>
    <t>Part a: To find the profit-maximizing price to the nearest pound</t>
  </si>
  <si>
    <t>Exponebt</t>
  </si>
  <si>
    <t>Sell Price(£)</t>
  </si>
  <si>
    <t>Part b: sensitivity of profit to the exchange rate and sell price</t>
  </si>
  <si>
    <t>Unit Sell Price</t>
  </si>
  <si>
    <t>Production Cost/unit</t>
  </si>
  <si>
    <t>Operation Cost/(year*unit)</t>
  </si>
  <si>
    <t>Demand Grow Rate/year</t>
  </si>
  <si>
    <t>Year</t>
  </si>
  <si>
    <t>Fix Cost</t>
  </si>
  <si>
    <t>Production</t>
  </si>
  <si>
    <t>Plant Capacity</t>
  </si>
  <si>
    <t>Variable cost</t>
  </si>
  <si>
    <t>&gt;=</t>
  </si>
  <si>
    <t>Demand for next 10 years</t>
  </si>
  <si>
    <t>Operating Cost</t>
  </si>
  <si>
    <t>Sensitivity of Profit to plant capacity</t>
  </si>
  <si>
    <t>plant capacity</t>
  </si>
  <si>
    <t>Total profit</t>
  </si>
  <si>
    <t>Data Table-1</t>
  </si>
  <si>
    <t>Data Table-2</t>
  </si>
  <si>
    <t>Process 1</t>
  </si>
  <si>
    <t>Process 2</t>
  </si>
  <si>
    <t>A</t>
  </si>
  <si>
    <t>B</t>
  </si>
  <si>
    <t>C</t>
  </si>
  <si>
    <t>Costs per hour</t>
  </si>
  <si>
    <t>Yields per hour</t>
  </si>
  <si>
    <t>Production Plan</t>
  </si>
  <si>
    <t>Hours, Process 1</t>
  </si>
  <si>
    <t>Hours, Process 2</t>
  </si>
  <si>
    <t>Quantity</t>
  </si>
  <si>
    <t>$B$17</t>
  </si>
  <si>
    <t>cost of process 2 hourly</t>
  </si>
  <si>
    <t>Oneway analysis for Solver model in Ch3_Q25 worksheet</t>
  </si>
  <si>
    <t>cost of process 2 hourly (cell $B$17) values along side, output cell(s) along top</t>
  </si>
  <si>
    <t>Total_cost_Q25</t>
  </si>
  <si>
    <t>Data for chart</t>
  </si>
  <si>
    <t>$B$31,$B$25,$B$24</t>
  </si>
  <si>
    <t>Working_hour_2</t>
  </si>
  <si>
    <t>Working_hour_1</t>
  </si>
  <si>
    <t>$B$23</t>
  </si>
  <si>
    <t/>
  </si>
  <si>
    <t>$B$24</t>
  </si>
  <si>
    <t>$B$30</t>
  </si>
  <si>
    <t>Hours for process 1</t>
  </si>
  <si>
    <t>Hours for process 2</t>
  </si>
  <si>
    <t>Output</t>
  </si>
  <si>
    <t>Desk</t>
  </si>
  <si>
    <t>Chair</t>
  </si>
  <si>
    <t>Wood requirement</t>
  </si>
  <si>
    <t>&lt;=</t>
  </si>
  <si>
    <t>Constraint</t>
  </si>
  <si>
    <t>Used wood</t>
  </si>
  <si>
    <t>available</t>
  </si>
  <si>
    <t>twice of desks</t>
  </si>
  <si>
    <t>Contribution</t>
  </si>
  <si>
    <t>$H$21</t>
  </si>
  <si>
    <t>$B$18:$C$18,$B$24</t>
  </si>
  <si>
    <t>Availability of wood</t>
  </si>
  <si>
    <t>Oneway analysis for Solver model in CH3_Q26 worksheet</t>
  </si>
  <si>
    <t>Availability of wood (cell $H$21) values along side, output cell(s) along top</t>
  </si>
  <si>
    <t>Production_Q26_1</t>
  </si>
  <si>
    <t>Production_Q26_2</t>
  </si>
  <si>
    <t>Profit_Q26</t>
  </si>
  <si>
    <t>Decision</t>
  </si>
  <si>
    <t>Holding Cost/unit</t>
  </si>
  <si>
    <t>Week</t>
  </si>
  <si>
    <t>Beginning Inventory</t>
  </si>
  <si>
    <t>% goods produced  to meet demand</t>
  </si>
  <si>
    <t>Ending Inventory</t>
  </si>
  <si>
    <t xml:space="preserve"> On Hand to meet demand</t>
  </si>
  <si>
    <t>Goods produced to meet demand</t>
  </si>
  <si>
    <t>Inventory Cost</t>
  </si>
  <si>
    <t>Table</t>
  </si>
  <si>
    <t>Board-feet of oak</t>
  </si>
  <si>
    <t>Board-feet of pine</t>
  </si>
  <si>
    <t>Sell price</t>
  </si>
  <si>
    <t>Oak</t>
  </si>
  <si>
    <t>Pine</t>
  </si>
  <si>
    <t>Total Board-feet used</t>
  </si>
  <si>
    <t>Total Board-feet available</t>
  </si>
  <si>
    <t>Total Revenue</t>
  </si>
  <si>
    <t>Summary of Revenue</t>
  </si>
  <si>
    <t>Factor</t>
  </si>
  <si>
    <t>k1</t>
  </si>
  <si>
    <t>k2</t>
  </si>
  <si>
    <t>$B$5</t>
  </si>
  <si>
    <t>$D$5</t>
  </si>
  <si>
    <t>$B$20</t>
  </si>
  <si>
    <t>Twoway analysis for Solver model in Ch3_Q32_b worksheet</t>
  </si>
  <si>
    <t>k1 (cell $B$5) values along side, k2 (cell $D$5) values along top, output cell in corner</t>
  </si>
  <si>
    <t>Output and k1 value for chart</t>
  </si>
  <si>
    <t>k1 value</t>
  </si>
  <si>
    <t>Output and k2 value for chart</t>
  </si>
  <si>
    <t>k2 value</t>
  </si>
  <si>
    <t>Total_revenue</t>
  </si>
  <si>
    <t>Table for Revenue changing with varied k1 and k2</t>
  </si>
  <si>
    <t>Total Profit</t>
  </si>
  <si>
    <t>k</t>
  </si>
  <si>
    <t>Δ1</t>
  </si>
  <si>
    <t>Δ2</t>
  </si>
  <si>
    <t>Δ3</t>
  </si>
  <si>
    <t>$B$18</t>
  </si>
  <si>
    <t>$B$22:$D$22,$B$31</t>
  </si>
  <si>
    <t>Given factor</t>
  </si>
  <si>
    <t>Oneway analysis for Solver model in Ch3_Q29 _b worksheet</t>
  </si>
  <si>
    <t>Given factor (cell $B$18) values along side, output cell(s) along top</t>
  </si>
  <si>
    <t>Production_Q29_1</t>
  </si>
  <si>
    <t>Production_Q29_2</t>
  </si>
  <si>
    <t>Production_Q29_3</t>
  </si>
  <si>
    <t>$B$31</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</si>
</sst>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7" formatCode="&quot;$&quot;#,##0.00;\-&quot;$&quot;#,##0.00"/>
    <numFmt numFmtId="44" formatCode="_-&quot;$&quot;* #,##0.00_-;\-&quot;$&quot;* #,##0.00_-;_-&quot;$&quot;* &quot;-&quot;??_-;_-@_-"/>
    <numFmt numFmtId="43" formatCode="_-* #,##0.00_-;\-* #,##0.00_-;_-* &quot;-&quot;??_-;_-@_-"/>
    <numFmt numFmtId="164" formatCode="&quot;$&quot;#,##0.00"/>
    <numFmt numFmtId="165" formatCode="&quot;$&quot;#,##0"/>
    <numFmt numFmtId="166" formatCode=";;"/>
    <numFmt numFmtId="167" formatCode="_-[$£-809]* #,##0.00_-;\-[$£-809]* #,##0.00_-;_-[$£-809]* &quot;-&quot;??_-;_-@_-"/>
    <numFmt numFmtId="168" formatCode="#,##0_ ;\-#,##0\ "/>
  </numFmts>
  <fonts count="7">
    <font>
      <sz val="11"/>
      <color theme="1"/>
      <name val="Calibri"/>
      <family val="2"/>
      <charset val="134"/>
      <scheme val="minor"/>
    </font>
    <font>
      <b/>
      <sz val="11"/>
      <color theme="1"/>
      <name val="Calibri"/>
      <family val="2"/>
      <scheme val="minor"/>
    </font>
    <font>
      <sz val="9"/>
      <name val="Calibri"/>
      <family val="2"/>
      <charset val="134"/>
      <scheme val="minor"/>
    </font>
    <font>
      <sz val="11"/>
      <color theme="1"/>
      <name val="Calibri"/>
      <family val="2"/>
      <charset val="134"/>
      <scheme val="minor"/>
    </font>
    <font>
      <sz val="11"/>
      <color theme="1"/>
      <name val="Calibri"/>
      <family val="2"/>
      <scheme val="minor"/>
    </font>
    <font>
      <sz val="11"/>
      <color rgb="FFFFFFFF"/>
      <name val="Calibri"/>
      <family val="2"/>
      <charset val="134"/>
      <scheme val="minor"/>
    </font>
    <font>
      <sz val="9"/>
      <color indexed="81"/>
      <name val="Tahoma"/>
      <family val="2"/>
    </font>
  </fonts>
  <fills count="9">
    <fill>
      <patternFill patternType="none"/>
    </fill>
    <fill>
      <patternFill patternType="gray125"/>
    </fill>
    <fill>
      <patternFill patternType="solid">
        <fgColor theme="4" tint="0.59999389629810485"/>
        <bgColor indexed="64"/>
      </patternFill>
    </fill>
    <fill>
      <patternFill patternType="solid">
        <fgColor rgb="FFFFCCCC"/>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2" tint="-0.249977111117893"/>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43" fontId="3" fillId="0" borderId="0" applyFont="0" applyFill="0" applyBorder="0" applyAlignment="0" applyProtection="0"/>
    <xf numFmtId="44" fontId="3" fillId="0" borderId="0" applyFont="0" applyFill="0" applyBorder="0" applyAlignment="0" applyProtection="0"/>
  </cellStyleXfs>
  <cellXfs count="67">
    <xf numFmtId="0" fontId="0" fillId="0" borderId="0" xfId="0"/>
    <xf numFmtId="0" fontId="1" fillId="0" borderId="0" xfId="0" applyFont="1"/>
    <xf numFmtId="164" fontId="0" fillId="2" borderId="0" xfId="0" applyNumberFormat="1" applyFill="1"/>
    <xf numFmtId="0" fontId="0" fillId="2" borderId="0" xfId="0" applyFill="1"/>
    <xf numFmtId="3" fontId="0" fillId="2" borderId="0" xfId="0" applyNumberFormat="1" applyFill="1"/>
    <xf numFmtId="9" fontId="0" fillId="2" borderId="0" xfId="0" applyNumberFormat="1" applyFill="1"/>
    <xf numFmtId="164" fontId="0" fillId="0" borderId="0" xfId="0" applyNumberFormat="1" applyFill="1"/>
    <xf numFmtId="3" fontId="0" fillId="3" borderId="0" xfId="0" applyNumberFormat="1" applyFill="1"/>
    <xf numFmtId="164" fontId="0" fillId="4" borderId="0" xfId="0" applyNumberFormat="1" applyFill="1"/>
    <xf numFmtId="9" fontId="0" fillId="0" borderId="0" xfId="0" applyNumberFormat="1"/>
    <xf numFmtId="0" fontId="0" fillId="0" borderId="0" xfId="0" applyAlignment="1">
      <alignment horizontal="right"/>
    </xf>
    <xf numFmtId="165" fontId="0" fillId="0" borderId="0" xfId="0" applyNumberFormat="1"/>
    <xf numFmtId="165" fontId="0" fillId="4" borderId="0" xfId="0" applyNumberFormat="1" applyFill="1"/>
    <xf numFmtId="166" fontId="0" fillId="0" borderId="0" xfId="0" applyNumberFormat="1" applyFill="1"/>
    <xf numFmtId="44" fontId="0" fillId="0" borderId="0" xfId="2" applyFont="1"/>
    <xf numFmtId="0" fontId="0" fillId="3" borderId="0" xfId="0" applyFill="1"/>
    <xf numFmtId="44" fontId="0" fillId="2" borderId="0" xfId="2" applyFont="1" applyFill="1"/>
    <xf numFmtId="44" fontId="0" fillId="0" borderId="0" xfId="0" applyNumberFormat="1"/>
    <xf numFmtId="0" fontId="0" fillId="0" borderId="0" xfId="0" applyNumberFormat="1"/>
    <xf numFmtId="167" fontId="0" fillId="3" borderId="0" xfId="0" applyNumberFormat="1" applyFill="1"/>
    <xf numFmtId="44" fontId="0" fillId="4" borderId="0" xfId="2" applyFont="1" applyFill="1"/>
    <xf numFmtId="44" fontId="0" fillId="5" borderId="0" xfId="2" applyFont="1" applyFill="1"/>
    <xf numFmtId="167" fontId="0" fillId="0" borderId="0" xfId="0" applyNumberFormat="1"/>
    <xf numFmtId="44" fontId="0" fillId="5" borderId="0" xfId="0" applyNumberFormat="1" applyFill="1"/>
    <xf numFmtId="0" fontId="0" fillId="0" borderId="0" xfId="0" applyAlignment="1">
      <alignment horizontal="center"/>
    </xf>
    <xf numFmtId="2" fontId="0" fillId="0" borderId="0" xfId="0" applyNumberFormat="1"/>
    <xf numFmtId="168" fontId="0" fillId="2" borderId="0" xfId="1" applyNumberFormat="1" applyFont="1" applyFill="1"/>
    <xf numFmtId="44" fontId="0" fillId="4" borderId="0" xfId="0" applyNumberFormat="1" applyFill="1"/>
    <xf numFmtId="3" fontId="0" fillId="0" borderId="0" xfId="0" applyNumberFormat="1"/>
    <xf numFmtId="0" fontId="0" fillId="0" borderId="0" xfId="0" applyFill="1"/>
    <xf numFmtId="0" fontId="4" fillId="0" borderId="0" xfId="0" applyFont="1"/>
    <xf numFmtId="49" fontId="0" fillId="0" borderId="0" xfId="0" applyNumberFormat="1"/>
    <xf numFmtId="0" fontId="0" fillId="0" borderId="0" xfId="0" applyAlignment="1">
      <alignment horizontal="right" textRotation="90"/>
    </xf>
    <xf numFmtId="0" fontId="0" fillId="6" borderId="0" xfId="0" applyFill="1" applyAlignment="1">
      <alignment horizontal="right" textRotation="90"/>
    </xf>
    <xf numFmtId="0" fontId="5" fillId="0" borderId="0" xfId="0" applyFont="1"/>
    <xf numFmtId="44" fontId="0" fillId="0" borderId="1" xfId="0" applyNumberFormat="1" applyBorder="1"/>
    <xf numFmtId="0" fontId="0" fillId="0" borderId="2" xfId="0" applyNumberFormat="1" applyBorder="1"/>
    <xf numFmtId="0" fontId="0" fillId="0" borderId="3" xfId="0" applyNumberFormat="1" applyBorder="1"/>
    <xf numFmtId="44" fontId="0" fillId="0" borderId="4" xfId="0" applyNumberFormat="1" applyBorder="1"/>
    <xf numFmtId="0" fontId="0" fillId="0" borderId="0" xfId="0" applyNumberFormat="1" applyBorder="1"/>
    <xf numFmtId="0" fontId="0" fillId="0" borderId="5" xfId="0" applyNumberFormat="1" applyBorder="1"/>
    <xf numFmtId="44" fontId="0" fillId="0" borderId="6" xfId="0" applyNumberFormat="1" applyBorder="1"/>
    <xf numFmtId="0" fontId="0" fillId="0" borderId="7" xfId="0" applyNumberFormat="1" applyBorder="1"/>
    <xf numFmtId="0" fontId="0" fillId="0" borderId="8" xfId="0" applyNumberFormat="1" applyBorder="1"/>
    <xf numFmtId="0" fontId="0" fillId="7" borderId="0" xfId="0" applyFill="1"/>
    <xf numFmtId="44" fontId="0" fillId="0" borderId="3" xfId="0" applyNumberFormat="1" applyBorder="1"/>
    <xf numFmtId="44" fontId="0" fillId="0" borderId="5" xfId="0" applyNumberFormat="1" applyBorder="1"/>
    <xf numFmtId="44" fontId="0" fillId="0" borderId="8" xfId="0" applyNumberFormat="1" applyBorder="1"/>
    <xf numFmtId="0" fontId="0" fillId="0" borderId="1" xfId="0" applyNumberFormat="1" applyBorder="1"/>
    <xf numFmtId="0" fontId="0" fillId="0" borderId="4" xfId="0" applyNumberFormat="1" applyBorder="1"/>
    <xf numFmtId="0" fontId="0" fillId="0" borderId="6" xfId="0" applyNumberFormat="1" applyBorder="1"/>
    <xf numFmtId="7" fontId="0" fillId="0" borderId="0" xfId="0" applyNumberFormat="1"/>
    <xf numFmtId="6" fontId="0" fillId="0" borderId="0" xfId="0" applyNumberFormat="1"/>
    <xf numFmtId="6" fontId="0" fillId="2" borderId="0" xfId="0" applyNumberFormat="1" applyFill="1"/>
    <xf numFmtId="6" fontId="0" fillId="8" borderId="0" xfId="0" applyNumberFormat="1" applyFill="1"/>
    <xf numFmtId="6" fontId="0" fillId="0" borderId="1" xfId="0" applyNumberFormat="1" applyBorder="1"/>
    <xf numFmtId="6" fontId="0" fillId="0" borderId="4" xfId="0" applyNumberFormat="1" applyBorder="1"/>
    <xf numFmtId="6" fontId="0" fillId="0" borderId="6" xfId="0" applyNumberFormat="1" applyBorder="1"/>
    <xf numFmtId="6" fontId="0" fillId="0" borderId="2" xfId="0" applyNumberFormat="1" applyBorder="1"/>
    <xf numFmtId="6" fontId="0" fillId="0" borderId="0" xfId="0" applyNumberFormat="1" applyBorder="1"/>
    <xf numFmtId="6" fontId="0" fillId="0" borderId="7" xfId="0" applyNumberFormat="1" applyBorder="1"/>
    <xf numFmtId="6" fontId="0" fillId="0" borderId="3" xfId="0" applyNumberFormat="1" applyBorder="1"/>
    <xf numFmtId="6" fontId="0" fillId="0" borderId="5" xfId="0" applyNumberFormat="1" applyBorder="1"/>
    <xf numFmtId="6" fontId="0" fillId="0" borderId="8" xfId="0" applyNumberFormat="1" applyBorder="1"/>
    <xf numFmtId="0" fontId="1" fillId="0" borderId="0" xfId="0" applyFont="1" applyAlignment="1">
      <alignment horizontal="left"/>
    </xf>
    <xf numFmtId="1" fontId="0" fillId="2" borderId="0" xfId="0" applyNumberFormat="1" applyFill="1"/>
    <xf numFmtId="1" fontId="0" fillId="0" borderId="0" xfId="0" applyNumberFormat="1"/>
  </cellXfs>
  <cellStyles count="3">
    <cellStyle name="Comma" xfId="1" builtinId="3"/>
    <cellStyle name="Currency" xfId="2" builtinId="4"/>
    <cellStyle name="Normal" xfId="0" builtinId="0"/>
  </cellStyles>
  <dxfs count="0"/>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Sensitivity</a:t>
            </a:r>
            <a:r>
              <a:rPr lang="en-US" baseline="0"/>
              <a:t> of Profit to seat occupancy rate</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'Ch2_ Q21'!$E$16:$E$26</c:f>
              <c:numCache>
                <c:formatCode>0%</c:formatCode>
                <c:ptCount val="11"/>
                <c:pt idx="0">
                  <c:v>0.5</c:v>
                </c:pt>
                <c:pt idx="1">
                  <c:v>0.55000000000000004</c:v>
                </c:pt>
                <c:pt idx="2">
                  <c:v>0.6</c:v>
                </c:pt>
                <c:pt idx="3">
                  <c:v>0.65</c:v>
                </c:pt>
                <c:pt idx="4">
                  <c:v>0.7</c:v>
                </c:pt>
                <c:pt idx="5">
                  <c:v>0.75</c:v>
                </c:pt>
                <c:pt idx="6">
                  <c:v>0.8</c:v>
                </c:pt>
                <c:pt idx="7">
                  <c:v>0.85</c:v>
                </c:pt>
                <c:pt idx="8">
                  <c:v>0.9</c:v>
                </c:pt>
                <c:pt idx="9">
                  <c:v>0.95</c:v>
                </c:pt>
                <c:pt idx="10">
                  <c:v>1</c:v>
                </c:pt>
              </c:numCache>
            </c:numRef>
          </c:cat>
          <c:val>
            <c:numRef>
              <c:f>'Ch2_ Q21'!$F$16:$F$26</c:f>
              <c:numCache>
                <c:formatCode>"$"#,##0</c:formatCode>
                <c:ptCount val="11"/>
                <c:pt idx="0">
                  <c:v>10780000</c:v>
                </c:pt>
                <c:pt idx="1">
                  <c:v>12428000.000000004</c:v>
                </c:pt>
                <c:pt idx="2">
                  <c:v>14076000</c:v>
                </c:pt>
                <c:pt idx="3">
                  <c:v>15724000</c:v>
                </c:pt>
                <c:pt idx="4">
                  <c:v>17371999.999999996</c:v>
                </c:pt>
                <c:pt idx="5">
                  <c:v>19020000</c:v>
                </c:pt>
                <c:pt idx="6">
                  <c:v>20668000</c:v>
                </c:pt>
                <c:pt idx="7">
                  <c:v>22316000</c:v>
                </c:pt>
                <c:pt idx="8">
                  <c:v>23964000</c:v>
                </c:pt>
                <c:pt idx="9">
                  <c:v>25612000</c:v>
                </c:pt>
                <c:pt idx="10">
                  <c:v>27260000</c:v>
                </c:pt>
              </c:numCache>
            </c:numRef>
          </c:val>
          <c:smooth val="0"/>
        </c:ser>
        <c:dLbls>
          <c:showLegendKey val="0"/>
          <c:showVal val="0"/>
          <c:showCatName val="0"/>
          <c:showSerName val="0"/>
          <c:showPercent val="0"/>
          <c:showBubbleSize val="0"/>
        </c:dLbls>
        <c:smooth val="0"/>
        <c:axId val="339298192"/>
        <c:axId val="339301328"/>
      </c:lineChart>
      <c:catAx>
        <c:axId val="33929819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301328"/>
        <c:crosses val="autoZero"/>
        <c:auto val="1"/>
        <c:lblAlgn val="ctr"/>
        <c:lblOffset val="100"/>
        <c:noMultiLvlLbl val="0"/>
      </c:catAx>
      <c:valAx>
        <c:axId val="3393013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298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STS_Ch3_Q25!$K$1</c:f>
          <c:strCache>
            <c:ptCount val="1"/>
            <c:pt idx="0">
              <c:v>Sensitivity of Total_cost_Q25 to cost of process 2 hourly</c:v>
            </c:pt>
          </c:strCache>
        </c:strRef>
      </c:tx>
      <c:overlay val="0"/>
      <c:txPr>
        <a:bodyPr/>
        <a:lstStyle/>
        <a:p>
          <a:pPr>
            <a:defRPr sz="1200"/>
          </a:pPr>
          <a:endParaRPr lang="en-US"/>
        </a:p>
      </c:txPr>
    </c:title>
    <c:autoTitleDeleted val="0"/>
    <c:plotArea>
      <c:layout/>
      <c:lineChart>
        <c:grouping val="standard"/>
        <c:varyColors val="0"/>
        <c:ser>
          <c:idx val="0"/>
          <c:order val="0"/>
          <c:cat>
            <c:numRef>
              <c:f>STS_Ch3_Q25!$A$5:$A$805</c:f>
              <c:numCache>
                <c:formatCode>_("$"* #,##0.00_);_("$"* \(#,##0.00\);_("$"* "-"??_);_(@_)</c:formatCode>
                <c:ptCount val="801"/>
                <c:pt idx="0">
                  <c:v>100</c:v>
                </c:pt>
                <c:pt idx="1">
                  <c:v>100.5</c:v>
                </c:pt>
                <c:pt idx="2">
                  <c:v>101</c:v>
                </c:pt>
                <c:pt idx="3">
                  <c:v>101.5</c:v>
                </c:pt>
                <c:pt idx="4">
                  <c:v>102</c:v>
                </c:pt>
                <c:pt idx="5">
                  <c:v>102.5</c:v>
                </c:pt>
                <c:pt idx="6">
                  <c:v>103</c:v>
                </c:pt>
                <c:pt idx="7">
                  <c:v>103.5</c:v>
                </c:pt>
                <c:pt idx="8">
                  <c:v>104</c:v>
                </c:pt>
                <c:pt idx="9">
                  <c:v>104.5</c:v>
                </c:pt>
                <c:pt idx="10">
                  <c:v>105</c:v>
                </c:pt>
                <c:pt idx="11">
                  <c:v>105.5</c:v>
                </c:pt>
                <c:pt idx="12">
                  <c:v>106</c:v>
                </c:pt>
                <c:pt idx="13">
                  <c:v>106.5</c:v>
                </c:pt>
                <c:pt idx="14">
                  <c:v>107</c:v>
                </c:pt>
                <c:pt idx="15">
                  <c:v>107.5</c:v>
                </c:pt>
                <c:pt idx="16">
                  <c:v>108</c:v>
                </c:pt>
                <c:pt idx="17">
                  <c:v>108.5</c:v>
                </c:pt>
                <c:pt idx="18">
                  <c:v>109</c:v>
                </c:pt>
                <c:pt idx="19">
                  <c:v>109.5</c:v>
                </c:pt>
                <c:pt idx="20">
                  <c:v>110</c:v>
                </c:pt>
                <c:pt idx="21">
                  <c:v>110.5</c:v>
                </c:pt>
                <c:pt idx="22">
                  <c:v>111</c:v>
                </c:pt>
                <c:pt idx="23">
                  <c:v>111.5</c:v>
                </c:pt>
                <c:pt idx="24">
                  <c:v>112</c:v>
                </c:pt>
                <c:pt idx="25">
                  <c:v>112.5</c:v>
                </c:pt>
                <c:pt idx="26">
                  <c:v>113</c:v>
                </c:pt>
                <c:pt idx="27">
                  <c:v>113.5</c:v>
                </c:pt>
                <c:pt idx="28">
                  <c:v>114</c:v>
                </c:pt>
                <c:pt idx="29">
                  <c:v>114.5</c:v>
                </c:pt>
                <c:pt idx="30">
                  <c:v>115</c:v>
                </c:pt>
                <c:pt idx="31">
                  <c:v>115.5</c:v>
                </c:pt>
                <c:pt idx="32">
                  <c:v>116</c:v>
                </c:pt>
                <c:pt idx="33">
                  <c:v>116.5</c:v>
                </c:pt>
                <c:pt idx="34">
                  <c:v>117</c:v>
                </c:pt>
                <c:pt idx="35">
                  <c:v>117.5</c:v>
                </c:pt>
                <c:pt idx="36">
                  <c:v>118</c:v>
                </c:pt>
                <c:pt idx="37">
                  <c:v>118.5</c:v>
                </c:pt>
                <c:pt idx="38">
                  <c:v>119</c:v>
                </c:pt>
                <c:pt idx="39">
                  <c:v>119.5</c:v>
                </c:pt>
                <c:pt idx="40">
                  <c:v>120</c:v>
                </c:pt>
                <c:pt idx="41">
                  <c:v>120.5</c:v>
                </c:pt>
                <c:pt idx="42">
                  <c:v>121</c:v>
                </c:pt>
                <c:pt idx="43">
                  <c:v>121.5</c:v>
                </c:pt>
                <c:pt idx="44">
                  <c:v>122</c:v>
                </c:pt>
                <c:pt idx="45">
                  <c:v>122.5</c:v>
                </c:pt>
                <c:pt idx="46">
                  <c:v>123</c:v>
                </c:pt>
                <c:pt idx="47">
                  <c:v>123.5</c:v>
                </c:pt>
                <c:pt idx="48">
                  <c:v>124</c:v>
                </c:pt>
                <c:pt idx="49">
                  <c:v>124.5</c:v>
                </c:pt>
                <c:pt idx="50">
                  <c:v>125</c:v>
                </c:pt>
                <c:pt idx="51">
                  <c:v>125.5</c:v>
                </c:pt>
                <c:pt idx="52">
                  <c:v>126</c:v>
                </c:pt>
                <c:pt idx="53">
                  <c:v>126.5</c:v>
                </c:pt>
                <c:pt idx="54">
                  <c:v>127</c:v>
                </c:pt>
                <c:pt idx="55">
                  <c:v>127.5</c:v>
                </c:pt>
                <c:pt idx="56">
                  <c:v>128</c:v>
                </c:pt>
                <c:pt idx="57">
                  <c:v>128.5</c:v>
                </c:pt>
                <c:pt idx="58">
                  <c:v>129</c:v>
                </c:pt>
                <c:pt idx="59">
                  <c:v>129.5</c:v>
                </c:pt>
                <c:pt idx="60">
                  <c:v>130</c:v>
                </c:pt>
                <c:pt idx="61">
                  <c:v>130.5</c:v>
                </c:pt>
                <c:pt idx="62">
                  <c:v>131</c:v>
                </c:pt>
                <c:pt idx="63">
                  <c:v>131.5</c:v>
                </c:pt>
                <c:pt idx="64">
                  <c:v>132</c:v>
                </c:pt>
                <c:pt idx="65">
                  <c:v>132.5</c:v>
                </c:pt>
                <c:pt idx="66">
                  <c:v>133</c:v>
                </c:pt>
                <c:pt idx="67">
                  <c:v>133.5</c:v>
                </c:pt>
                <c:pt idx="68">
                  <c:v>134</c:v>
                </c:pt>
                <c:pt idx="69">
                  <c:v>134.5</c:v>
                </c:pt>
                <c:pt idx="70">
                  <c:v>135</c:v>
                </c:pt>
                <c:pt idx="71">
                  <c:v>135.5</c:v>
                </c:pt>
                <c:pt idx="72">
                  <c:v>136</c:v>
                </c:pt>
                <c:pt idx="73">
                  <c:v>136.5</c:v>
                </c:pt>
                <c:pt idx="74">
                  <c:v>137</c:v>
                </c:pt>
                <c:pt idx="75">
                  <c:v>137.5</c:v>
                </c:pt>
                <c:pt idx="76">
                  <c:v>138</c:v>
                </c:pt>
                <c:pt idx="77">
                  <c:v>138.5</c:v>
                </c:pt>
                <c:pt idx="78">
                  <c:v>139</c:v>
                </c:pt>
                <c:pt idx="79">
                  <c:v>139.5</c:v>
                </c:pt>
                <c:pt idx="80">
                  <c:v>140</c:v>
                </c:pt>
                <c:pt idx="81">
                  <c:v>140.5</c:v>
                </c:pt>
                <c:pt idx="82">
                  <c:v>141</c:v>
                </c:pt>
                <c:pt idx="83">
                  <c:v>141.5</c:v>
                </c:pt>
                <c:pt idx="84">
                  <c:v>142</c:v>
                </c:pt>
                <c:pt idx="85">
                  <c:v>142.5</c:v>
                </c:pt>
                <c:pt idx="86">
                  <c:v>143</c:v>
                </c:pt>
                <c:pt idx="87">
                  <c:v>143.5</c:v>
                </c:pt>
                <c:pt idx="88">
                  <c:v>144</c:v>
                </c:pt>
                <c:pt idx="89">
                  <c:v>144.5</c:v>
                </c:pt>
                <c:pt idx="90">
                  <c:v>145</c:v>
                </c:pt>
                <c:pt idx="91">
                  <c:v>145.5</c:v>
                </c:pt>
                <c:pt idx="92">
                  <c:v>146</c:v>
                </c:pt>
                <c:pt idx="93">
                  <c:v>146.5</c:v>
                </c:pt>
                <c:pt idx="94">
                  <c:v>147</c:v>
                </c:pt>
                <c:pt idx="95">
                  <c:v>147.5</c:v>
                </c:pt>
                <c:pt idx="96">
                  <c:v>148</c:v>
                </c:pt>
                <c:pt idx="97">
                  <c:v>148.5</c:v>
                </c:pt>
                <c:pt idx="98">
                  <c:v>149</c:v>
                </c:pt>
                <c:pt idx="99">
                  <c:v>149.5</c:v>
                </c:pt>
                <c:pt idx="100">
                  <c:v>150</c:v>
                </c:pt>
                <c:pt idx="101">
                  <c:v>150.5</c:v>
                </c:pt>
                <c:pt idx="102">
                  <c:v>151</c:v>
                </c:pt>
                <c:pt idx="103">
                  <c:v>151.5</c:v>
                </c:pt>
                <c:pt idx="104">
                  <c:v>152</c:v>
                </c:pt>
                <c:pt idx="105">
                  <c:v>152.5</c:v>
                </c:pt>
                <c:pt idx="106">
                  <c:v>153</c:v>
                </c:pt>
                <c:pt idx="107">
                  <c:v>153.5</c:v>
                </c:pt>
                <c:pt idx="108">
                  <c:v>154</c:v>
                </c:pt>
                <c:pt idx="109">
                  <c:v>154.5</c:v>
                </c:pt>
                <c:pt idx="110">
                  <c:v>155</c:v>
                </c:pt>
                <c:pt idx="111">
                  <c:v>155.5</c:v>
                </c:pt>
                <c:pt idx="112">
                  <c:v>156</c:v>
                </c:pt>
                <c:pt idx="113">
                  <c:v>156.5</c:v>
                </c:pt>
                <c:pt idx="114">
                  <c:v>157</c:v>
                </c:pt>
                <c:pt idx="115">
                  <c:v>157.5</c:v>
                </c:pt>
                <c:pt idx="116">
                  <c:v>158</c:v>
                </c:pt>
                <c:pt idx="117">
                  <c:v>158.5</c:v>
                </c:pt>
                <c:pt idx="118">
                  <c:v>159</c:v>
                </c:pt>
                <c:pt idx="119">
                  <c:v>159.5</c:v>
                </c:pt>
                <c:pt idx="120">
                  <c:v>160</c:v>
                </c:pt>
                <c:pt idx="121">
                  <c:v>160.5</c:v>
                </c:pt>
                <c:pt idx="122">
                  <c:v>161</c:v>
                </c:pt>
                <c:pt idx="123">
                  <c:v>161.5</c:v>
                </c:pt>
                <c:pt idx="124">
                  <c:v>162</c:v>
                </c:pt>
                <c:pt idx="125">
                  <c:v>162.5</c:v>
                </c:pt>
                <c:pt idx="126">
                  <c:v>163</c:v>
                </c:pt>
                <c:pt idx="127">
                  <c:v>163.5</c:v>
                </c:pt>
                <c:pt idx="128">
                  <c:v>164</c:v>
                </c:pt>
                <c:pt idx="129">
                  <c:v>164.5</c:v>
                </c:pt>
                <c:pt idx="130">
                  <c:v>165</c:v>
                </c:pt>
                <c:pt idx="131">
                  <c:v>165.5</c:v>
                </c:pt>
                <c:pt idx="132">
                  <c:v>166</c:v>
                </c:pt>
                <c:pt idx="133">
                  <c:v>166.5</c:v>
                </c:pt>
                <c:pt idx="134">
                  <c:v>167</c:v>
                </c:pt>
                <c:pt idx="135">
                  <c:v>167.5</c:v>
                </c:pt>
                <c:pt idx="136">
                  <c:v>168</c:v>
                </c:pt>
                <c:pt idx="137">
                  <c:v>168.5</c:v>
                </c:pt>
                <c:pt idx="138">
                  <c:v>169</c:v>
                </c:pt>
                <c:pt idx="139">
                  <c:v>169.5</c:v>
                </c:pt>
                <c:pt idx="140">
                  <c:v>170</c:v>
                </c:pt>
                <c:pt idx="141">
                  <c:v>170.5</c:v>
                </c:pt>
                <c:pt idx="142">
                  <c:v>171</c:v>
                </c:pt>
                <c:pt idx="143">
                  <c:v>171.5</c:v>
                </c:pt>
                <c:pt idx="144">
                  <c:v>172</c:v>
                </c:pt>
                <c:pt idx="145">
                  <c:v>172.5</c:v>
                </c:pt>
                <c:pt idx="146">
                  <c:v>173</c:v>
                </c:pt>
                <c:pt idx="147">
                  <c:v>173.5</c:v>
                </c:pt>
                <c:pt idx="148">
                  <c:v>174</c:v>
                </c:pt>
                <c:pt idx="149">
                  <c:v>174.5</c:v>
                </c:pt>
                <c:pt idx="150">
                  <c:v>175</c:v>
                </c:pt>
                <c:pt idx="151">
                  <c:v>175.5</c:v>
                </c:pt>
                <c:pt idx="152">
                  <c:v>176</c:v>
                </c:pt>
                <c:pt idx="153">
                  <c:v>176.5</c:v>
                </c:pt>
                <c:pt idx="154">
                  <c:v>177</c:v>
                </c:pt>
                <c:pt idx="155">
                  <c:v>177.5</c:v>
                </c:pt>
                <c:pt idx="156">
                  <c:v>178</c:v>
                </c:pt>
                <c:pt idx="157">
                  <c:v>178.5</c:v>
                </c:pt>
                <c:pt idx="158">
                  <c:v>179</c:v>
                </c:pt>
                <c:pt idx="159">
                  <c:v>179.5</c:v>
                </c:pt>
                <c:pt idx="160">
                  <c:v>180</c:v>
                </c:pt>
                <c:pt idx="161">
                  <c:v>180.5</c:v>
                </c:pt>
                <c:pt idx="162">
                  <c:v>181</c:v>
                </c:pt>
                <c:pt idx="163">
                  <c:v>181.5</c:v>
                </c:pt>
                <c:pt idx="164">
                  <c:v>182</c:v>
                </c:pt>
                <c:pt idx="165">
                  <c:v>182.5</c:v>
                </c:pt>
                <c:pt idx="166">
                  <c:v>183</c:v>
                </c:pt>
                <c:pt idx="167">
                  <c:v>183.5</c:v>
                </c:pt>
                <c:pt idx="168">
                  <c:v>184</c:v>
                </c:pt>
                <c:pt idx="169">
                  <c:v>184.5</c:v>
                </c:pt>
                <c:pt idx="170">
                  <c:v>185</c:v>
                </c:pt>
                <c:pt idx="171">
                  <c:v>185.5</c:v>
                </c:pt>
                <c:pt idx="172">
                  <c:v>186</c:v>
                </c:pt>
                <c:pt idx="173">
                  <c:v>186.5</c:v>
                </c:pt>
                <c:pt idx="174">
                  <c:v>187</c:v>
                </c:pt>
                <c:pt idx="175">
                  <c:v>187.5</c:v>
                </c:pt>
                <c:pt idx="176">
                  <c:v>188</c:v>
                </c:pt>
                <c:pt idx="177">
                  <c:v>188.5</c:v>
                </c:pt>
                <c:pt idx="178">
                  <c:v>189</c:v>
                </c:pt>
                <c:pt idx="179">
                  <c:v>189.5</c:v>
                </c:pt>
                <c:pt idx="180">
                  <c:v>190</c:v>
                </c:pt>
                <c:pt idx="181">
                  <c:v>190.5</c:v>
                </c:pt>
                <c:pt idx="182">
                  <c:v>191</c:v>
                </c:pt>
                <c:pt idx="183">
                  <c:v>191.5</c:v>
                </c:pt>
                <c:pt idx="184">
                  <c:v>192</c:v>
                </c:pt>
                <c:pt idx="185">
                  <c:v>192.5</c:v>
                </c:pt>
                <c:pt idx="186">
                  <c:v>193</c:v>
                </c:pt>
                <c:pt idx="187">
                  <c:v>193.5</c:v>
                </c:pt>
                <c:pt idx="188">
                  <c:v>194</c:v>
                </c:pt>
                <c:pt idx="189">
                  <c:v>194.5</c:v>
                </c:pt>
                <c:pt idx="190">
                  <c:v>195</c:v>
                </c:pt>
                <c:pt idx="191">
                  <c:v>195.5</c:v>
                </c:pt>
                <c:pt idx="192">
                  <c:v>196</c:v>
                </c:pt>
                <c:pt idx="193">
                  <c:v>196.5</c:v>
                </c:pt>
                <c:pt idx="194">
                  <c:v>197</c:v>
                </c:pt>
                <c:pt idx="195">
                  <c:v>197.5</c:v>
                </c:pt>
                <c:pt idx="196">
                  <c:v>198</c:v>
                </c:pt>
                <c:pt idx="197">
                  <c:v>198.5</c:v>
                </c:pt>
                <c:pt idx="198">
                  <c:v>199</c:v>
                </c:pt>
                <c:pt idx="199">
                  <c:v>199.5</c:v>
                </c:pt>
                <c:pt idx="200">
                  <c:v>200</c:v>
                </c:pt>
                <c:pt idx="201">
                  <c:v>200.5</c:v>
                </c:pt>
                <c:pt idx="202">
                  <c:v>201</c:v>
                </c:pt>
                <c:pt idx="203">
                  <c:v>201.5</c:v>
                </c:pt>
                <c:pt idx="204">
                  <c:v>202</c:v>
                </c:pt>
                <c:pt idx="205">
                  <c:v>202.5</c:v>
                </c:pt>
                <c:pt idx="206">
                  <c:v>203</c:v>
                </c:pt>
                <c:pt idx="207">
                  <c:v>203.5</c:v>
                </c:pt>
                <c:pt idx="208">
                  <c:v>204</c:v>
                </c:pt>
                <c:pt idx="209">
                  <c:v>204.5</c:v>
                </c:pt>
                <c:pt idx="210">
                  <c:v>205</c:v>
                </c:pt>
                <c:pt idx="211">
                  <c:v>205.5</c:v>
                </c:pt>
                <c:pt idx="212">
                  <c:v>206</c:v>
                </c:pt>
                <c:pt idx="213">
                  <c:v>206.5</c:v>
                </c:pt>
                <c:pt idx="214">
                  <c:v>207</c:v>
                </c:pt>
                <c:pt idx="215">
                  <c:v>207.5</c:v>
                </c:pt>
                <c:pt idx="216">
                  <c:v>208</c:v>
                </c:pt>
                <c:pt idx="217">
                  <c:v>208.5</c:v>
                </c:pt>
                <c:pt idx="218">
                  <c:v>209</c:v>
                </c:pt>
                <c:pt idx="219">
                  <c:v>209.5</c:v>
                </c:pt>
                <c:pt idx="220">
                  <c:v>210</c:v>
                </c:pt>
                <c:pt idx="221">
                  <c:v>210.5</c:v>
                </c:pt>
                <c:pt idx="222">
                  <c:v>211</c:v>
                </c:pt>
                <c:pt idx="223">
                  <c:v>211.5</c:v>
                </c:pt>
                <c:pt idx="224">
                  <c:v>212</c:v>
                </c:pt>
                <c:pt idx="225">
                  <c:v>212.5</c:v>
                </c:pt>
                <c:pt idx="226">
                  <c:v>213</c:v>
                </c:pt>
                <c:pt idx="227">
                  <c:v>213.5</c:v>
                </c:pt>
                <c:pt idx="228">
                  <c:v>214</c:v>
                </c:pt>
                <c:pt idx="229">
                  <c:v>214.5</c:v>
                </c:pt>
                <c:pt idx="230">
                  <c:v>215</c:v>
                </c:pt>
                <c:pt idx="231">
                  <c:v>215.5</c:v>
                </c:pt>
                <c:pt idx="232">
                  <c:v>216</c:v>
                </c:pt>
                <c:pt idx="233">
                  <c:v>216.5</c:v>
                </c:pt>
                <c:pt idx="234">
                  <c:v>217</c:v>
                </c:pt>
                <c:pt idx="235">
                  <c:v>217.5</c:v>
                </c:pt>
                <c:pt idx="236">
                  <c:v>218</c:v>
                </c:pt>
                <c:pt idx="237">
                  <c:v>218.5</c:v>
                </c:pt>
                <c:pt idx="238">
                  <c:v>219</c:v>
                </c:pt>
                <c:pt idx="239">
                  <c:v>219.5</c:v>
                </c:pt>
                <c:pt idx="240">
                  <c:v>220</c:v>
                </c:pt>
                <c:pt idx="241">
                  <c:v>220.5</c:v>
                </c:pt>
                <c:pt idx="242">
                  <c:v>221</c:v>
                </c:pt>
                <c:pt idx="243">
                  <c:v>221.5</c:v>
                </c:pt>
                <c:pt idx="244">
                  <c:v>222</c:v>
                </c:pt>
                <c:pt idx="245">
                  <c:v>222.5</c:v>
                </c:pt>
                <c:pt idx="246">
                  <c:v>223</c:v>
                </c:pt>
                <c:pt idx="247">
                  <c:v>223.5</c:v>
                </c:pt>
                <c:pt idx="248">
                  <c:v>224</c:v>
                </c:pt>
                <c:pt idx="249">
                  <c:v>224.5</c:v>
                </c:pt>
                <c:pt idx="250">
                  <c:v>225</c:v>
                </c:pt>
                <c:pt idx="251">
                  <c:v>225.5</c:v>
                </c:pt>
                <c:pt idx="252">
                  <c:v>226</c:v>
                </c:pt>
                <c:pt idx="253">
                  <c:v>226.5</c:v>
                </c:pt>
                <c:pt idx="254">
                  <c:v>227</c:v>
                </c:pt>
                <c:pt idx="255">
                  <c:v>227.5</c:v>
                </c:pt>
                <c:pt idx="256">
                  <c:v>228</c:v>
                </c:pt>
                <c:pt idx="257">
                  <c:v>228.5</c:v>
                </c:pt>
                <c:pt idx="258">
                  <c:v>229</c:v>
                </c:pt>
                <c:pt idx="259">
                  <c:v>229.5</c:v>
                </c:pt>
                <c:pt idx="260">
                  <c:v>230</c:v>
                </c:pt>
                <c:pt idx="261">
                  <c:v>230.5</c:v>
                </c:pt>
                <c:pt idx="262">
                  <c:v>231</c:v>
                </c:pt>
                <c:pt idx="263">
                  <c:v>231.5</c:v>
                </c:pt>
                <c:pt idx="264">
                  <c:v>232</c:v>
                </c:pt>
                <c:pt idx="265">
                  <c:v>232.5</c:v>
                </c:pt>
                <c:pt idx="266">
                  <c:v>233</c:v>
                </c:pt>
                <c:pt idx="267">
                  <c:v>233.5</c:v>
                </c:pt>
                <c:pt idx="268">
                  <c:v>234</c:v>
                </c:pt>
                <c:pt idx="269">
                  <c:v>234.5</c:v>
                </c:pt>
                <c:pt idx="270">
                  <c:v>235</c:v>
                </c:pt>
                <c:pt idx="271">
                  <c:v>235.5</c:v>
                </c:pt>
                <c:pt idx="272">
                  <c:v>236</c:v>
                </c:pt>
                <c:pt idx="273">
                  <c:v>236.5</c:v>
                </c:pt>
                <c:pt idx="274">
                  <c:v>237</c:v>
                </c:pt>
                <c:pt idx="275">
                  <c:v>237.5</c:v>
                </c:pt>
                <c:pt idx="276">
                  <c:v>238</c:v>
                </c:pt>
                <c:pt idx="277">
                  <c:v>238.5</c:v>
                </c:pt>
                <c:pt idx="278">
                  <c:v>239</c:v>
                </c:pt>
                <c:pt idx="279">
                  <c:v>239.5</c:v>
                </c:pt>
                <c:pt idx="280">
                  <c:v>240</c:v>
                </c:pt>
                <c:pt idx="281">
                  <c:v>240.5</c:v>
                </c:pt>
                <c:pt idx="282">
                  <c:v>241</c:v>
                </c:pt>
                <c:pt idx="283">
                  <c:v>241.5</c:v>
                </c:pt>
                <c:pt idx="284">
                  <c:v>242</c:v>
                </c:pt>
                <c:pt idx="285">
                  <c:v>242.5</c:v>
                </c:pt>
                <c:pt idx="286">
                  <c:v>243</c:v>
                </c:pt>
                <c:pt idx="287">
                  <c:v>243.5</c:v>
                </c:pt>
                <c:pt idx="288">
                  <c:v>244</c:v>
                </c:pt>
                <c:pt idx="289">
                  <c:v>244.5</c:v>
                </c:pt>
                <c:pt idx="290">
                  <c:v>245</c:v>
                </c:pt>
                <c:pt idx="291">
                  <c:v>245.5</c:v>
                </c:pt>
                <c:pt idx="292">
                  <c:v>246</c:v>
                </c:pt>
                <c:pt idx="293">
                  <c:v>246.5</c:v>
                </c:pt>
                <c:pt idx="294">
                  <c:v>247</c:v>
                </c:pt>
                <c:pt idx="295">
                  <c:v>247.5</c:v>
                </c:pt>
                <c:pt idx="296">
                  <c:v>248</c:v>
                </c:pt>
                <c:pt idx="297">
                  <c:v>248.5</c:v>
                </c:pt>
                <c:pt idx="298">
                  <c:v>249</c:v>
                </c:pt>
                <c:pt idx="299">
                  <c:v>249.5</c:v>
                </c:pt>
                <c:pt idx="300">
                  <c:v>250</c:v>
                </c:pt>
                <c:pt idx="301">
                  <c:v>250.5</c:v>
                </c:pt>
                <c:pt idx="302">
                  <c:v>251</c:v>
                </c:pt>
                <c:pt idx="303">
                  <c:v>251.5</c:v>
                </c:pt>
                <c:pt idx="304">
                  <c:v>252</c:v>
                </c:pt>
                <c:pt idx="305">
                  <c:v>252.5</c:v>
                </c:pt>
                <c:pt idx="306">
                  <c:v>253</c:v>
                </c:pt>
                <c:pt idx="307">
                  <c:v>253.5</c:v>
                </c:pt>
                <c:pt idx="308">
                  <c:v>254</c:v>
                </c:pt>
                <c:pt idx="309">
                  <c:v>254.5</c:v>
                </c:pt>
                <c:pt idx="310">
                  <c:v>255</c:v>
                </c:pt>
                <c:pt idx="311">
                  <c:v>255.5</c:v>
                </c:pt>
                <c:pt idx="312">
                  <c:v>256</c:v>
                </c:pt>
                <c:pt idx="313">
                  <c:v>256.5</c:v>
                </c:pt>
                <c:pt idx="314">
                  <c:v>257</c:v>
                </c:pt>
                <c:pt idx="315">
                  <c:v>257.5</c:v>
                </c:pt>
                <c:pt idx="316">
                  <c:v>258</c:v>
                </c:pt>
                <c:pt idx="317">
                  <c:v>258.5</c:v>
                </c:pt>
                <c:pt idx="318">
                  <c:v>259</c:v>
                </c:pt>
                <c:pt idx="319">
                  <c:v>259.5</c:v>
                </c:pt>
                <c:pt idx="320">
                  <c:v>260</c:v>
                </c:pt>
                <c:pt idx="321">
                  <c:v>260.5</c:v>
                </c:pt>
                <c:pt idx="322">
                  <c:v>261</c:v>
                </c:pt>
                <c:pt idx="323">
                  <c:v>261.5</c:v>
                </c:pt>
                <c:pt idx="324">
                  <c:v>262</c:v>
                </c:pt>
                <c:pt idx="325">
                  <c:v>262.5</c:v>
                </c:pt>
                <c:pt idx="326">
                  <c:v>263</c:v>
                </c:pt>
                <c:pt idx="327">
                  <c:v>263.5</c:v>
                </c:pt>
                <c:pt idx="328">
                  <c:v>264</c:v>
                </c:pt>
                <c:pt idx="329">
                  <c:v>264.5</c:v>
                </c:pt>
                <c:pt idx="330">
                  <c:v>265</c:v>
                </c:pt>
                <c:pt idx="331">
                  <c:v>265.5</c:v>
                </c:pt>
                <c:pt idx="332">
                  <c:v>266</c:v>
                </c:pt>
                <c:pt idx="333">
                  <c:v>266.5</c:v>
                </c:pt>
                <c:pt idx="334">
                  <c:v>267</c:v>
                </c:pt>
                <c:pt idx="335">
                  <c:v>267.5</c:v>
                </c:pt>
                <c:pt idx="336">
                  <c:v>268</c:v>
                </c:pt>
                <c:pt idx="337">
                  <c:v>268.5</c:v>
                </c:pt>
                <c:pt idx="338">
                  <c:v>269</c:v>
                </c:pt>
                <c:pt idx="339">
                  <c:v>269.5</c:v>
                </c:pt>
                <c:pt idx="340">
                  <c:v>270</c:v>
                </c:pt>
                <c:pt idx="341">
                  <c:v>270.5</c:v>
                </c:pt>
                <c:pt idx="342">
                  <c:v>271</c:v>
                </c:pt>
                <c:pt idx="343">
                  <c:v>271.5</c:v>
                </c:pt>
                <c:pt idx="344">
                  <c:v>272</c:v>
                </c:pt>
                <c:pt idx="345">
                  <c:v>272.5</c:v>
                </c:pt>
                <c:pt idx="346">
                  <c:v>273</c:v>
                </c:pt>
                <c:pt idx="347">
                  <c:v>273.5</c:v>
                </c:pt>
                <c:pt idx="348">
                  <c:v>274</c:v>
                </c:pt>
                <c:pt idx="349">
                  <c:v>274.5</c:v>
                </c:pt>
                <c:pt idx="350">
                  <c:v>275</c:v>
                </c:pt>
                <c:pt idx="351">
                  <c:v>275.5</c:v>
                </c:pt>
                <c:pt idx="352">
                  <c:v>276</c:v>
                </c:pt>
                <c:pt idx="353">
                  <c:v>276.5</c:v>
                </c:pt>
                <c:pt idx="354">
                  <c:v>277</c:v>
                </c:pt>
                <c:pt idx="355">
                  <c:v>277.5</c:v>
                </c:pt>
                <c:pt idx="356">
                  <c:v>278</c:v>
                </c:pt>
                <c:pt idx="357">
                  <c:v>278.5</c:v>
                </c:pt>
                <c:pt idx="358">
                  <c:v>279</c:v>
                </c:pt>
                <c:pt idx="359">
                  <c:v>279.5</c:v>
                </c:pt>
                <c:pt idx="360">
                  <c:v>280</c:v>
                </c:pt>
                <c:pt idx="361">
                  <c:v>280.5</c:v>
                </c:pt>
                <c:pt idx="362">
                  <c:v>281</c:v>
                </c:pt>
                <c:pt idx="363">
                  <c:v>281.5</c:v>
                </c:pt>
                <c:pt idx="364">
                  <c:v>282</c:v>
                </c:pt>
                <c:pt idx="365">
                  <c:v>282.5</c:v>
                </c:pt>
                <c:pt idx="366">
                  <c:v>283</c:v>
                </c:pt>
                <c:pt idx="367">
                  <c:v>283.5</c:v>
                </c:pt>
                <c:pt idx="368">
                  <c:v>284</c:v>
                </c:pt>
                <c:pt idx="369">
                  <c:v>284.5</c:v>
                </c:pt>
                <c:pt idx="370">
                  <c:v>285</c:v>
                </c:pt>
                <c:pt idx="371">
                  <c:v>285.5</c:v>
                </c:pt>
                <c:pt idx="372">
                  <c:v>286</c:v>
                </c:pt>
                <c:pt idx="373">
                  <c:v>286.5</c:v>
                </c:pt>
                <c:pt idx="374">
                  <c:v>287</c:v>
                </c:pt>
                <c:pt idx="375">
                  <c:v>287.5</c:v>
                </c:pt>
                <c:pt idx="376">
                  <c:v>288</c:v>
                </c:pt>
                <c:pt idx="377">
                  <c:v>288.5</c:v>
                </c:pt>
                <c:pt idx="378">
                  <c:v>289</c:v>
                </c:pt>
                <c:pt idx="379">
                  <c:v>289.5</c:v>
                </c:pt>
                <c:pt idx="380">
                  <c:v>290</c:v>
                </c:pt>
                <c:pt idx="381">
                  <c:v>290.5</c:v>
                </c:pt>
                <c:pt idx="382">
                  <c:v>291</c:v>
                </c:pt>
                <c:pt idx="383">
                  <c:v>291.5</c:v>
                </c:pt>
                <c:pt idx="384">
                  <c:v>292</c:v>
                </c:pt>
                <c:pt idx="385">
                  <c:v>292.5</c:v>
                </c:pt>
                <c:pt idx="386">
                  <c:v>293</c:v>
                </c:pt>
                <c:pt idx="387">
                  <c:v>293.5</c:v>
                </c:pt>
                <c:pt idx="388">
                  <c:v>294</c:v>
                </c:pt>
                <c:pt idx="389">
                  <c:v>294.5</c:v>
                </c:pt>
                <c:pt idx="390">
                  <c:v>295</c:v>
                </c:pt>
                <c:pt idx="391">
                  <c:v>295.5</c:v>
                </c:pt>
                <c:pt idx="392">
                  <c:v>296</c:v>
                </c:pt>
                <c:pt idx="393">
                  <c:v>296.5</c:v>
                </c:pt>
                <c:pt idx="394">
                  <c:v>297</c:v>
                </c:pt>
                <c:pt idx="395">
                  <c:v>297.5</c:v>
                </c:pt>
                <c:pt idx="396">
                  <c:v>298</c:v>
                </c:pt>
                <c:pt idx="397">
                  <c:v>298.5</c:v>
                </c:pt>
                <c:pt idx="398">
                  <c:v>299</c:v>
                </c:pt>
                <c:pt idx="399">
                  <c:v>299.5</c:v>
                </c:pt>
                <c:pt idx="400">
                  <c:v>300</c:v>
                </c:pt>
                <c:pt idx="401">
                  <c:v>300.5</c:v>
                </c:pt>
                <c:pt idx="402">
                  <c:v>301</c:v>
                </c:pt>
                <c:pt idx="403">
                  <c:v>301.5</c:v>
                </c:pt>
                <c:pt idx="404">
                  <c:v>302</c:v>
                </c:pt>
                <c:pt idx="405">
                  <c:v>302.5</c:v>
                </c:pt>
                <c:pt idx="406">
                  <c:v>303</c:v>
                </c:pt>
                <c:pt idx="407">
                  <c:v>303.5</c:v>
                </c:pt>
                <c:pt idx="408">
                  <c:v>304</c:v>
                </c:pt>
                <c:pt idx="409">
                  <c:v>304.5</c:v>
                </c:pt>
                <c:pt idx="410">
                  <c:v>305</c:v>
                </c:pt>
                <c:pt idx="411">
                  <c:v>305.5</c:v>
                </c:pt>
                <c:pt idx="412">
                  <c:v>306</c:v>
                </c:pt>
                <c:pt idx="413">
                  <c:v>306.5</c:v>
                </c:pt>
                <c:pt idx="414">
                  <c:v>307</c:v>
                </c:pt>
                <c:pt idx="415">
                  <c:v>307.5</c:v>
                </c:pt>
                <c:pt idx="416">
                  <c:v>308</c:v>
                </c:pt>
                <c:pt idx="417">
                  <c:v>308.5</c:v>
                </c:pt>
                <c:pt idx="418">
                  <c:v>309</c:v>
                </c:pt>
                <c:pt idx="419">
                  <c:v>309.5</c:v>
                </c:pt>
                <c:pt idx="420">
                  <c:v>310</c:v>
                </c:pt>
                <c:pt idx="421">
                  <c:v>310.5</c:v>
                </c:pt>
                <c:pt idx="422">
                  <c:v>311</c:v>
                </c:pt>
                <c:pt idx="423">
                  <c:v>311.5</c:v>
                </c:pt>
                <c:pt idx="424">
                  <c:v>312</c:v>
                </c:pt>
                <c:pt idx="425">
                  <c:v>312.5</c:v>
                </c:pt>
                <c:pt idx="426">
                  <c:v>313</c:v>
                </c:pt>
                <c:pt idx="427">
                  <c:v>313.5</c:v>
                </c:pt>
                <c:pt idx="428">
                  <c:v>314</c:v>
                </c:pt>
                <c:pt idx="429">
                  <c:v>314.5</c:v>
                </c:pt>
                <c:pt idx="430">
                  <c:v>315</c:v>
                </c:pt>
                <c:pt idx="431">
                  <c:v>315.5</c:v>
                </c:pt>
                <c:pt idx="432">
                  <c:v>316</c:v>
                </c:pt>
                <c:pt idx="433">
                  <c:v>316.5</c:v>
                </c:pt>
                <c:pt idx="434">
                  <c:v>317</c:v>
                </c:pt>
                <c:pt idx="435">
                  <c:v>317.5</c:v>
                </c:pt>
                <c:pt idx="436">
                  <c:v>318</c:v>
                </c:pt>
                <c:pt idx="437">
                  <c:v>318.5</c:v>
                </c:pt>
                <c:pt idx="438">
                  <c:v>319</c:v>
                </c:pt>
                <c:pt idx="439">
                  <c:v>319.5</c:v>
                </c:pt>
                <c:pt idx="440">
                  <c:v>320</c:v>
                </c:pt>
                <c:pt idx="441">
                  <c:v>320.5</c:v>
                </c:pt>
                <c:pt idx="442">
                  <c:v>321</c:v>
                </c:pt>
                <c:pt idx="443">
                  <c:v>321.5</c:v>
                </c:pt>
                <c:pt idx="444">
                  <c:v>322</c:v>
                </c:pt>
                <c:pt idx="445">
                  <c:v>322.5</c:v>
                </c:pt>
                <c:pt idx="446">
                  <c:v>323</c:v>
                </c:pt>
                <c:pt idx="447">
                  <c:v>323.5</c:v>
                </c:pt>
                <c:pt idx="448">
                  <c:v>324</c:v>
                </c:pt>
                <c:pt idx="449">
                  <c:v>324.5</c:v>
                </c:pt>
                <c:pt idx="450">
                  <c:v>325</c:v>
                </c:pt>
                <c:pt idx="451">
                  <c:v>325.5</c:v>
                </c:pt>
                <c:pt idx="452">
                  <c:v>326</c:v>
                </c:pt>
                <c:pt idx="453">
                  <c:v>326.5</c:v>
                </c:pt>
                <c:pt idx="454">
                  <c:v>327</c:v>
                </c:pt>
                <c:pt idx="455">
                  <c:v>327.5</c:v>
                </c:pt>
                <c:pt idx="456">
                  <c:v>328</c:v>
                </c:pt>
                <c:pt idx="457">
                  <c:v>328.5</c:v>
                </c:pt>
                <c:pt idx="458">
                  <c:v>329</c:v>
                </c:pt>
                <c:pt idx="459">
                  <c:v>329.5</c:v>
                </c:pt>
                <c:pt idx="460">
                  <c:v>330</c:v>
                </c:pt>
                <c:pt idx="461">
                  <c:v>330.5</c:v>
                </c:pt>
                <c:pt idx="462">
                  <c:v>331</c:v>
                </c:pt>
                <c:pt idx="463">
                  <c:v>331.5</c:v>
                </c:pt>
                <c:pt idx="464">
                  <c:v>332</c:v>
                </c:pt>
                <c:pt idx="465">
                  <c:v>332.5</c:v>
                </c:pt>
                <c:pt idx="466">
                  <c:v>333</c:v>
                </c:pt>
                <c:pt idx="467">
                  <c:v>333.5</c:v>
                </c:pt>
                <c:pt idx="468">
                  <c:v>334</c:v>
                </c:pt>
                <c:pt idx="469">
                  <c:v>334.5</c:v>
                </c:pt>
                <c:pt idx="470">
                  <c:v>335</c:v>
                </c:pt>
                <c:pt idx="471">
                  <c:v>335.5</c:v>
                </c:pt>
                <c:pt idx="472">
                  <c:v>336</c:v>
                </c:pt>
                <c:pt idx="473">
                  <c:v>336.5</c:v>
                </c:pt>
                <c:pt idx="474">
                  <c:v>337</c:v>
                </c:pt>
                <c:pt idx="475">
                  <c:v>337.5</c:v>
                </c:pt>
                <c:pt idx="476">
                  <c:v>338</c:v>
                </c:pt>
                <c:pt idx="477">
                  <c:v>338.5</c:v>
                </c:pt>
                <c:pt idx="478">
                  <c:v>339</c:v>
                </c:pt>
                <c:pt idx="479">
                  <c:v>339.5</c:v>
                </c:pt>
                <c:pt idx="480">
                  <c:v>340</c:v>
                </c:pt>
                <c:pt idx="481">
                  <c:v>340.5</c:v>
                </c:pt>
                <c:pt idx="482">
                  <c:v>341</c:v>
                </c:pt>
                <c:pt idx="483">
                  <c:v>341.5</c:v>
                </c:pt>
                <c:pt idx="484">
                  <c:v>342</c:v>
                </c:pt>
                <c:pt idx="485">
                  <c:v>342.5</c:v>
                </c:pt>
                <c:pt idx="486">
                  <c:v>343</c:v>
                </c:pt>
                <c:pt idx="487">
                  <c:v>343.5</c:v>
                </c:pt>
                <c:pt idx="488">
                  <c:v>344</c:v>
                </c:pt>
                <c:pt idx="489">
                  <c:v>344.5</c:v>
                </c:pt>
                <c:pt idx="490">
                  <c:v>345</c:v>
                </c:pt>
                <c:pt idx="491">
                  <c:v>345.5</c:v>
                </c:pt>
                <c:pt idx="492">
                  <c:v>346</c:v>
                </c:pt>
                <c:pt idx="493">
                  <c:v>346.5</c:v>
                </c:pt>
                <c:pt idx="494">
                  <c:v>347</c:v>
                </c:pt>
                <c:pt idx="495">
                  <c:v>347.5</c:v>
                </c:pt>
                <c:pt idx="496">
                  <c:v>348</c:v>
                </c:pt>
                <c:pt idx="497">
                  <c:v>348.5</c:v>
                </c:pt>
                <c:pt idx="498">
                  <c:v>349</c:v>
                </c:pt>
                <c:pt idx="499">
                  <c:v>349.5</c:v>
                </c:pt>
                <c:pt idx="500">
                  <c:v>350</c:v>
                </c:pt>
                <c:pt idx="501">
                  <c:v>350.5</c:v>
                </c:pt>
                <c:pt idx="502">
                  <c:v>351</c:v>
                </c:pt>
                <c:pt idx="503">
                  <c:v>351.5</c:v>
                </c:pt>
                <c:pt idx="504">
                  <c:v>352</c:v>
                </c:pt>
                <c:pt idx="505">
                  <c:v>352.5</c:v>
                </c:pt>
                <c:pt idx="506">
                  <c:v>353</c:v>
                </c:pt>
                <c:pt idx="507">
                  <c:v>353.5</c:v>
                </c:pt>
                <c:pt idx="508">
                  <c:v>354</c:v>
                </c:pt>
                <c:pt idx="509">
                  <c:v>354.5</c:v>
                </c:pt>
                <c:pt idx="510">
                  <c:v>355</c:v>
                </c:pt>
                <c:pt idx="511">
                  <c:v>355.5</c:v>
                </c:pt>
                <c:pt idx="512">
                  <c:v>356</c:v>
                </c:pt>
                <c:pt idx="513">
                  <c:v>356.5</c:v>
                </c:pt>
                <c:pt idx="514">
                  <c:v>357</c:v>
                </c:pt>
                <c:pt idx="515">
                  <c:v>357.5</c:v>
                </c:pt>
                <c:pt idx="516">
                  <c:v>358</c:v>
                </c:pt>
                <c:pt idx="517">
                  <c:v>358.5</c:v>
                </c:pt>
                <c:pt idx="518">
                  <c:v>359</c:v>
                </c:pt>
                <c:pt idx="519">
                  <c:v>359.5</c:v>
                </c:pt>
                <c:pt idx="520">
                  <c:v>360</c:v>
                </c:pt>
                <c:pt idx="521">
                  <c:v>360.5</c:v>
                </c:pt>
                <c:pt idx="522">
                  <c:v>361</c:v>
                </c:pt>
                <c:pt idx="523">
                  <c:v>361.5</c:v>
                </c:pt>
                <c:pt idx="524">
                  <c:v>362</c:v>
                </c:pt>
                <c:pt idx="525">
                  <c:v>362.5</c:v>
                </c:pt>
                <c:pt idx="526">
                  <c:v>363</c:v>
                </c:pt>
                <c:pt idx="527">
                  <c:v>363.5</c:v>
                </c:pt>
                <c:pt idx="528">
                  <c:v>364</c:v>
                </c:pt>
                <c:pt idx="529">
                  <c:v>364.5</c:v>
                </c:pt>
                <c:pt idx="530">
                  <c:v>365</c:v>
                </c:pt>
                <c:pt idx="531">
                  <c:v>365.5</c:v>
                </c:pt>
                <c:pt idx="532">
                  <c:v>366</c:v>
                </c:pt>
                <c:pt idx="533">
                  <c:v>366.5</c:v>
                </c:pt>
                <c:pt idx="534">
                  <c:v>367</c:v>
                </c:pt>
                <c:pt idx="535">
                  <c:v>367.5</c:v>
                </c:pt>
                <c:pt idx="536">
                  <c:v>368</c:v>
                </c:pt>
                <c:pt idx="537">
                  <c:v>368.5</c:v>
                </c:pt>
                <c:pt idx="538">
                  <c:v>369</c:v>
                </c:pt>
                <c:pt idx="539">
                  <c:v>369.5</c:v>
                </c:pt>
                <c:pt idx="540">
                  <c:v>370</c:v>
                </c:pt>
                <c:pt idx="541">
                  <c:v>370.5</c:v>
                </c:pt>
                <c:pt idx="542">
                  <c:v>371</c:v>
                </c:pt>
                <c:pt idx="543">
                  <c:v>371.5</c:v>
                </c:pt>
                <c:pt idx="544">
                  <c:v>372</c:v>
                </c:pt>
                <c:pt idx="545">
                  <c:v>372.5</c:v>
                </c:pt>
                <c:pt idx="546">
                  <c:v>373</c:v>
                </c:pt>
                <c:pt idx="547">
                  <c:v>373.5</c:v>
                </c:pt>
                <c:pt idx="548">
                  <c:v>374</c:v>
                </c:pt>
                <c:pt idx="549">
                  <c:v>374.5</c:v>
                </c:pt>
                <c:pt idx="550">
                  <c:v>375</c:v>
                </c:pt>
                <c:pt idx="551">
                  <c:v>375.5</c:v>
                </c:pt>
                <c:pt idx="552">
                  <c:v>376</c:v>
                </c:pt>
                <c:pt idx="553">
                  <c:v>376.5</c:v>
                </c:pt>
                <c:pt idx="554">
                  <c:v>377</c:v>
                </c:pt>
                <c:pt idx="555">
                  <c:v>377.5</c:v>
                </c:pt>
                <c:pt idx="556">
                  <c:v>378</c:v>
                </c:pt>
                <c:pt idx="557">
                  <c:v>378.5</c:v>
                </c:pt>
                <c:pt idx="558">
                  <c:v>379</c:v>
                </c:pt>
                <c:pt idx="559">
                  <c:v>379.5</c:v>
                </c:pt>
                <c:pt idx="560">
                  <c:v>380</c:v>
                </c:pt>
                <c:pt idx="561">
                  <c:v>380.5</c:v>
                </c:pt>
                <c:pt idx="562">
                  <c:v>381</c:v>
                </c:pt>
                <c:pt idx="563">
                  <c:v>381.5</c:v>
                </c:pt>
                <c:pt idx="564">
                  <c:v>382</c:v>
                </c:pt>
                <c:pt idx="565">
                  <c:v>382.5</c:v>
                </c:pt>
                <c:pt idx="566">
                  <c:v>383</c:v>
                </c:pt>
                <c:pt idx="567">
                  <c:v>383.5</c:v>
                </c:pt>
                <c:pt idx="568">
                  <c:v>384</c:v>
                </c:pt>
                <c:pt idx="569">
                  <c:v>384.5</c:v>
                </c:pt>
                <c:pt idx="570">
                  <c:v>385</c:v>
                </c:pt>
                <c:pt idx="571">
                  <c:v>385.5</c:v>
                </c:pt>
                <c:pt idx="572">
                  <c:v>386</c:v>
                </c:pt>
                <c:pt idx="573">
                  <c:v>386.5</c:v>
                </c:pt>
                <c:pt idx="574">
                  <c:v>387</c:v>
                </c:pt>
                <c:pt idx="575">
                  <c:v>387.5</c:v>
                </c:pt>
                <c:pt idx="576">
                  <c:v>388</c:v>
                </c:pt>
                <c:pt idx="577">
                  <c:v>388.5</c:v>
                </c:pt>
                <c:pt idx="578">
                  <c:v>389</c:v>
                </c:pt>
                <c:pt idx="579">
                  <c:v>389.5</c:v>
                </c:pt>
                <c:pt idx="580">
                  <c:v>390</c:v>
                </c:pt>
                <c:pt idx="581">
                  <c:v>390.5</c:v>
                </c:pt>
                <c:pt idx="582">
                  <c:v>391</c:v>
                </c:pt>
                <c:pt idx="583">
                  <c:v>391.5</c:v>
                </c:pt>
                <c:pt idx="584">
                  <c:v>392</c:v>
                </c:pt>
                <c:pt idx="585">
                  <c:v>392.5</c:v>
                </c:pt>
                <c:pt idx="586">
                  <c:v>393</c:v>
                </c:pt>
                <c:pt idx="587">
                  <c:v>393.5</c:v>
                </c:pt>
                <c:pt idx="588">
                  <c:v>394</c:v>
                </c:pt>
                <c:pt idx="589">
                  <c:v>394.5</c:v>
                </c:pt>
                <c:pt idx="590">
                  <c:v>395</c:v>
                </c:pt>
                <c:pt idx="591">
                  <c:v>395.5</c:v>
                </c:pt>
                <c:pt idx="592">
                  <c:v>396</c:v>
                </c:pt>
                <c:pt idx="593">
                  <c:v>396.5</c:v>
                </c:pt>
                <c:pt idx="594">
                  <c:v>397</c:v>
                </c:pt>
                <c:pt idx="595">
                  <c:v>397.5</c:v>
                </c:pt>
                <c:pt idx="596">
                  <c:v>398</c:v>
                </c:pt>
                <c:pt idx="597">
                  <c:v>398.5</c:v>
                </c:pt>
                <c:pt idx="598">
                  <c:v>399</c:v>
                </c:pt>
                <c:pt idx="599">
                  <c:v>399.5</c:v>
                </c:pt>
                <c:pt idx="600">
                  <c:v>400</c:v>
                </c:pt>
                <c:pt idx="601">
                  <c:v>400.5</c:v>
                </c:pt>
                <c:pt idx="602">
                  <c:v>401</c:v>
                </c:pt>
                <c:pt idx="603">
                  <c:v>401.5</c:v>
                </c:pt>
                <c:pt idx="604">
                  <c:v>402</c:v>
                </c:pt>
                <c:pt idx="605">
                  <c:v>402.5</c:v>
                </c:pt>
                <c:pt idx="606">
                  <c:v>403</c:v>
                </c:pt>
                <c:pt idx="607">
                  <c:v>403.5</c:v>
                </c:pt>
                <c:pt idx="608">
                  <c:v>404</c:v>
                </c:pt>
                <c:pt idx="609">
                  <c:v>404.5</c:v>
                </c:pt>
                <c:pt idx="610">
                  <c:v>405</c:v>
                </c:pt>
                <c:pt idx="611">
                  <c:v>405.5</c:v>
                </c:pt>
                <c:pt idx="612">
                  <c:v>406</c:v>
                </c:pt>
                <c:pt idx="613">
                  <c:v>406.5</c:v>
                </c:pt>
                <c:pt idx="614">
                  <c:v>407</c:v>
                </c:pt>
                <c:pt idx="615">
                  <c:v>407.5</c:v>
                </c:pt>
                <c:pt idx="616">
                  <c:v>408</c:v>
                </c:pt>
                <c:pt idx="617">
                  <c:v>408.5</c:v>
                </c:pt>
                <c:pt idx="618">
                  <c:v>409</c:v>
                </c:pt>
                <c:pt idx="619">
                  <c:v>409.5</c:v>
                </c:pt>
                <c:pt idx="620">
                  <c:v>410</c:v>
                </c:pt>
                <c:pt idx="621">
                  <c:v>410.5</c:v>
                </c:pt>
                <c:pt idx="622">
                  <c:v>411</c:v>
                </c:pt>
                <c:pt idx="623">
                  <c:v>411.5</c:v>
                </c:pt>
                <c:pt idx="624">
                  <c:v>412</c:v>
                </c:pt>
                <c:pt idx="625">
                  <c:v>412.5</c:v>
                </c:pt>
                <c:pt idx="626">
                  <c:v>413</c:v>
                </c:pt>
                <c:pt idx="627">
                  <c:v>413.5</c:v>
                </c:pt>
                <c:pt idx="628">
                  <c:v>414</c:v>
                </c:pt>
                <c:pt idx="629">
                  <c:v>414.5</c:v>
                </c:pt>
                <c:pt idx="630">
                  <c:v>415</c:v>
                </c:pt>
                <c:pt idx="631">
                  <c:v>415.5</c:v>
                </c:pt>
                <c:pt idx="632">
                  <c:v>416</c:v>
                </c:pt>
                <c:pt idx="633">
                  <c:v>416.5</c:v>
                </c:pt>
                <c:pt idx="634">
                  <c:v>417</c:v>
                </c:pt>
                <c:pt idx="635">
                  <c:v>417.5</c:v>
                </c:pt>
                <c:pt idx="636">
                  <c:v>418</c:v>
                </c:pt>
                <c:pt idx="637">
                  <c:v>418.5</c:v>
                </c:pt>
                <c:pt idx="638">
                  <c:v>419</c:v>
                </c:pt>
                <c:pt idx="639">
                  <c:v>419.5</c:v>
                </c:pt>
                <c:pt idx="640">
                  <c:v>420</c:v>
                </c:pt>
                <c:pt idx="641">
                  <c:v>420.5</c:v>
                </c:pt>
                <c:pt idx="642">
                  <c:v>421</c:v>
                </c:pt>
                <c:pt idx="643">
                  <c:v>421.5</c:v>
                </c:pt>
                <c:pt idx="644">
                  <c:v>422</c:v>
                </c:pt>
                <c:pt idx="645">
                  <c:v>422.5</c:v>
                </c:pt>
                <c:pt idx="646">
                  <c:v>423</c:v>
                </c:pt>
                <c:pt idx="647">
                  <c:v>423.5</c:v>
                </c:pt>
                <c:pt idx="648">
                  <c:v>424</c:v>
                </c:pt>
                <c:pt idx="649">
                  <c:v>424.5</c:v>
                </c:pt>
                <c:pt idx="650">
                  <c:v>425</c:v>
                </c:pt>
                <c:pt idx="651">
                  <c:v>425.5</c:v>
                </c:pt>
                <c:pt idx="652">
                  <c:v>426</c:v>
                </c:pt>
                <c:pt idx="653">
                  <c:v>426.5</c:v>
                </c:pt>
                <c:pt idx="654">
                  <c:v>427</c:v>
                </c:pt>
                <c:pt idx="655">
                  <c:v>427.5</c:v>
                </c:pt>
                <c:pt idx="656">
                  <c:v>428</c:v>
                </c:pt>
                <c:pt idx="657">
                  <c:v>428.5</c:v>
                </c:pt>
                <c:pt idx="658">
                  <c:v>429</c:v>
                </c:pt>
                <c:pt idx="659">
                  <c:v>429.5</c:v>
                </c:pt>
                <c:pt idx="660">
                  <c:v>430</c:v>
                </c:pt>
                <c:pt idx="661">
                  <c:v>430.5</c:v>
                </c:pt>
                <c:pt idx="662">
                  <c:v>431</c:v>
                </c:pt>
                <c:pt idx="663">
                  <c:v>431.5</c:v>
                </c:pt>
                <c:pt idx="664">
                  <c:v>432</c:v>
                </c:pt>
                <c:pt idx="665">
                  <c:v>432.5</c:v>
                </c:pt>
                <c:pt idx="666">
                  <c:v>433</c:v>
                </c:pt>
                <c:pt idx="667">
                  <c:v>433.5</c:v>
                </c:pt>
                <c:pt idx="668">
                  <c:v>434</c:v>
                </c:pt>
                <c:pt idx="669">
                  <c:v>434.5</c:v>
                </c:pt>
                <c:pt idx="670">
                  <c:v>435</c:v>
                </c:pt>
                <c:pt idx="671">
                  <c:v>435.5</c:v>
                </c:pt>
                <c:pt idx="672">
                  <c:v>436</c:v>
                </c:pt>
                <c:pt idx="673">
                  <c:v>436.5</c:v>
                </c:pt>
                <c:pt idx="674">
                  <c:v>437</c:v>
                </c:pt>
                <c:pt idx="675">
                  <c:v>437.5</c:v>
                </c:pt>
                <c:pt idx="676">
                  <c:v>438</c:v>
                </c:pt>
                <c:pt idx="677">
                  <c:v>438.5</c:v>
                </c:pt>
                <c:pt idx="678">
                  <c:v>439</c:v>
                </c:pt>
                <c:pt idx="679">
                  <c:v>439.5</c:v>
                </c:pt>
                <c:pt idx="680">
                  <c:v>440</c:v>
                </c:pt>
                <c:pt idx="681">
                  <c:v>440.5</c:v>
                </c:pt>
                <c:pt idx="682">
                  <c:v>441</c:v>
                </c:pt>
                <c:pt idx="683">
                  <c:v>441.5</c:v>
                </c:pt>
                <c:pt idx="684">
                  <c:v>442</c:v>
                </c:pt>
                <c:pt idx="685">
                  <c:v>442.5</c:v>
                </c:pt>
                <c:pt idx="686">
                  <c:v>443</c:v>
                </c:pt>
                <c:pt idx="687">
                  <c:v>443.5</c:v>
                </c:pt>
                <c:pt idx="688">
                  <c:v>444</c:v>
                </c:pt>
                <c:pt idx="689">
                  <c:v>444.5</c:v>
                </c:pt>
                <c:pt idx="690">
                  <c:v>445</c:v>
                </c:pt>
                <c:pt idx="691">
                  <c:v>445.5</c:v>
                </c:pt>
                <c:pt idx="692">
                  <c:v>446</c:v>
                </c:pt>
                <c:pt idx="693">
                  <c:v>446.5</c:v>
                </c:pt>
                <c:pt idx="694">
                  <c:v>447</c:v>
                </c:pt>
                <c:pt idx="695">
                  <c:v>447.5</c:v>
                </c:pt>
                <c:pt idx="696">
                  <c:v>448</c:v>
                </c:pt>
                <c:pt idx="697">
                  <c:v>448.5</c:v>
                </c:pt>
                <c:pt idx="698">
                  <c:v>449</c:v>
                </c:pt>
                <c:pt idx="699">
                  <c:v>449.5</c:v>
                </c:pt>
                <c:pt idx="700">
                  <c:v>450</c:v>
                </c:pt>
                <c:pt idx="701">
                  <c:v>450.5</c:v>
                </c:pt>
                <c:pt idx="702">
                  <c:v>451</c:v>
                </c:pt>
                <c:pt idx="703">
                  <c:v>451.5</c:v>
                </c:pt>
                <c:pt idx="704">
                  <c:v>452</c:v>
                </c:pt>
                <c:pt idx="705">
                  <c:v>452.5</c:v>
                </c:pt>
                <c:pt idx="706">
                  <c:v>453</c:v>
                </c:pt>
                <c:pt idx="707">
                  <c:v>453.5</c:v>
                </c:pt>
                <c:pt idx="708">
                  <c:v>454</c:v>
                </c:pt>
                <c:pt idx="709">
                  <c:v>454.5</c:v>
                </c:pt>
                <c:pt idx="710">
                  <c:v>455</c:v>
                </c:pt>
                <c:pt idx="711">
                  <c:v>455.5</c:v>
                </c:pt>
                <c:pt idx="712">
                  <c:v>456</c:v>
                </c:pt>
                <c:pt idx="713">
                  <c:v>456.5</c:v>
                </c:pt>
                <c:pt idx="714">
                  <c:v>457</c:v>
                </c:pt>
                <c:pt idx="715">
                  <c:v>457.5</c:v>
                </c:pt>
                <c:pt idx="716">
                  <c:v>458</c:v>
                </c:pt>
                <c:pt idx="717">
                  <c:v>458.5</c:v>
                </c:pt>
                <c:pt idx="718">
                  <c:v>459</c:v>
                </c:pt>
                <c:pt idx="719">
                  <c:v>459.5</c:v>
                </c:pt>
                <c:pt idx="720">
                  <c:v>460</c:v>
                </c:pt>
                <c:pt idx="721">
                  <c:v>460.5</c:v>
                </c:pt>
                <c:pt idx="722">
                  <c:v>461</c:v>
                </c:pt>
                <c:pt idx="723">
                  <c:v>461.5</c:v>
                </c:pt>
                <c:pt idx="724">
                  <c:v>462</c:v>
                </c:pt>
                <c:pt idx="725">
                  <c:v>462.5</c:v>
                </c:pt>
                <c:pt idx="726">
                  <c:v>463</c:v>
                </c:pt>
                <c:pt idx="727">
                  <c:v>463.5</c:v>
                </c:pt>
                <c:pt idx="728">
                  <c:v>464</c:v>
                </c:pt>
                <c:pt idx="729">
                  <c:v>464.5</c:v>
                </c:pt>
                <c:pt idx="730">
                  <c:v>465</c:v>
                </c:pt>
                <c:pt idx="731">
                  <c:v>465.5</c:v>
                </c:pt>
                <c:pt idx="732">
                  <c:v>466</c:v>
                </c:pt>
                <c:pt idx="733">
                  <c:v>466.5</c:v>
                </c:pt>
                <c:pt idx="734">
                  <c:v>467</c:v>
                </c:pt>
                <c:pt idx="735">
                  <c:v>467.5</c:v>
                </c:pt>
                <c:pt idx="736">
                  <c:v>468</c:v>
                </c:pt>
                <c:pt idx="737">
                  <c:v>468.5</c:v>
                </c:pt>
                <c:pt idx="738">
                  <c:v>469</c:v>
                </c:pt>
                <c:pt idx="739">
                  <c:v>469.5</c:v>
                </c:pt>
                <c:pt idx="740">
                  <c:v>470</c:v>
                </c:pt>
                <c:pt idx="741">
                  <c:v>470.5</c:v>
                </c:pt>
                <c:pt idx="742">
                  <c:v>471</c:v>
                </c:pt>
                <c:pt idx="743">
                  <c:v>471.5</c:v>
                </c:pt>
                <c:pt idx="744">
                  <c:v>472</c:v>
                </c:pt>
                <c:pt idx="745">
                  <c:v>472.5</c:v>
                </c:pt>
                <c:pt idx="746">
                  <c:v>473</c:v>
                </c:pt>
                <c:pt idx="747">
                  <c:v>473.5</c:v>
                </c:pt>
                <c:pt idx="748">
                  <c:v>474</c:v>
                </c:pt>
                <c:pt idx="749">
                  <c:v>474.5</c:v>
                </c:pt>
                <c:pt idx="750">
                  <c:v>475</c:v>
                </c:pt>
                <c:pt idx="751">
                  <c:v>475.5</c:v>
                </c:pt>
                <c:pt idx="752">
                  <c:v>476</c:v>
                </c:pt>
                <c:pt idx="753">
                  <c:v>476.5</c:v>
                </c:pt>
                <c:pt idx="754">
                  <c:v>477</c:v>
                </c:pt>
                <c:pt idx="755">
                  <c:v>477.5</c:v>
                </c:pt>
                <c:pt idx="756">
                  <c:v>478</c:v>
                </c:pt>
                <c:pt idx="757">
                  <c:v>478.5</c:v>
                </c:pt>
                <c:pt idx="758">
                  <c:v>479</c:v>
                </c:pt>
                <c:pt idx="759">
                  <c:v>479.5</c:v>
                </c:pt>
                <c:pt idx="760">
                  <c:v>480</c:v>
                </c:pt>
                <c:pt idx="761">
                  <c:v>480.5</c:v>
                </c:pt>
                <c:pt idx="762">
                  <c:v>481</c:v>
                </c:pt>
                <c:pt idx="763">
                  <c:v>481.5</c:v>
                </c:pt>
                <c:pt idx="764">
                  <c:v>482</c:v>
                </c:pt>
                <c:pt idx="765">
                  <c:v>482.5</c:v>
                </c:pt>
                <c:pt idx="766">
                  <c:v>483</c:v>
                </c:pt>
                <c:pt idx="767">
                  <c:v>483.5</c:v>
                </c:pt>
                <c:pt idx="768">
                  <c:v>484</c:v>
                </c:pt>
                <c:pt idx="769">
                  <c:v>484.5</c:v>
                </c:pt>
                <c:pt idx="770">
                  <c:v>485</c:v>
                </c:pt>
                <c:pt idx="771">
                  <c:v>485.5</c:v>
                </c:pt>
                <c:pt idx="772">
                  <c:v>486</c:v>
                </c:pt>
                <c:pt idx="773">
                  <c:v>486.5</c:v>
                </c:pt>
                <c:pt idx="774">
                  <c:v>487</c:v>
                </c:pt>
                <c:pt idx="775">
                  <c:v>487.5</c:v>
                </c:pt>
                <c:pt idx="776">
                  <c:v>488</c:v>
                </c:pt>
                <c:pt idx="777">
                  <c:v>488.5</c:v>
                </c:pt>
                <c:pt idx="778">
                  <c:v>489</c:v>
                </c:pt>
                <c:pt idx="779">
                  <c:v>489.5</c:v>
                </c:pt>
                <c:pt idx="780">
                  <c:v>490</c:v>
                </c:pt>
                <c:pt idx="781">
                  <c:v>490.5</c:v>
                </c:pt>
                <c:pt idx="782">
                  <c:v>491</c:v>
                </c:pt>
                <c:pt idx="783">
                  <c:v>491.5</c:v>
                </c:pt>
                <c:pt idx="784">
                  <c:v>492</c:v>
                </c:pt>
                <c:pt idx="785">
                  <c:v>492.5</c:v>
                </c:pt>
                <c:pt idx="786">
                  <c:v>493</c:v>
                </c:pt>
                <c:pt idx="787">
                  <c:v>493.5</c:v>
                </c:pt>
                <c:pt idx="788">
                  <c:v>494</c:v>
                </c:pt>
                <c:pt idx="789">
                  <c:v>494.5</c:v>
                </c:pt>
                <c:pt idx="790">
                  <c:v>495</c:v>
                </c:pt>
                <c:pt idx="791">
                  <c:v>495.5</c:v>
                </c:pt>
                <c:pt idx="792">
                  <c:v>496</c:v>
                </c:pt>
                <c:pt idx="793">
                  <c:v>496.5</c:v>
                </c:pt>
                <c:pt idx="794">
                  <c:v>497</c:v>
                </c:pt>
                <c:pt idx="795">
                  <c:v>497.5</c:v>
                </c:pt>
                <c:pt idx="796">
                  <c:v>498</c:v>
                </c:pt>
                <c:pt idx="797">
                  <c:v>498.5</c:v>
                </c:pt>
                <c:pt idx="798">
                  <c:v>499</c:v>
                </c:pt>
                <c:pt idx="799">
                  <c:v>499.5</c:v>
                </c:pt>
                <c:pt idx="800">
                  <c:v>500</c:v>
                </c:pt>
              </c:numCache>
            </c:numRef>
          </c:cat>
          <c:val>
            <c:numRef>
              <c:f>STS_Ch3_Q25!$K$5:$K$805</c:f>
              <c:numCache>
                <c:formatCode>General</c:formatCode>
                <c:ptCount val="801"/>
                <c:pt idx="0">
                  <c:v>1400</c:v>
                </c:pt>
                <c:pt idx="1">
                  <c:v>1401</c:v>
                </c:pt>
                <c:pt idx="2">
                  <c:v>1402</c:v>
                </c:pt>
                <c:pt idx="3">
                  <c:v>1403</c:v>
                </c:pt>
                <c:pt idx="4">
                  <c:v>1404</c:v>
                </c:pt>
                <c:pt idx="5">
                  <c:v>1405</c:v>
                </c:pt>
                <c:pt idx="6">
                  <c:v>1406</c:v>
                </c:pt>
                <c:pt idx="7">
                  <c:v>1407</c:v>
                </c:pt>
                <c:pt idx="8">
                  <c:v>1408</c:v>
                </c:pt>
                <c:pt idx="9">
                  <c:v>1409</c:v>
                </c:pt>
                <c:pt idx="10">
                  <c:v>1410</c:v>
                </c:pt>
                <c:pt idx="11">
                  <c:v>1411</c:v>
                </c:pt>
                <c:pt idx="12">
                  <c:v>1412</c:v>
                </c:pt>
                <c:pt idx="13">
                  <c:v>1413</c:v>
                </c:pt>
                <c:pt idx="14">
                  <c:v>1414</c:v>
                </c:pt>
                <c:pt idx="15">
                  <c:v>1415</c:v>
                </c:pt>
                <c:pt idx="16">
                  <c:v>1416</c:v>
                </c:pt>
                <c:pt idx="17">
                  <c:v>1417</c:v>
                </c:pt>
                <c:pt idx="18">
                  <c:v>1418</c:v>
                </c:pt>
                <c:pt idx="19">
                  <c:v>1419</c:v>
                </c:pt>
                <c:pt idx="20">
                  <c:v>1420</c:v>
                </c:pt>
                <c:pt idx="21">
                  <c:v>1421</c:v>
                </c:pt>
                <c:pt idx="22">
                  <c:v>1422</c:v>
                </c:pt>
                <c:pt idx="23">
                  <c:v>1423</c:v>
                </c:pt>
                <c:pt idx="24">
                  <c:v>1424</c:v>
                </c:pt>
                <c:pt idx="25">
                  <c:v>1425</c:v>
                </c:pt>
                <c:pt idx="26">
                  <c:v>1426</c:v>
                </c:pt>
                <c:pt idx="27">
                  <c:v>1427</c:v>
                </c:pt>
                <c:pt idx="28">
                  <c:v>1428</c:v>
                </c:pt>
                <c:pt idx="29">
                  <c:v>1429</c:v>
                </c:pt>
                <c:pt idx="30">
                  <c:v>1430</c:v>
                </c:pt>
                <c:pt idx="31">
                  <c:v>1431</c:v>
                </c:pt>
                <c:pt idx="32">
                  <c:v>1432</c:v>
                </c:pt>
                <c:pt idx="33">
                  <c:v>1433</c:v>
                </c:pt>
                <c:pt idx="34">
                  <c:v>1434</c:v>
                </c:pt>
                <c:pt idx="35">
                  <c:v>1435</c:v>
                </c:pt>
                <c:pt idx="36">
                  <c:v>1436</c:v>
                </c:pt>
                <c:pt idx="37">
                  <c:v>1437</c:v>
                </c:pt>
                <c:pt idx="38">
                  <c:v>1438</c:v>
                </c:pt>
                <c:pt idx="39">
                  <c:v>1439</c:v>
                </c:pt>
                <c:pt idx="40">
                  <c:v>1440</c:v>
                </c:pt>
                <c:pt idx="41">
                  <c:v>1441</c:v>
                </c:pt>
                <c:pt idx="42">
                  <c:v>1442</c:v>
                </c:pt>
                <c:pt idx="43">
                  <c:v>1443</c:v>
                </c:pt>
                <c:pt idx="44">
                  <c:v>1444</c:v>
                </c:pt>
                <c:pt idx="45">
                  <c:v>1445</c:v>
                </c:pt>
                <c:pt idx="46">
                  <c:v>1446</c:v>
                </c:pt>
                <c:pt idx="47">
                  <c:v>1447</c:v>
                </c:pt>
                <c:pt idx="48">
                  <c:v>1448</c:v>
                </c:pt>
                <c:pt idx="49">
                  <c:v>1449</c:v>
                </c:pt>
                <c:pt idx="50">
                  <c:v>1450</c:v>
                </c:pt>
                <c:pt idx="51">
                  <c:v>1451</c:v>
                </c:pt>
                <c:pt idx="52">
                  <c:v>1452</c:v>
                </c:pt>
                <c:pt idx="53">
                  <c:v>1453</c:v>
                </c:pt>
                <c:pt idx="54">
                  <c:v>1454</c:v>
                </c:pt>
                <c:pt idx="55">
                  <c:v>1455</c:v>
                </c:pt>
                <c:pt idx="56">
                  <c:v>1456</c:v>
                </c:pt>
                <c:pt idx="57">
                  <c:v>1457</c:v>
                </c:pt>
                <c:pt idx="58">
                  <c:v>1458</c:v>
                </c:pt>
                <c:pt idx="59">
                  <c:v>1459</c:v>
                </c:pt>
                <c:pt idx="60">
                  <c:v>1460</c:v>
                </c:pt>
                <c:pt idx="61">
                  <c:v>1461</c:v>
                </c:pt>
                <c:pt idx="62">
                  <c:v>1462</c:v>
                </c:pt>
                <c:pt idx="63">
                  <c:v>1463</c:v>
                </c:pt>
                <c:pt idx="64">
                  <c:v>1464</c:v>
                </c:pt>
                <c:pt idx="65">
                  <c:v>1465</c:v>
                </c:pt>
                <c:pt idx="66">
                  <c:v>1466</c:v>
                </c:pt>
                <c:pt idx="67">
                  <c:v>1467</c:v>
                </c:pt>
                <c:pt idx="68">
                  <c:v>1468</c:v>
                </c:pt>
                <c:pt idx="69">
                  <c:v>1469</c:v>
                </c:pt>
                <c:pt idx="70">
                  <c:v>1470</c:v>
                </c:pt>
                <c:pt idx="71">
                  <c:v>1471</c:v>
                </c:pt>
                <c:pt idx="72">
                  <c:v>1472</c:v>
                </c:pt>
                <c:pt idx="73">
                  <c:v>1473</c:v>
                </c:pt>
                <c:pt idx="74">
                  <c:v>1474</c:v>
                </c:pt>
                <c:pt idx="75">
                  <c:v>1475</c:v>
                </c:pt>
                <c:pt idx="76">
                  <c:v>1476</c:v>
                </c:pt>
                <c:pt idx="77">
                  <c:v>1477</c:v>
                </c:pt>
                <c:pt idx="78">
                  <c:v>1478</c:v>
                </c:pt>
                <c:pt idx="79">
                  <c:v>1479</c:v>
                </c:pt>
                <c:pt idx="80">
                  <c:v>1480</c:v>
                </c:pt>
                <c:pt idx="81">
                  <c:v>1481</c:v>
                </c:pt>
                <c:pt idx="82">
                  <c:v>1482</c:v>
                </c:pt>
                <c:pt idx="83">
                  <c:v>1483</c:v>
                </c:pt>
                <c:pt idx="84">
                  <c:v>1484</c:v>
                </c:pt>
                <c:pt idx="85">
                  <c:v>1485</c:v>
                </c:pt>
                <c:pt idx="86">
                  <c:v>1486</c:v>
                </c:pt>
                <c:pt idx="87">
                  <c:v>1487</c:v>
                </c:pt>
                <c:pt idx="88">
                  <c:v>1488</c:v>
                </c:pt>
                <c:pt idx="89">
                  <c:v>1489</c:v>
                </c:pt>
                <c:pt idx="90">
                  <c:v>1490</c:v>
                </c:pt>
                <c:pt idx="91">
                  <c:v>1491</c:v>
                </c:pt>
                <c:pt idx="92">
                  <c:v>1492</c:v>
                </c:pt>
                <c:pt idx="93">
                  <c:v>1493</c:v>
                </c:pt>
                <c:pt idx="94">
                  <c:v>1494</c:v>
                </c:pt>
                <c:pt idx="95">
                  <c:v>1495</c:v>
                </c:pt>
                <c:pt idx="96">
                  <c:v>1496</c:v>
                </c:pt>
                <c:pt idx="97">
                  <c:v>1497</c:v>
                </c:pt>
                <c:pt idx="98">
                  <c:v>1498</c:v>
                </c:pt>
                <c:pt idx="99">
                  <c:v>1499</c:v>
                </c:pt>
                <c:pt idx="100">
                  <c:v>1500</c:v>
                </c:pt>
                <c:pt idx="101">
                  <c:v>1501</c:v>
                </c:pt>
                <c:pt idx="102">
                  <c:v>1502</c:v>
                </c:pt>
                <c:pt idx="103">
                  <c:v>1503</c:v>
                </c:pt>
                <c:pt idx="104">
                  <c:v>1504</c:v>
                </c:pt>
                <c:pt idx="105">
                  <c:v>1505</c:v>
                </c:pt>
                <c:pt idx="106">
                  <c:v>1506</c:v>
                </c:pt>
                <c:pt idx="107">
                  <c:v>1507</c:v>
                </c:pt>
                <c:pt idx="108">
                  <c:v>1508</c:v>
                </c:pt>
                <c:pt idx="109">
                  <c:v>1509</c:v>
                </c:pt>
                <c:pt idx="110">
                  <c:v>1510</c:v>
                </c:pt>
                <c:pt idx="111">
                  <c:v>1511</c:v>
                </c:pt>
                <c:pt idx="112">
                  <c:v>1512</c:v>
                </c:pt>
                <c:pt idx="113">
                  <c:v>1513</c:v>
                </c:pt>
                <c:pt idx="114">
                  <c:v>1514</c:v>
                </c:pt>
                <c:pt idx="115">
                  <c:v>1515</c:v>
                </c:pt>
                <c:pt idx="116">
                  <c:v>1516</c:v>
                </c:pt>
                <c:pt idx="117">
                  <c:v>1517</c:v>
                </c:pt>
                <c:pt idx="118">
                  <c:v>1518</c:v>
                </c:pt>
                <c:pt idx="119">
                  <c:v>1519</c:v>
                </c:pt>
                <c:pt idx="120">
                  <c:v>1520</c:v>
                </c:pt>
                <c:pt idx="121">
                  <c:v>1521</c:v>
                </c:pt>
                <c:pt idx="122">
                  <c:v>1522</c:v>
                </c:pt>
                <c:pt idx="123">
                  <c:v>1523</c:v>
                </c:pt>
                <c:pt idx="124">
                  <c:v>1524</c:v>
                </c:pt>
                <c:pt idx="125">
                  <c:v>1525</c:v>
                </c:pt>
                <c:pt idx="126">
                  <c:v>1526</c:v>
                </c:pt>
                <c:pt idx="127">
                  <c:v>1527</c:v>
                </c:pt>
                <c:pt idx="128">
                  <c:v>1528</c:v>
                </c:pt>
                <c:pt idx="129">
                  <c:v>1529</c:v>
                </c:pt>
                <c:pt idx="130">
                  <c:v>1530</c:v>
                </c:pt>
                <c:pt idx="131">
                  <c:v>1531</c:v>
                </c:pt>
                <c:pt idx="132">
                  <c:v>1532</c:v>
                </c:pt>
                <c:pt idx="133">
                  <c:v>1533</c:v>
                </c:pt>
                <c:pt idx="134">
                  <c:v>1534</c:v>
                </c:pt>
                <c:pt idx="135">
                  <c:v>1535</c:v>
                </c:pt>
                <c:pt idx="136">
                  <c:v>1536</c:v>
                </c:pt>
                <c:pt idx="137">
                  <c:v>1537</c:v>
                </c:pt>
                <c:pt idx="138">
                  <c:v>1538</c:v>
                </c:pt>
                <c:pt idx="139">
                  <c:v>1539</c:v>
                </c:pt>
                <c:pt idx="140">
                  <c:v>1540</c:v>
                </c:pt>
                <c:pt idx="141">
                  <c:v>1541</c:v>
                </c:pt>
                <c:pt idx="142">
                  <c:v>1542</c:v>
                </c:pt>
                <c:pt idx="143">
                  <c:v>1543</c:v>
                </c:pt>
                <c:pt idx="144">
                  <c:v>1544</c:v>
                </c:pt>
                <c:pt idx="145">
                  <c:v>1545</c:v>
                </c:pt>
                <c:pt idx="146">
                  <c:v>1546</c:v>
                </c:pt>
                <c:pt idx="147">
                  <c:v>1547</c:v>
                </c:pt>
                <c:pt idx="148">
                  <c:v>1548</c:v>
                </c:pt>
                <c:pt idx="149">
                  <c:v>1549</c:v>
                </c:pt>
                <c:pt idx="150">
                  <c:v>1550</c:v>
                </c:pt>
                <c:pt idx="151">
                  <c:v>1551</c:v>
                </c:pt>
                <c:pt idx="152">
                  <c:v>1552</c:v>
                </c:pt>
                <c:pt idx="153">
                  <c:v>1553</c:v>
                </c:pt>
                <c:pt idx="154">
                  <c:v>1554</c:v>
                </c:pt>
                <c:pt idx="155">
                  <c:v>1555</c:v>
                </c:pt>
                <c:pt idx="156">
                  <c:v>1556</c:v>
                </c:pt>
                <c:pt idx="157">
                  <c:v>1557</c:v>
                </c:pt>
                <c:pt idx="158">
                  <c:v>1558</c:v>
                </c:pt>
                <c:pt idx="159">
                  <c:v>1559</c:v>
                </c:pt>
                <c:pt idx="160">
                  <c:v>1560</c:v>
                </c:pt>
                <c:pt idx="161">
                  <c:v>1561</c:v>
                </c:pt>
                <c:pt idx="162">
                  <c:v>1562</c:v>
                </c:pt>
                <c:pt idx="163">
                  <c:v>1563</c:v>
                </c:pt>
                <c:pt idx="164">
                  <c:v>1564</c:v>
                </c:pt>
                <c:pt idx="165">
                  <c:v>1565</c:v>
                </c:pt>
                <c:pt idx="166">
                  <c:v>1566</c:v>
                </c:pt>
                <c:pt idx="167">
                  <c:v>1567</c:v>
                </c:pt>
                <c:pt idx="168">
                  <c:v>1568</c:v>
                </c:pt>
                <c:pt idx="169">
                  <c:v>1569</c:v>
                </c:pt>
                <c:pt idx="170">
                  <c:v>1570</c:v>
                </c:pt>
                <c:pt idx="171">
                  <c:v>1571</c:v>
                </c:pt>
                <c:pt idx="172">
                  <c:v>1572</c:v>
                </c:pt>
                <c:pt idx="173">
                  <c:v>1573</c:v>
                </c:pt>
                <c:pt idx="174">
                  <c:v>1574</c:v>
                </c:pt>
                <c:pt idx="175">
                  <c:v>1575</c:v>
                </c:pt>
                <c:pt idx="176">
                  <c:v>1576</c:v>
                </c:pt>
                <c:pt idx="177">
                  <c:v>1577</c:v>
                </c:pt>
                <c:pt idx="178">
                  <c:v>1578</c:v>
                </c:pt>
                <c:pt idx="179">
                  <c:v>1579</c:v>
                </c:pt>
                <c:pt idx="180">
                  <c:v>1580</c:v>
                </c:pt>
                <c:pt idx="181">
                  <c:v>1581</c:v>
                </c:pt>
                <c:pt idx="182">
                  <c:v>1582</c:v>
                </c:pt>
                <c:pt idx="183">
                  <c:v>1583</c:v>
                </c:pt>
                <c:pt idx="184">
                  <c:v>1584</c:v>
                </c:pt>
                <c:pt idx="185">
                  <c:v>1585</c:v>
                </c:pt>
                <c:pt idx="186">
                  <c:v>1586</c:v>
                </c:pt>
                <c:pt idx="187">
                  <c:v>1587</c:v>
                </c:pt>
                <c:pt idx="188">
                  <c:v>1588</c:v>
                </c:pt>
                <c:pt idx="189">
                  <c:v>1589</c:v>
                </c:pt>
                <c:pt idx="190">
                  <c:v>1590</c:v>
                </c:pt>
                <c:pt idx="191">
                  <c:v>1591</c:v>
                </c:pt>
                <c:pt idx="192">
                  <c:v>1592</c:v>
                </c:pt>
                <c:pt idx="193">
                  <c:v>1593</c:v>
                </c:pt>
                <c:pt idx="194">
                  <c:v>1594</c:v>
                </c:pt>
                <c:pt idx="195">
                  <c:v>1595</c:v>
                </c:pt>
                <c:pt idx="196">
                  <c:v>1596</c:v>
                </c:pt>
                <c:pt idx="197">
                  <c:v>1597</c:v>
                </c:pt>
                <c:pt idx="198">
                  <c:v>1598</c:v>
                </c:pt>
                <c:pt idx="199">
                  <c:v>1599</c:v>
                </c:pt>
                <c:pt idx="200">
                  <c:v>1600</c:v>
                </c:pt>
                <c:pt idx="201">
                  <c:v>1601</c:v>
                </c:pt>
                <c:pt idx="202">
                  <c:v>1602</c:v>
                </c:pt>
                <c:pt idx="203">
                  <c:v>1603</c:v>
                </c:pt>
                <c:pt idx="204">
                  <c:v>1604</c:v>
                </c:pt>
                <c:pt idx="205">
                  <c:v>1605</c:v>
                </c:pt>
                <c:pt idx="206">
                  <c:v>1606</c:v>
                </c:pt>
                <c:pt idx="207">
                  <c:v>1607</c:v>
                </c:pt>
                <c:pt idx="208">
                  <c:v>1608</c:v>
                </c:pt>
                <c:pt idx="209">
                  <c:v>1609</c:v>
                </c:pt>
                <c:pt idx="210">
                  <c:v>1610</c:v>
                </c:pt>
                <c:pt idx="211">
                  <c:v>1611</c:v>
                </c:pt>
                <c:pt idx="212">
                  <c:v>1612</c:v>
                </c:pt>
                <c:pt idx="213">
                  <c:v>1613</c:v>
                </c:pt>
                <c:pt idx="214">
                  <c:v>1614</c:v>
                </c:pt>
                <c:pt idx="215">
                  <c:v>1615</c:v>
                </c:pt>
                <c:pt idx="216">
                  <c:v>1616</c:v>
                </c:pt>
                <c:pt idx="217">
                  <c:v>1617</c:v>
                </c:pt>
                <c:pt idx="218">
                  <c:v>1618</c:v>
                </c:pt>
                <c:pt idx="219">
                  <c:v>1619</c:v>
                </c:pt>
                <c:pt idx="220">
                  <c:v>1620</c:v>
                </c:pt>
                <c:pt idx="221">
                  <c:v>1621</c:v>
                </c:pt>
                <c:pt idx="222">
                  <c:v>1622</c:v>
                </c:pt>
                <c:pt idx="223">
                  <c:v>1623</c:v>
                </c:pt>
                <c:pt idx="224">
                  <c:v>1624</c:v>
                </c:pt>
                <c:pt idx="225">
                  <c:v>1625</c:v>
                </c:pt>
                <c:pt idx="226">
                  <c:v>1626</c:v>
                </c:pt>
                <c:pt idx="227">
                  <c:v>1627</c:v>
                </c:pt>
                <c:pt idx="228">
                  <c:v>1628</c:v>
                </c:pt>
                <c:pt idx="229">
                  <c:v>1629</c:v>
                </c:pt>
                <c:pt idx="230">
                  <c:v>1630</c:v>
                </c:pt>
                <c:pt idx="231">
                  <c:v>1631</c:v>
                </c:pt>
                <c:pt idx="232">
                  <c:v>1632</c:v>
                </c:pt>
                <c:pt idx="233">
                  <c:v>1633</c:v>
                </c:pt>
                <c:pt idx="234">
                  <c:v>1634</c:v>
                </c:pt>
                <c:pt idx="235">
                  <c:v>1635</c:v>
                </c:pt>
                <c:pt idx="236">
                  <c:v>1636</c:v>
                </c:pt>
                <c:pt idx="237">
                  <c:v>1637</c:v>
                </c:pt>
                <c:pt idx="238">
                  <c:v>1638</c:v>
                </c:pt>
                <c:pt idx="239">
                  <c:v>1639</c:v>
                </c:pt>
                <c:pt idx="240">
                  <c:v>1640</c:v>
                </c:pt>
                <c:pt idx="241">
                  <c:v>1641</c:v>
                </c:pt>
                <c:pt idx="242">
                  <c:v>1642</c:v>
                </c:pt>
                <c:pt idx="243">
                  <c:v>1643</c:v>
                </c:pt>
                <c:pt idx="244">
                  <c:v>1644</c:v>
                </c:pt>
                <c:pt idx="245">
                  <c:v>1645</c:v>
                </c:pt>
                <c:pt idx="246">
                  <c:v>1646</c:v>
                </c:pt>
                <c:pt idx="247">
                  <c:v>1647</c:v>
                </c:pt>
                <c:pt idx="248">
                  <c:v>1648</c:v>
                </c:pt>
                <c:pt idx="249">
                  <c:v>1649</c:v>
                </c:pt>
                <c:pt idx="250">
                  <c:v>1650</c:v>
                </c:pt>
                <c:pt idx="251">
                  <c:v>1651</c:v>
                </c:pt>
                <c:pt idx="252">
                  <c:v>1652</c:v>
                </c:pt>
                <c:pt idx="253">
                  <c:v>1653</c:v>
                </c:pt>
                <c:pt idx="254">
                  <c:v>1654</c:v>
                </c:pt>
                <c:pt idx="255">
                  <c:v>1655</c:v>
                </c:pt>
                <c:pt idx="256">
                  <c:v>1656</c:v>
                </c:pt>
                <c:pt idx="257">
                  <c:v>1657</c:v>
                </c:pt>
                <c:pt idx="258">
                  <c:v>1658</c:v>
                </c:pt>
                <c:pt idx="259">
                  <c:v>1659</c:v>
                </c:pt>
                <c:pt idx="260">
                  <c:v>1660</c:v>
                </c:pt>
                <c:pt idx="261">
                  <c:v>1661</c:v>
                </c:pt>
                <c:pt idx="262">
                  <c:v>1662</c:v>
                </c:pt>
                <c:pt idx="263">
                  <c:v>1663</c:v>
                </c:pt>
                <c:pt idx="264">
                  <c:v>1664</c:v>
                </c:pt>
                <c:pt idx="265">
                  <c:v>1665</c:v>
                </c:pt>
                <c:pt idx="266">
                  <c:v>1666</c:v>
                </c:pt>
                <c:pt idx="267">
                  <c:v>1667</c:v>
                </c:pt>
                <c:pt idx="268">
                  <c:v>1668</c:v>
                </c:pt>
                <c:pt idx="269">
                  <c:v>1669</c:v>
                </c:pt>
                <c:pt idx="270">
                  <c:v>1670</c:v>
                </c:pt>
                <c:pt idx="271">
                  <c:v>1671</c:v>
                </c:pt>
                <c:pt idx="272">
                  <c:v>1672</c:v>
                </c:pt>
                <c:pt idx="273">
                  <c:v>1673</c:v>
                </c:pt>
                <c:pt idx="274">
                  <c:v>1674</c:v>
                </c:pt>
                <c:pt idx="275">
                  <c:v>1675</c:v>
                </c:pt>
                <c:pt idx="276">
                  <c:v>1676</c:v>
                </c:pt>
                <c:pt idx="277">
                  <c:v>1677</c:v>
                </c:pt>
                <c:pt idx="278">
                  <c:v>1678</c:v>
                </c:pt>
                <c:pt idx="279">
                  <c:v>1679</c:v>
                </c:pt>
                <c:pt idx="280">
                  <c:v>1680</c:v>
                </c:pt>
                <c:pt idx="281">
                  <c:v>1681</c:v>
                </c:pt>
                <c:pt idx="282">
                  <c:v>1682</c:v>
                </c:pt>
                <c:pt idx="283">
                  <c:v>1683</c:v>
                </c:pt>
                <c:pt idx="284">
                  <c:v>1684</c:v>
                </c:pt>
                <c:pt idx="285">
                  <c:v>1685</c:v>
                </c:pt>
                <c:pt idx="286">
                  <c:v>1686</c:v>
                </c:pt>
                <c:pt idx="287">
                  <c:v>1687</c:v>
                </c:pt>
                <c:pt idx="288">
                  <c:v>1688</c:v>
                </c:pt>
                <c:pt idx="289">
                  <c:v>1689</c:v>
                </c:pt>
                <c:pt idx="290">
                  <c:v>1690</c:v>
                </c:pt>
                <c:pt idx="291">
                  <c:v>1691</c:v>
                </c:pt>
                <c:pt idx="292">
                  <c:v>1692</c:v>
                </c:pt>
                <c:pt idx="293">
                  <c:v>1693</c:v>
                </c:pt>
                <c:pt idx="294">
                  <c:v>1694</c:v>
                </c:pt>
                <c:pt idx="295">
                  <c:v>1695</c:v>
                </c:pt>
                <c:pt idx="296">
                  <c:v>1696</c:v>
                </c:pt>
                <c:pt idx="297">
                  <c:v>1697</c:v>
                </c:pt>
                <c:pt idx="298">
                  <c:v>1698</c:v>
                </c:pt>
                <c:pt idx="299">
                  <c:v>1699</c:v>
                </c:pt>
                <c:pt idx="300">
                  <c:v>1700</c:v>
                </c:pt>
                <c:pt idx="301">
                  <c:v>1701</c:v>
                </c:pt>
                <c:pt idx="302">
                  <c:v>1702</c:v>
                </c:pt>
                <c:pt idx="303">
                  <c:v>1703</c:v>
                </c:pt>
                <c:pt idx="304">
                  <c:v>1704</c:v>
                </c:pt>
                <c:pt idx="305">
                  <c:v>1705</c:v>
                </c:pt>
                <c:pt idx="306">
                  <c:v>1706</c:v>
                </c:pt>
                <c:pt idx="307">
                  <c:v>1707</c:v>
                </c:pt>
                <c:pt idx="308">
                  <c:v>1708</c:v>
                </c:pt>
                <c:pt idx="309">
                  <c:v>1709</c:v>
                </c:pt>
                <c:pt idx="310">
                  <c:v>1710</c:v>
                </c:pt>
                <c:pt idx="311">
                  <c:v>1711</c:v>
                </c:pt>
                <c:pt idx="312">
                  <c:v>1712</c:v>
                </c:pt>
                <c:pt idx="313">
                  <c:v>1713</c:v>
                </c:pt>
                <c:pt idx="314">
                  <c:v>1714</c:v>
                </c:pt>
                <c:pt idx="315">
                  <c:v>1715</c:v>
                </c:pt>
                <c:pt idx="316">
                  <c:v>1716</c:v>
                </c:pt>
                <c:pt idx="317">
                  <c:v>1717</c:v>
                </c:pt>
                <c:pt idx="318">
                  <c:v>1718</c:v>
                </c:pt>
                <c:pt idx="319">
                  <c:v>1719</c:v>
                </c:pt>
                <c:pt idx="320">
                  <c:v>1720</c:v>
                </c:pt>
                <c:pt idx="321">
                  <c:v>1721</c:v>
                </c:pt>
                <c:pt idx="322">
                  <c:v>1722</c:v>
                </c:pt>
                <c:pt idx="323">
                  <c:v>1723</c:v>
                </c:pt>
                <c:pt idx="324">
                  <c:v>1724</c:v>
                </c:pt>
                <c:pt idx="325">
                  <c:v>1725</c:v>
                </c:pt>
                <c:pt idx="326">
                  <c:v>1726</c:v>
                </c:pt>
                <c:pt idx="327">
                  <c:v>1727</c:v>
                </c:pt>
                <c:pt idx="328">
                  <c:v>1728</c:v>
                </c:pt>
                <c:pt idx="329">
                  <c:v>1729</c:v>
                </c:pt>
                <c:pt idx="330">
                  <c:v>1730</c:v>
                </c:pt>
                <c:pt idx="331">
                  <c:v>1731</c:v>
                </c:pt>
                <c:pt idx="332">
                  <c:v>1732</c:v>
                </c:pt>
                <c:pt idx="333">
                  <c:v>1733</c:v>
                </c:pt>
                <c:pt idx="334">
                  <c:v>1734</c:v>
                </c:pt>
                <c:pt idx="335">
                  <c:v>1735</c:v>
                </c:pt>
                <c:pt idx="336">
                  <c:v>1736</c:v>
                </c:pt>
                <c:pt idx="337">
                  <c:v>1737</c:v>
                </c:pt>
                <c:pt idx="338">
                  <c:v>1738</c:v>
                </c:pt>
                <c:pt idx="339">
                  <c:v>1739</c:v>
                </c:pt>
                <c:pt idx="340">
                  <c:v>1740</c:v>
                </c:pt>
                <c:pt idx="341">
                  <c:v>1741</c:v>
                </c:pt>
                <c:pt idx="342">
                  <c:v>1742</c:v>
                </c:pt>
                <c:pt idx="343">
                  <c:v>1743</c:v>
                </c:pt>
                <c:pt idx="344">
                  <c:v>1744</c:v>
                </c:pt>
                <c:pt idx="345">
                  <c:v>1745</c:v>
                </c:pt>
                <c:pt idx="346">
                  <c:v>1746</c:v>
                </c:pt>
                <c:pt idx="347">
                  <c:v>1747</c:v>
                </c:pt>
                <c:pt idx="348">
                  <c:v>1748</c:v>
                </c:pt>
                <c:pt idx="349">
                  <c:v>1749</c:v>
                </c:pt>
                <c:pt idx="350">
                  <c:v>1750</c:v>
                </c:pt>
                <c:pt idx="351">
                  <c:v>1751</c:v>
                </c:pt>
                <c:pt idx="352">
                  <c:v>1752</c:v>
                </c:pt>
                <c:pt idx="353">
                  <c:v>1753</c:v>
                </c:pt>
                <c:pt idx="354">
                  <c:v>1754</c:v>
                </c:pt>
                <c:pt idx="355">
                  <c:v>1755</c:v>
                </c:pt>
                <c:pt idx="356">
                  <c:v>1756</c:v>
                </c:pt>
                <c:pt idx="357">
                  <c:v>1757</c:v>
                </c:pt>
                <c:pt idx="358">
                  <c:v>1758</c:v>
                </c:pt>
                <c:pt idx="359">
                  <c:v>1759</c:v>
                </c:pt>
                <c:pt idx="360">
                  <c:v>1760</c:v>
                </c:pt>
                <c:pt idx="361">
                  <c:v>1761</c:v>
                </c:pt>
                <c:pt idx="362">
                  <c:v>1762</c:v>
                </c:pt>
                <c:pt idx="363">
                  <c:v>1763</c:v>
                </c:pt>
                <c:pt idx="364">
                  <c:v>1764</c:v>
                </c:pt>
                <c:pt idx="365">
                  <c:v>1765</c:v>
                </c:pt>
                <c:pt idx="366">
                  <c:v>1766</c:v>
                </c:pt>
                <c:pt idx="367">
                  <c:v>1767</c:v>
                </c:pt>
                <c:pt idx="368">
                  <c:v>1768</c:v>
                </c:pt>
                <c:pt idx="369">
                  <c:v>1769</c:v>
                </c:pt>
                <c:pt idx="370">
                  <c:v>1770</c:v>
                </c:pt>
                <c:pt idx="371">
                  <c:v>1771</c:v>
                </c:pt>
                <c:pt idx="372">
                  <c:v>1772</c:v>
                </c:pt>
                <c:pt idx="373">
                  <c:v>1773</c:v>
                </c:pt>
                <c:pt idx="374">
                  <c:v>1774</c:v>
                </c:pt>
                <c:pt idx="375">
                  <c:v>1775</c:v>
                </c:pt>
                <c:pt idx="376">
                  <c:v>1776</c:v>
                </c:pt>
                <c:pt idx="377">
                  <c:v>1777</c:v>
                </c:pt>
                <c:pt idx="378">
                  <c:v>1778</c:v>
                </c:pt>
                <c:pt idx="379">
                  <c:v>1779</c:v>
                </c:pt>
                <c:pt idx="380">
                  <c:v>1780</c:v>
                </c:pt>
                <c:pt idx="381">
                  <c:v>1781</c:v>
                </c:pt>
                <c:pt idx="382">
                  <c:v>1782</c:v>
                </c:pt>
                <c:pt idx="383">
                  <c:v>1783</c:v>
                </c:pt>
                <c:pt idx="384">
                  <c:v>1784</c:v>
                </c:pt>
                <c:pt idx="385">
                  <c:v>1785</c:v>
                </c:pt>
                <c:pt idx="386">
                  <c:v>1786</c:v>
                </c:pt>
                <c:pt idx="387">
                  <c:v>1787</c:v>
                </c:pt>
                <c:pt idx="388">
                  <c:v>1788</c:v>
                </c:pt>
                <c:pt idx="389">
                  <c:v>1789</c:v>
                </c:pt>
                <c:pt idx="390">
                  <c:v>1790</c:v>
                </c:pt>
                <c:pt idx="391">
                  <c:v>1791</c:v>
                </c:pt>
                <c:pt idx="392">
                  <c:v>1792</c:v>
                </c:pt>
                <c:pt idx="393">
                  <c:v>1793</c:v>
                </c:pt>
                <c:pt idx="394">
                  <c:v>1794</c:v>
                </c:pt>
                <c:pt idx="395">
                  <c:v>1795</c:v>
                </c:pt>
                <c:pt idx="396">
                  <c:v>1796</c:v>
                </c:pt>
                <c:pt idx="397">
                  <c:v>1797</c:v>
                </c:pt>
                <c:pt idx="398">
                  <c:v>1798</c:v>
                </c:pt>
                <c:pt idx="399">
                  <c:v>1799</c:v>
                </c:pt>
                <c:pt idx="400">
                  <c:v>1800</c:v>
                </c:pt>
                <c:pt idx="401">
                  <c:v>1801</c:v>
                </c:pt>
                <c:pt idx="402">
                  <c:v>1802</c:v>
                </c:pt>
                <c:pt idx="403">
                  <c:v>1803</c:v>
                </c:pt>
                <c:pt idx="404">
                  <c:v>1804</c:v>
                </c:pt>
                <c:pt idx="405">
                  <c:v>1805</c:v>
                </c:pt>
                <c:pt idx="406">
                  <c:v>1806</c:v>
                </c:pt>
                <c:pt idx="407">
                  <c:v>1807</c:v>
                </c:pt>
                <c:pt idx="408">
                  <c:v>1808</c:v>
                </c:pt>
                <c:pt idx="409">
                  <c:v>1809</c:v>
                </c:pt>
                <c:pt idx="410">
                  <c:v>1810</c:v>
                </c:pt>
                <c:pt idx="411">
                  <c:v>1811</c:v>
                </c:pt>
                <c:pt idx="412">
                  <c:v>1812</c:v>
                </c:pt>
                <c:pt idx="413">
                  <c:v>1813</c:v>
                </c:pt>
                <c:pt idx="414">
                  <c:v>1814</c:v>
                </c:pt>
                <c:pt idx="415">
                  <c:v>1815</c:v>
                </c:pt>
                <c:pt idx="416">
                  <c:v>1816</c:v>
                </c:pt>
                <c:pt idx="417">
                  <c:v>1817</c:v>
                </c:pt>
                <c:pt idx="418">
                  <c:v>1818</c:v>
                </c:pt>
                <c:pt idx="419">
                  <c:v>1819</c:v>
                </c:pt>
                <c:pt idx="420">
                  <c:v>1820</c:v>
                </c:pt>
                <c:pt idx="421">
                  <c:v>1821</c:v>
                </c:pt>
                <c:pt idx="422">
                  <c:v>1822</c:v>
                </c:pt>
                <c:pt idx="423">
                  <c:v>1823</c:v>
                </c:pt>
                <c:pt idx="424">
                  <c:v>1824</c:v>
                </c:pt>
                <c:pt idx="425">
                  <c:v>1825</c:v>
                </c:pt>
                <c:pt idx="426">
                  <c:v>1826</c:v>
                </c:pt>
                <c:pt idx="427">
                  <c:v>1827</c:v>
                </c:pt>
                <c:pt idx="428">
                  <c:v>1828</c:v>
                </c:pt>
                <c:pt idx="429">
                  <c:v>1829</c:v>
                </c:pt>
                <c:pt idx="430">
                  <c:v>1830</c:v>
                </c:pt>
                <c:pt idx="431">
                  <c:v>1831</c:v>
                </c:pt>
                <c:pt idx="432">
                  <c:v>1832</c:v>
                </c:pt>
                <c:pt idx="433">
                  <c:v>1833</c:v>
                </c:pt>
                <c:pt idx="434">
                  <c:v>1834</c:v>
                </c:pt>
                <c:pt idx="435">
                  <c:v>1835</c:v>
                </c:pt>
                <c:pt idx="436">
                  <c:v>1836</c:v>
                </c:pt>
                <c:pt idx="437">
                  <c:v>1837</c:v>
                </c:pt>
                <c:pt idx="438">
                  <c:v>1838</c:v>
                </c:pt>
                <c:pt idx="439">
                  <c:v>1839</c:v>
                </c:pt>
                <c:pt idx="440">
                  <c:v>1840</c:v>
                </c:pt>
                <c:pt idx="441">
                  <c:v>1841</c:v>
                </c:pt>
                <c:pt idx="442">
                  <c:v>1842</c:v>
                </c:pt>
                <c:pt idx="443">
                  <c:v>1843</c:v>
                </c:pt>
                <c:pt idx="444">
                  <c:v>1844</c:v>
                </c:pt>
                <c:pt idx="445">
                  <c:v>1845</c:v>
                </c:pt>
                <c:pt idx="446">
                  <c:v>1846</c:v>
                </c:pt>
                <c:pt idx="447">
                  <c:v>1847</c:v>
                </c:pt>
                <c:pt idx="448">
                  <c:v>1848</c:v>
                </c:pt>
                <c:pt idx="449">
                  <c:v>1849</c:v>
                </c:pt>
                <c:pt idx="450">
                  <c:v>1850</c:v>
                </c:pt>
                <c:pt idx="451">
                  <c:v>1851</c:v>
                </c:pt>
                <c:pt idx="452">
                  <c:v>1852</c:v>
                </c:pt>
                <c:pt idx="453">
                  <c:v>1853</c:v>
                </c:pt>
                <c:pt idx="454">
                  <c:v>1854</c:v>
                </c:pt>
                <c:pt idx="455">
                  <c:v>1855</c:v>
                </c:pt>
                <c:pt idx="456">
                  <c:v>1856</c:v>
                </c:pt>
                <c:pt idx="457">
                  <c:v>1857</c:v>
                </c:pt>
                <c:pt idx="458">
                  <c:v>1858</c:v>
                </c:pt>
                <c:pt idx="459">
                  <c:v>1859</c:v>
                </c:pt>
                <c:pt idx="460">
                  <c:v>1860</c:v>
                </c:pt>
                <c:pt idx="461">
                  <c:v>1861</c:v>
                </c:pt>
                <c:pt idx="462">
                  <c:v>1862</c:v>
                </c:pt>
                <c:pt idx="463">
                  <c:v>1863</c:v>
                </c:pt>
                <c:pt idx="464">
                  <c:v>1864</c:v>
                </c:pt>
                <c:pt idx="465">
                  <c:v>1865</c:v>
                </c:pt>
                <c:pt idx="466">
                  <c:v>1866</c:v>
                </c:pt>
                <c:pt idx="467">
                  <c:v>1867</c:v>
                </c:pt>
                <c:pt idx="468">
                  <c:v>1868</c:v>
                </c:pt>
                <c:pt idx="469">
                  <c:v>1869</c:v>
                </c:pt>
                <c:pt idx="470">
                  <c:v>1870</c:v>
                </c:pt>
                <c:pt idx="471">
                  <c:v>1871</c:v>
                </c:pt>
                <c:pt idx="472">
                  <c:v>1872</c:v>
                </c:pt>
                <c:pt idx="473">
                  <c:v>1873</c:v>
                </c:pt>
                <c:pt idx="474">
                  <c:v>1874</c:v>
                </c:pt>
                <c:pt idx="475">
                  <c:v>1875</c:v>
                </c:pt>
                <c:pt idx="476">
                  <c:v>1876</c:v>
                </c:pt>
                <c:pt idx="477">
                  <c:v>1877</c:v>
                </c:pt>
                <c:pt idx="478">
                  <c:v>1878</c:v>
                </c:pt>
                <c:pt idx="479">
                  <c:v>1879</c:v>
                </c:pt>
                <c:pt idx="480">
                  <c:v>1880</c:v>
                </c:pt>
                <c:pt idx="481">
                  <c:v>1881</c:v>
                </c:pt>
                <c:pt idx="482">
                  <c:v>1882</c:v>
                </c:pt>
                <c:pt idx="483">
                  <c:v>1883</c:v>
                </c:pt>
                <c:pt idx="484">
                  <c:v>1884</c:v>
                </c:pt>
                <c:pt idx="485">
                  <c:v>1885</c:v>
                </c:pt>
                <c:pt idx="486">
                  <c:v>1886</c:v>
                </c:pt>
                <c:pt idx="487">
                  <c:v>1887</c:v>
                </c:pt>
                <c:pt idx="488">
                  <c:v>1888</c:v>
                </c:pt>
                <c:pt idx="489">
                  <c:v>1889</c:v>
                </c:pt>
                <c:pt idx="490">
                  <c:v>1890</c:v>
                </c:pt>
                <c:pt idx="491">
                  <c:v>1891</c:v>
                </c:pt>
                <c:pt idx="492">
                  <c:v>1892</c:v>
                </c:pt>
                <c:pt idx="493">
                  <c:v>1893</c:v>
                </c:pt>
                <c:pt idx="494">
                  <c:v>1894</c:v>
                </c:pt>
                <c:pt idx="495">
                  <c:v>1895</c:v>
                </c:pt>
                <c:pt idx="496">
                  <c:v>1896</c:v>
                </c:pt>
                <c:pt idx="497">
                  <c:v>1897</c:v>
                </c:pt>
                <c:pt idx="498">
                  <c:v>1898</c:v>
                </c:pt>
                <c:pt idx="499">
                  <c:v>1899</c:v>
                </c:pt>
                <c:pt idx="500">
                  <c:v>1900</c:v>
                </c:pt>
                <c:pt idx="501">
                  <c:v>1901</c:v>
                </c:pt>
                <c:pt idx="502">
                  <c:v>1902</c:v>
                </c:pt>
                <c:pt idx="503">
                  <c:v>1903</c:v>
                </c:pt>
                <c:pt idx="504">
                  <c:v>1904</c:v>
                </c:pt>
                <c:pt idx="505">
                  <c:v>1905</c:v>
                </c:pt>
                <c:pt idx="506">
                  <c:v>1906</c:v>
                </c:pt>
                <c:pt idx="507">
                  <c:v>1907</c:v>
                </c:pt>
                <c:pt idx="508">
                  <c:v>1908</c:v>
                </c:pt>
                <c:pt idx="509">
                  <c:v>1909</c:v>
                </c:pt>
                <c:pt idx="510">
                  <c:v>1910</c:v>
                </c:pt>
                <c:pt idx="511">
                  <c:v>1911</c:v>
                </c:pt>
                <c:pt idx="512">
                  <c:v>1912</c:v>
                </c:pt>
                <c:pt idx="513">
                  <c:v>1913</c:v>
                </c:pt>
                <c:pt idx="514">
                  <c:v>1914</c:v>
                </c:pt>
                <c:pt idx="515">
                  <c:v>1915</c:v>
                </c:pt>
                <c:pt idx="516">
                  <c:v>1916</c:v>
                </c:pt>
                <c:pt idx="517">
                  <c:v>1917</c:v>
                </c:pt>
                <c:pt idx="518">
                  <c:v>1918</c:v>
                </c:pt>
                <c:pt idx="519">
                  <c:v>1919</c:v>
                </c:pt>
                <c:pt idx="520">
                  <c:v>1920</c:v>
                </c:pt>
                <c:pt idx="521">
                  <c:v>1921</c:v>
                </c:pt>
                <c:pt idx="522">
                  <c:v>1922</c:v>
                </c:pt>
                <c:pt idx="523">
                  <c:v>1923</c:v>
                </c:pt>
                <c:pt idx="524">
                  <c:v>1924</c:v>
                </c:pt>
                <c:pt idx="525">
                  <c:v>1925</c:v>
                </c:pt>
                <c:pt idx="526">
                  <c:v>1926</c:v>
                </c:pt>
                <c:pt idx="527">
                  <c:v>1927</c:v>
                </c:pt>
                <c:pt idx="528">
                  <c:v>1928</c:v>
                </c:pt>
                <c:pt idx="529">
                  <c:v>1929</c:v>
                </c:pt>
                <c:pt idx="530">
                  <c:v>1930</c:v>
                </c:pt>
                <c:pt idx="531">
                  <c:v>1931</c:v>
                </c:pt>
                <c:pt idx="532">
                  <c:v>1932</c:v>
                </c:pt>
                <c:pt idx="533">
                  <c:v>1933</c:v>
                </c:pt>
                <c:pt idx="534">
                  <c:v>1934</c:v>
                </c:pt>
                <c:pt idx="535">
                  <c:v>1935</c:v>
                </c:pt>
                <c:pt idx="536">
                  <c:v>1936</c:v>
                </c:pt>
                <c:pt idx="537">
                  <c:v>1937</c:v>
                </c:pt>
                <c:pt idx="538">
                  <c:v>1938</c:v>
                </c:pt>
                <c:pt idx="539">
                  <c:v>1939</c:v>
                </c:pt>
                <c:pt idx="540">
                  <c:v>1940</c:v>
                </c:pt>
                <c:pt idx="541">
                  <c:v>1941</c:v>
                </c:pt>
                <c:pt idx="542">
                  <c:v>1942</c:v>
                </c:pt>
                <c:pt idx="543">
                  <c:v>1943</c:v>
                </c:pt>
                <c:pt idx="544">
                  <c:v>1944</c:v>
                </c:pt>
                <c:pt idx="545">
                  <c:v>1945</c:v>
                </c:pt>
                <c:pt idx="546">
                  <c:v>1946</c:v>
                </c:pt>
                <c:pt idx="547">
                  <c:v>1947</c:v>
                </c:pt>
                <c:pt idx="548">
                  <c:v>1948</c:v>
                </c:pt>
                <c:pt idx="549">
                  <c:v>1949</c:v>
                </c:pt>
                <c:pt idx="550">
                  <c:v>1950</c:v>
                </c:pt>
                <c:pt idx="551">
                  <c:v>1951</c:v>
                </c:pt>
                <c:pt idx="552">
                  <c:v>1952</c:v>
                </c:pt>
                <c:pt idx="553">
                  <c:v>1953</c:v>
                </c:pt>
                <c:pt idx="554">
                  <c:v>1954</c:v>
                </c:pt>
                <c:pt idx="555">
                  <c:v>1955</c:v>
                </c:pt>
                <c:pt idx="556">
                  <c:v>1956</c:v>
                </c:pt>
                <c:pt idx="557">
                  <c:v>1957</c:v>
                </c:pt>
                <c:pt idx="558">
                  <c:v>1958</c:v>
                </c:pt>
                <c:pt idx="559">
                  <c:v>1959</c:v>
                </c:pt>
                <c:pt idx="560">
                  <c:v>1960</c:v>
                </c:pt>
                <c:pt idx="561">
                  <c:v>1961</c:v>
                </c:pt>
                <c:pt idx="562">
                  <c:v>1962</c:v>
                </c:pt>
                <c:pt idx="563">
                  <c:v>1963</c:v>
                </c:pt>
                <c:pt idx="564">
                  <c:v>1964</c:v>
                </c:pt>
                <c:pt idx="565">
                  <c:v>1965</c:v>
                </c:pt>
                <c:pt idx="566">
                  <c:v>1966</c:v>
                </c:pt>
                <c:pt idx="567">
                  <c:v>1967</c:v>
                </c:pt>
                <c:pt idx="568">
                  <c:v>1968</c:v>
                </c:pt>
                <c:pt idx="569">
                  <c:v>1969</c:v>
                </c:pt>
                <c:pt idx="570">
                  <c:v>1970</c:v>
                </c:pt>
                <c:pt idx="571">
                  <c:v>1971</c:v>
                </c:pt>
                <c:pt idx="572">
                  <c:v>1972</c:v>
                </c:pt>
                <c:pt idx="573">
                  <c:v>1973</c:v>
                </c:pt>
                <c:pt idx="574">
                  <c:v>1974</c:v>
                </c:pt>
                <c:pt idx="575">
                  <c:v>1975</c:v>
                </c:pt>
                <c:pt idx="576">
                  <c:v>1976</c:v>
                </c:pt>
                <c:pt idx="577">
                  <c:v>1977</c:v>
                </c:pt>
                <c:pt idx="578">
                  <c:v>1978</c:v>
                </c:pt>
                <c:pt idx="579">
                  <c:v>1979</c:v>
                </c:pt>
                <c:pt idx="580">
                  <c:v>1980</c:v>
                </c:pt>
                <c:pt idx="581">
                  <c:v>1981</c:v>
                </c:pt>
                <c:pt idx="582">
                  <c:v>1982</c:v>
                </c:pt>
                <c:pt idx="583">
                  <c:v>1983</c:v>
                </c:pt>
                <c:pt idx="584">
                  <c:v>1984</c:v>
                </c:pt>
                <c:pt idx="585">
                  <c:v>1985</c:v>
                </c:pt>
                <c:pt idx="586">
                  <c:v>1986</c:v>
                </c:pt>
                <c:pt idx="587">
                  <c:v>1987</c:v>
                </c:pt>
                <c:pt idx="588">
                  <c:v>1988</c:v>
                </c:pt>
                <c:pt idx="589">
                  <c:v>1989</c:v>
                </c:pt>
                <c:pt idx="590">
                  <c:v>1990</c:v>
                </c:pt>
                <c:pt idx="591">
                  <c:v>1991</c:v>
                </c:pt>
                <c:pt idx="592">
                  <c:v>1992</c:v>
                </c:pt>
                <c:pt idx="593">
                  <c:v>1993</c:v>
                </c:pt>
                <c:pt idx="594">
                  <c:v>1994</c:v>
                </c:pt>
                <c:pt idx="595">
                  <c:v>1995</c:v>
                </c:pt>
                <c:pt idx="596">
                  <c:v>1996</c:v>
                </c:pt>
                <c:pt idx="597">
                  <c:v>1997</c:v>
                </c:pt>
                <c:pt idx="598">
                  <c:v>1998</c:v>
                </c:pt>
                <c:pt idx="599">
                  <c:v>1999</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numCache>
            </c:numRef>
          </c:val>
          <c:smooth val="0"/>
        </c:ser>
        <c:dLbls>
          <c:showLegendKey val="0"/>
          <c:showVal val="0"/>
          <c:showCatName val="0"/>
          <c:showSerName val="0"/>
          <c:showPercent val="0"/>
          <c:showBubbleSize val="0"/>
        </c:dLbls>
        <c:marker val="1"/>
        <c:smooth val="0"/>
        <c:axId val="339302504"/>
        <c:axId val="337109024"/>
      </c:lineChart>
      <c:catAx>
        <c:axId val="339302504"/>
        <c:scaling>
          <c:orientation val="minMax"/>
        </c:scaling>
        <c:delete val="0"/>
        <c:axPos val="b"/>
        <c:title>
          <c:tx>
            <c:rich>
              <a:bodyPr/>
              <a:lstStyle/>
              <a:p>
                <a:pPr>
                  <a:defRPr/>
                </a:pPr>
                <a:r>
                  <a:rPr lang="en-US"/>
                  <a:t>cost of process 2 hourly ($B$17)</a:t>
                </a:r>
              </a:p>
            </c:rich>
          </c:tx>
          <c:overlay val="0"/>
        </c:title>
        <c:numFmt formatCode="_(&quot;$&quot;* #,##0.00_);_(&quot;$&quot;* \(#,##0.00\);_(&quot;$&quot;* &quot;-&quot;??_);_(@_)" sourceLinked="1"/>
        <c:majorTickMark val="out"/>
        <c:minorTickMark val="none"/>
        <c:tickLblPos val="nextTo"/>
        <c:crossAx val="337109024"/>
        <c:crosses val="autoZero"/>
        <c:auto val="1"/>
        <c:lblAlgn val="ctr"/>
        <c:lblOffset val="100"/>
        <c:noMultiLvlLbl val="0"/>
      </c:catAx>
      <c:valAx>
        <c:axId val="337109024"/>
        <c:scaling>
          <c:orientation val="minMax"/>
        </c:scaling>
        <c:delete val="0"/>
        <c:axPos val="l"/>
        <c:majorGridlines/>
        <c:numFmt formatCode="General" sourceLinked="1"/>
        <c:majorTickMark val="out"/>
        <c:minorTickMark val="none"/>
        <c:tickLblPos val="nextTo"/>
        <c:crossAx val="339302504"/>
        <c:crosses val="autoZero"/>
        <c:crossBetween val="between"/>
      </c:valAx>
    </c:plotArea>
    <c:plotVisOnly val="1"/>
    <c:dispBlanksAs val="gap"/>
    <c:showDLblsOverMax val="0"/>
  </c:chart>
  <c:spPr>
    <a:ln w="15875" cap="flat" cmpd="sng" algn="ctr">
      <a:solidFill>
        <a:schemeClr val="accent1">
          <a:lumMod val="100000"/>
        </a:schemeClr>
      </a:solidFill>
      <a:prstDash val="solid"/>
      <a:round/>
      <a:headEnd type="none" w="med" len="med"/>
      <a:tailEnd type="none" w="med" len="me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STS_Ch3_Q26!$K$1</c:f>
          <c:strCache>
            <c:ptCount val="1"/>
            <c:pt idx="0">
              <c:v>Sensitivity of Profit_Q26 to Availability of wood</c:v>
            </c:pt>
          </c:strCache>
        </c:strRef>
      </c:tx>
      <c:overlay val="0"/>
      <c:txPr>
        <a:bodyPr/>
        <a:lstStyle/>
        <a:p>
          <a:pPr>
            <a:defRPr sz="1200"/>
          </a:pPr>
          <a:endParaRPr lang="en-US"/>
        </a:p>
      </c:txPr>
    </c:title>
    <c:autoTitleDeleted val="0"/>
    <c:plotArea>
      <c:layout/>
      <c:lineChart>
        <c:grouping val="standard"/>
        <c:varyColors val="0"/>
        <c:ser>
          <c:idx val="0"/>
          <c:order val="0"/>
          <c:cat>
            <c:numRef>
              <c:f>STS_Ch3_Q26!$A$5:$A$25</c:f>
              <c:numCache>
                <c:formatCode>General</c:formatCode>
                <c:ptCount val="21"/>
                <c:pt idx="0">
                  <c:v>1000</c:v>
                </c:pt>
                <c:pt idx="1">
                  <c:v>1100</c:v>
                </c:pt>
                <c:pt idx="2">
                  <c:v>1200</c:v>
                </c:pt>
                <c:pt idx="3">
                  <c:v>1300</c:v>
                </c:pt>
                <c:pt idx="4">
                  <c:v>1400</c:v>
                </c:pt>
                <c:pt idx="5">
                  <c:v>1500</c:v>
                </c:pt>
                <c:pt idx="6">
                  <c:v>1600</c:v>
                </c:pt>
                <c:pt idx="7">
                  <c:v>1700</c:v>
                </c:pt>
                <c:pt idx="8">
                  <c:v>1800</c:v>
                </c:pt>
                <c:pt idx="9">
                  <c:v>1900</c:v>
                </c:pt>
                <c:pt idx="10">
                  <c:v>2000</c:v>
                </c:pt>
                <c:pt idx="11">
                  <c:v>2100</c:v>
                </c:pt>
                <c:pt idx="12">
                  <c:v>2200</c:v>
                </c:pt>
                <c:pt idx="13">
                  <c:v>2300</c:v>
                </c:pt>
                <c:pt idx="14">
                  <c:v>2400</c:v>
                </c:pt>
                <c:pt idx="15">
                  <c:v>2500</c:v>
                </c:pt>
                <c:pt idx="16">
                  <c:v>2600</c:v>
                </c:pt>
                <c:pt idx="17">
                  <c:v>2700</c:v>
                </c:pt>
                <c:pt idx="18">
                  <c:v>2800</c:v>
                </c:pt>
                <c:pt idx="19">
                  <c:v>2900</c:v>
                </c:pt>
                <c:pt idx="20">
                  <c:v>3000</c:v>
                </c:pt>
              </c:numCache>
            </c:numRef>
          </c:cat>
          <c:val>
            <c:numRef>
              <c:f>STS_Ch3_Q26!$K$5:$K$25</c:f>
              <c:numCache>
                <c:formatCode>General</c:formatCode>
                <c:ptCount val="21"/>
                <c:pt idx="0">
                  <c:v>90000</c:v>
                </c:pt>
                <c:pt idx="1">
                  <c:v>99000</c:v>
                </c:pt>
                <c:pt idx="2">
                  <c:v>108000</c:v>
                </c:pt>
                <c:pt idx="3">
                  <c:v>117000</c:v>
                </c:pt>
                <c:pt idx="4">
                  <c:v>126000</c:v>
                </c:pt>
                <c:pt idx="5">
                  <c:v>135000</c:v>
                </c:pt>
                <c:pt idx="6">
                  <c:v>144000</c:v>
                </c:pt>
                <c:pt idx="7">
                  <c:v>153000</c:v>
                </c:pt>
                <c:pt idx="8">
                  <c:v>162000</c:v>
                </c:pt>
                <c:pt idx="9">
                  <c:v>171000</c:v>
                </c:pt>
                <c:pt idx="10">
                  <c:v>180000</c:v>
                </c:pt>
                <c:pt idx="11">
                  <c:v>189000</c:v>
                </c:pt>
                <c:pt idx="12">
                  <c:v>198000</c:v>
                </c:pt>
                <c:pt idx="13">
                  <c:v>207000</c:v>
                </c:pt>
                <c:pt idx="14">
                  <c:v>216000</c:v>
                </c:pt>
                <c:pt idx="15">
                  <c:v>225000</c:v>
                </c:pt>
                <c:pt idx="16">
                  <c:v>234000</c:v>
                </c:pt>
                <c:pt idx="17">
                  <c:v>243000</c:v>
                </c:pt>
                <c:pt idx="18">
                  <c:v>252000</c:v>
                </c:pt>
                <c:pt idx="19">
                  <c:v>261000</c:v>
                </c:pt>
                <c:pt idx="20">
                  <c:v>270000</c:v>
                </c:pt>
              </c:numCache>
            </c:numRef>
          </c:val>
          <c:smooth val="0"/>
        </c:ser>
        <c:dLbls>
          <c:showLegendKey val="0"/>
          <c:showVal val="0"/>
          <c:showCatName val="0"/>
          <c:showSerName val="0"/>
          <c:showPercent val="0"/>
          <c:showBubbleSize val="0"/>
        </c:dLbls>
        <c:marker val="1"/>
        <c:smooth val="0"/>
        <c:axId val="337114904"/>
        <c:axId val="337115688"/>
      </c:lineChart>
      <c:catAx>
        <c:axId val="337114904"/>
        <c:scaling>
          <c:orientation val="minMax"/>
        </c:scaling>
        <c:delete val="0"/>
        <c:axPos val="b"/>
        <c:title>
          <c:tx>
            <c:rich>
              <a:bodyPr/>
              <a:lstStyle/>
              <a:p>
                <a:pPr>
                  <a:defRPr/>
                </a:pPr>
                <a:r>
                  <a:rPr lang="en-US"/>
                  <a:t>Availability of wood ($H$21)</a:t>
                </a:r>
              </a:p>
            </c:rich>
          </c:tx>
          <c:overlay val="0"/>
        </c:title>
        <c:numFmt formatCode="General" sourceLinked="1"/>
        <c:majorTickMark val="out"/>
        <c:minorTickMark val="none"/>
        <c:tickLblPos val="nextTo"/>
        <c:crossAx val="337115688"/>
        <c:crosses val="autoZero"/>
        <c:auto val="1"/>
        <c:lblAlgn val="ctr"/>
        <c:lblOffset val="100"/>
        <c:noMultiLvlLbl val="0"/>
      </c:catAx>
      <c:valAx>
        <c:axId val="337115688"/>
        <c:scaling>
          <c:orientation val="minMax"/>
        </c:scaling>
        <c:delete val="0"/>
        <c:axPos val="l"/>
        <c:majorGridlines/>
        <c:numFmt formatCode="General" sourceLinked="1"/>
        <c:majorTickMark val="out"/>
        <c:minorTickMark val="none"/>
        <c:tickLblPos val="nextTo"/>
        <c:crossAx val="337114904"/>
        <c:crosses val="autoZero"/>
        <c:crossBetween val="between"/>
      </c:valAx>
    </c:plotArea>
    <c:plotVisOnly val="1"/>
    <c:dispBlanksAs val="gap"/>
    <c:showDLblsOverMax val="0"/>
  </c:chart>
  <c:spPr>
    <a:ln w="15875" cap="flat" cmpd="sng" algn="ctr">
      <a:solidFill>
        <a:schemeClr val="accent1">
          <a:lumMod val="100000"/>
        </a:schemeClr>
      </a:solidFill>
      <a:prstDash val="solid"/>
      <a:round/>
      <a:headEnd type="none" w="med" len="med"/>
      <a:tailEnd type="none" w="med" len="me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STS1_Ch3_Q29_b!$K$1</c:f>
          <c:strCache>
            <c:ptCount val="1"/>
            <c:pt idx="0">
              <c:v>Sensitivity of Production_Q29_3 to Given factor</c:v>
            </c:pt>
          </c:strCache>
        </c:strRef>
      </c:tx>
      <c:layout/>
      <c:overlay val="0"/>
      <c:txPr>
        <a:bodyPr/>
        <a:lstStyle/>
        <a:p>
          <a:pPr>
            <a:defRPr sz="1200"/>
          </a:pPr>
          <a:endParaRPr lang="en-US"/>
        </a:p>
      </c:txPr>
    </c:title>
    <c:autoTitleDeleted val="0"/>
    <c:plotArea>
      <c:layout/>
      <c:lineChart>
        <c:grouping val="standard"/>
        <c:varyColors val="0"/>
        <c:ser>
          <c:idx val="0"/>
          <c:order val="0"/>
          <c:cat>
            <c:numRef>
              <c:f>STS1_Ch3_Q29_b!$A$5:$A$15</c:f>
              <c:numCache>
                <c:formatCode>0</c:formatCode>
                <c:ptCount val="11"/>
                <c:pt idx="0">
                  <c:v>0</c:v>
                </c:pt>
                <c:pt idx="1">
                  <c:v>1</c:v>
                </c:pt>
                <c:pt idx="2">
                  <c:v>2</c:v>
                </c:pt>
                <c:pt idx="3">
                  <c:v>3</c:v>
                </c:pt>
                <c:pt idx="4">
                  <c:v>4</c:v>
                </c:pt>
                <c:pt idx="5">
                  <c:v>5</c:v>
                </c:pt>
                <c:pt idx="6">
                  <c:v>6</c:v>
                </c:pt>
                <c:pt idx="7">
                  <c:v>7</c:v>
                </c:pt>
                <c:pt idx="8">
                  <c:v>8</c:v>
                </c:pt>
                <c:pt idx="9">
                  <c:v>9</c:v>
                </c:pt>
                <c:pt idx="10">
                  <c:v>10</c:v>
                </c:pt>
              </c:numCache>
            </c:numRef>
          </c:cat>
          <c:val>
            <c:numRef>
              <c:f>STS1_Ch3_Q29_b!$K$5:$K$15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ser>
        <c:dLbls>
          <c:showLegendKey val="0"/>
          <c:showVal val="0"/>
          <c:showCatName val="0"/>
          <c:showSerName val="0"/>
          <c:showPercent val="0"/>
          <c:showBubbleSize val="0"/>
        </c:dLbls>
        <c:marker val="1"/>
        <c:smooth val="0"/>
        <c:axId val="494266584"/>
        <c:axId val="494258352"/>
      </c:lineChart>
      <c:catAx>
        <c:axId val="494266584"/>
        <c:scaling>
          <c:orientation val="minMax"/>
        </c:scaling>
        <c:delete val="0"/>
        <c:axPos val="b"/>
        <c:title>
          <c:tx>
            <c:rich>
              <a:bodyPr/>
              <a:lstStyle/>
              <a:p>
                <a:pPr>
                  <a:defRPr/>
                </a:pPr>
                <a:r>
                  <a:rPr lang="en-US"/>
                  <a:t>Given factor ($B$18)</a:t>
                </a:r>
              </a:p>
            </c:rich>
          </c:tx>
          <c:layout/>
          <c:overlay val="0"/>
        </c:title>
        <c:numFmt formatCode="0" sourceLinked="1"/>
        <c:majorTickMark val="out"/>
        <c:minorTickMark val="none"/>
        <c:tickLblPos val="nextTo"/>
        <c:crossAx val="494258352"/>
        <c:crosses val="autoZero"/>
        <c:auto val="1"/>
        <c:lblAlgn val="ctr"/>
        <c:lblOffset val="100"/>
        <c:noMultiLvlLbl val="0"/>
      </c:catAx>
      <c:valAx>
        <c:axId val="494258352"/>
        <c:scaling>
          <c:orientation val="minMax"/>
        </c:scaling>
        <c:delete val="0"/>
        <c:axPos val="l"/>
        <c:majorGridlines/>
        <c:numFmt formatCode="General" sourceLinked="1"/>
        <c:majorTickMark val="out"/>
        <c:minorTickMark val="none"/>
        <c:tickLblPos val="nextTo"/>
        <c:crossAx val="494266584"/>
        <c:crosses val="autoZero"/>
        <c:crossBetween val="between"/>
      </c:valAx>
    </c:plotArea>
    <c:plotVisOnly val="1"/>
    <c:dispBlanksAs val="gap"/>
    <c:showDLblsOverMax val="0"/>
  </c:chart>
  <c:spPr>
    <a:ln w="15875" cap="flat" cmpd="sng" algn="ctr">
      <a:solidFill>
        <a:schemeClr val="accent1">
          <a:lumMod val="100000"/>
        </a:schemeClr>
      </a:solidFill>
      <a:prstDash val="solid"/>
      <a:round/>
      <a:headEnd type="none" w="med" len="med"/>
      <a:tailEnd type="none" w="med" len="me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STSTS2_Ch3_Q29_b!$K$1</c:f>
          <c:strCache>
            <c:ptCount val="1"/>
            <c:pt idx="0">
              <c:v>Sensitivity of Production_Q29_3 to Given factor</c:v>
            </c:pt>
          </c:strCache>
        </c:strRef>
      </c:tx>
      <c:layout/>
      <c:overlay val="0"/>
      <c:txPr>
        <a:bodyPr/>
        <a:lstStyle/>
        <a:p>
          <a:pPr>
            <a:defRPr sz="1200"/>
          </a:pPr>
          <a:endParaRPr lang="en-US"/>
        </a:p>
      </c:txPr>
    </c:title>
    <c:autoTitleDeleted val="0"/>
    <c:plotArea>
      <c:layout/>
      <c:lineChart>
        <c:grouping val="standard"/>
        <c:varyColors val="0"/>
        <c:ser>
          <c:idx val="0"/>
          <c:order val="0"/>
          <c:cat>
            <c:numRef>
              <c:f>STSTS2_Ch3_Q29_b!$A$5:$A$105</c:f>
              <c:numCache>
                <c:formatCode>0</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STSTS2_Ch3_Q29_b!$K$5:$K$105</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smooth val="0"/>
        </c:ser>
        <c:dLbls>
          <c:showLegendKey val="0"/>
          <c:showVal val="0"/>
          <c:showCatName val="0"/>
          <c:showSerName val="0"/>
          <c:showPercent val="0"/>
          <c:showBubbleSize val="0"/>
        </c:dLbls>
        <c:marker val="1"/>
        <c:smooth val="0"/>
        <c:axId val="494273640"/>
        <c:axId val="494272856"/>
      </c:lineChart>
      <c:catAx>
        <c:axId val="494273640"/>
        <c:scaling>
          <c:orientation val="minMax"/>
        </c:scaling>
        <c:delete val="0"/>
        <c:axPos val="b"/>
        <c:title>
          <c:tx>
            <c:rich>
              <a:bodyPr/>
              <a:lstStyle/>
              <a:p>
                <a:pPr>
                  <a:defRPr/>
                </a:pPr>
                <a:r>
                  <a:rPr lang="en-US"/>
                  <a:t>Given factor ($B$18)</a:t>
                </a:r>
              </a:p>
            </c:rich>
          </c:tx>
          <c:layout/>
          <c:overlay val="0"/>
        </c:title>
        <c:numFmt formatCode="0" sourceLinked="1"/>
        <c:majorTickMark val="out"/>
        <c:minorTickMark val="none"/>
        <c:tickLblPos val="nextTo"/>
        <c:crossAx val="494272856"/>
        <c:crosses val="autoZero"/>
        <c:auto val="1"/>
        <c:lblAlgn val="ctr"/>
        <c:lblOffset val="100"/>
        <c:noMultiLvlLbl val="0"/>
      </c:catAx>
      <c:valAx>
        <c:axId val="494272856"/>
        <c:scaling>
          <c:orientation val="minMax"/>
        </c:scaling>
        <c:delete val="0"/>
        <c:axPos val="l"/>
        <c:majorGridlines/>
        <c:numFmt formatCode="General" sourceLinked="1"/>
        <c:majorTickMark val="out"/>
        <c:minorTickMark val="none"/>
        <c:tickLblPos val="nextTo"/>
        <c:crossAx val="494273640"/>
        <c:crosses val="autoZero"/>
        <c:crossBetween val="between"/>
      </c:valAx>
    </c:plotArea>
    <c:plotVisOnly val="1"/>
    <c:dispBlanksAs val="gap"/>
    <c:showDLblsOverMax val="0"/>
  </c:chart>
  <c:spPr>
    <a:ln w="15875" cap="flat" cmpd="sng" algn="ctr">
      <a:solidFill>
        <a:schemeClr val="accent1">
          <a:lumMod val="100000"/>
        </a:schemeClr>
      </a:solidFill>
      <a:prstDash val="solid"/>
      <a:round/>
      <a:headEnd type="none" w="med" len="med"/>
      <a:tailEnd type="none" w="med" len="me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STS_Ch3_Q32_b!$K$1</c:f>
          <c:strCache>
            <c:ptCount val="1"/>
            <c:pt idx="0">
              <c:v>Sensitivity of Total_revenue to k2</c:v>
            </c:pt>
          </c:strCache>
        </c:strRef>
      </c:tx>
      <c:layout/>
      <c:overlay val="0"/>
      <c:txPr>
        <a:bodyPr/>
        <a:lstStyle/>
        <a:p>
          <a:pPr>
            <a:defRPr sz="1200"/>
          </a:pPr>
          <a:endParaRPr lang="en-US"/>
        </a:p>
      </c:txPr>
    </c:title>
    <c:autoTitleDeleted val="0"/>
    <c:plotArea>
      <c:layout/>
      <c:lineChart>
        <c:grouping val="standard"/>
        <c:varyColors val="0"/>
        <c:ser>
          <c:idx val="0"/>
          <c:order val="0"/>
          <c:cat>
            <c:numRef>
              <c:f>STS_Ch3_Q32_b!$B$4:$H$4</c:f>
              <c:numCache>
                <c:formatCode>General</c:formatCode>
                <c:ptCount val="7"/>
                <c:pt idx="0">
                  <c:v>-0.30000001192092896</c:v>
                </c:pt>
                <c:pt idx="1">
                  <c:v>-0.20000001788139343</c:v>
                </c:pt>
                <c:pt idx="2">
                  <c:v>-0.10000000894069672</c:v>
                </c:pt>
                <c:pt idx="3">
                  <c:v>-7.4505805969238281E-9</c:v>
                </c:pt>
                <c:pt idx="4">
                  <c:v>9.9999994039535522E-2</c:v>
                </c:pt>
                <c:pt idx="5">
                  <c:v>0.19999998807907104</c:v>
                </c:pt>
                <c:pt idx="6">
                  <c:v>0.30000001192092896</c:v>
                </c:pt>
              </c:numCache>
            </c:numRef>
          </c:cat>
          <c:val>
            <c:numRef>
              <c:f>STS_Ch3_Q32_b!$K$5:$K$11</c:f>
              <c:numCache>
                <c:formatCode>General</c:formatCode>
                <c:ptCount val="7"/>
                <c:pt idx="0">
                  <c:v>1021999.98</c:v>
                </c:pt>
                <c:pt idx="1">
                  <c:v>1077999.98</c:v>
                </c:pt>
                <c:pt idx="2">
                  <c:v>1133999.98</c:v>
                </c:pt>
                <c:pt idx="3">
                  <c:v>1189999.99</c:v>
                </c:pt>
                <c:pt idx="4">
                  <c:v>1245999.99</c:v>
                </c:pt>
                <c:pt idx="5">
                  <c:v>1301999.98</c:v>
                </c:pt>
                <c:pt idx="6">
                  <c:v>1358000</c:v>
                </c:pt>
              </c:numCache>
            </c:numRef>
          </c:val>
          <c:smooth val="0"/>
        </c:ser>
        <c:dLbls>
          <c:showLegendKey val="0"/>
          <c:showVal val="0"/>
          <c:showCatName val="0"/>
          <c:showSerName val="0"/>
          <c:showPercent val="0"/>
          <c:showBubbleSize val="0"/>
        </c:dLbls>
        <c:marker val="1"/>
        <c:smooth val="0"/>
        <c:axId val="333414184"/>
        <c:axId val="431883928"/>
      </c:lineChart>
      <c:catAx>
        <c:axId val="333414184"/>
        <c:scaling>
          <c:orientation val="minMax"/>
        </c:scaling>
        <c:delete val="0"/>
        <c:axPos val="b"/>
        <c:title>
          <c:tx>
            <c:rich>
              <a:bodyPr/>
              <a:lstStyle/>
              <a:p>
                <a:pPr>
                  <a:defRPr/>
                </a:pPr>
                <a:r>
                  <a:rPr lang="en-US"/>
                  <a:t>k2 ($D$5)</a:t>
                </a:r>
              </a:p>
            </c:rich>
          </c:tx>
          <c:layout/>
          <c:overlay val="0"/>
        </c:title>
        <c:numFmt formatCode="General" sourceLinked="1"/>
        <c:majorTickMark val="out"/>
        <c:minorTickMark val="none"/>
        <c:tickLblPos val="nextTo"/>
        <c:crossAx val="431883928"/>
        <c:crosses val="autoZero"/>
        <c:auto val="1"/>
        <c:lblAlgn val="ctr"/>
        <c:lblOffset val="100"/>
        <c:noMultiLvlLbl val="0"/>
      </c:catAx>
      <c:valAx>
        <c:axId val="431883928"/>
        <c:scaling>
          <c:orientation val="minMax"/>
        </c:scaling>
        <c:delete val="0"/>
        <c:axPos val="l"/>
        <c:majorGridlines/>
        <c:numFmt formatCode="General" sourceLinked="1"/>
        <c:majorTickMark val="out"/>
        <c:minorTickMark val="none"/>
        <c:tickLblPos val="nextTo"/>
        <c:crossAx val="333414184"/>
        <c:crosses val="autoZero"/>
        <c:crossBetween val="between"/>
      </c:valAx>
    </c:plotArea>
    <c:plotVisOnly val="1"/>
    <c:dispBlanksAs val="gap"/>
    <c:showDLblsOverMax val="0"/>
  </c:chart>
  <c:spPr>
    <a:ln w="15875" cap="flat" cmpd="sng" algn="ctr">
      <a:solidFill>
        <a:schemeClr val="accent1">
          <a:lumMod val="100000"/>
        </a:schemeClr>
      </a:solidFill>
      <a:prstDash val="solid"/>
      <a:round/>
      <a:headEnd type="none" w="med" len="med"/>
      <a:tailEnd type="none" w="med" len="me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STS_Ch3_Q32_b!$O$1</c:f>
          <c:strCache>
            <c:ptCount val="1"/>
            <c:pt idx="0">
              <c:v>Sensitivity of Total_revenue to k1</c:v>
            </c:pt>
          </c:strCache>
        </c:strRef>
      </c:tx>
      <c:layout/>
      <c:overlay val="0"/>
      <c:txPr>
        <a:bodyPr/>
        <a:lstStyle/>
        <a:p>
          <a:pPr>
            <a:defRPr sz="1200"/>
          </a:pPr>
          <a:endParaRPr lang="en-US"/>
        </a:p>
      </c:txPr>
    </c:title>
    <c:autoTitleDeleted val="0"/>
    <c:plotArea>
      <c:layout/>
      <c:lineChart>
        <c:grouping val="standard"/>
        <c:varyColors val="0"/>
        <c:ser>
          <c:idx val="0"/>
          <c:order val="0"/>
          <c:cat>
            <c:numRef>
              <c:f>STS_Ch3_Q32_b!$A$5:$A$11</c:f>
              <c:numCache>
                <c:formatCode>General</c:formatCode>
                <c:ptCount val="7"/>
                <c:pt idx="0">
                  <c:v>-0.30000001192092896</c:v>
                </c:pt>
                <c:pt idx="1">
                  <c:v>-0.20000001788139343</c:v>
                </c:pt>
                <c:pt idx="2">
                  <c:v>-0.10000000894069672</c:v>
                </c:pt>
                <c:pt idx="3">
                  <c:v>-7.4505805969238281E-9</c:v>
                </c:pt>
                <c:pt idx="4">
                  <c:v>9.9999994039535522E-2</c:v>
                </c:pt>
                <c:pt idx="5">
                  <c:v>0.19999998807907104</c:v>
                </c:pt>
                <c:pt idx="6">
                  <c:v>0.30000001192092896</c:v>
                </c:pt>
              </c:numCache>
            </c:numRef>
          </c:cat>
          <c:val>
            <c:numRef>
              <c:f>STS_Ch3_Q32_b!$O$5:$O$11</c:f>
              <c:numCache>
                <c:formatCode>General</c:formatCode>
                <c:ptCount val="7"/>
                <c:pt idx="0">
                  <c:v>1021999.98</c:v>
                </c:pt>
                <c:pt idx="1">
                  <c:v>1111999.98</c:v>
                </c:pt>
                <c:pt idx="2">
                  <c:v>1201999.99</c:v>
                </c:pt>
                <c:pt idx="3">
                  <c:v>1291999.99</c:v>
                </c:pt>
                <c:pt idx="4">
                  <c:v>1381999.99</c:v>
                </c:pt>
                <c:pt idx="5">
                  <c:v>1471999.98</c:v>
                </c:pt>
                <c:pt idx="6">
                  <c:v>1562000</c:v>
                </c:pt>
              </c:numCache>
            </c:numRef>
          </c:val>
          <c:smooth val="0"/>
        </c:ser>
        <c:dLbls>
          <c:showLegendKey val="0"/>
          <c:showVal val="0"/>
          <c:showCatName val="0"/>
          <c:showSerName val="0"/>
          <c:showPercent val="0"/>
          <c:showBubbleSize val="0"/>
        </c:dLbls>
        <c:marker val="1"/>
        <c:smooth val="0"/>
        <c:axId val="431889024"/>
        <c:axId val="431889416"/>
      </c:lineChart>
      <c:catAx>
        <c:axId val="431889024"/>
        <c:scaling>
          <c:orientation val="minMax"/>
        </c:scaling>
        <c:delete val="0"/>
        <c:axPos val="b"/>
        <c:title>
          <c:tx>
            <c:rich>
              <a:bodyPr/>
              <a:lstStyle/>
              <a:p>
                <a:pPr>
                  <a:defRPr/>
                </a:pPr>
                <a:r>
                  <a:rPr lang="en-US"/>
                  <a:t>k1 ($B$5)</a:t>
                </a:r>
              </a:p>
            </c:rich>
          </c:tx>
          <c:layout/>
          <c:overlay val="0"/>
        </c:title>
        <c:numFmt formatCode="General" sourceLinked="1"/>
        <c:majorTickMark val="out"/>
        <c:minorTickMark val="none"/>
        <c:tickLblPos val="nextTo"/>
        <c:crossAx val="431889416"/>
        <c:crosses val="autoZero"/>
        <c:auto val="1"/>
        <c:lblAlgn val="ctr"/>
        <c:lblOffset val="100"/>
        <c:noMultiLvlLbl val="0"/>
      </c:catAx>
      <c:valAx>
        <c:axId val="431889416"/>
        <c:scaling>
          <c:orientation val="minMax"/>
        </c:scaling>
        <c:delete val="0"/>
        <c:axPos val="l"/>
        <c:majorGridlines/>
        <c:numFmt formatCode="General" sourceLinked="1"/>
        <c:majorTickMark val="out"/>
        <c:minorTickMark val="none"/>
        <c:tickLblPos val="nextTo"/>
        <c:crossAx val="431889024"/>
        <c:crosses val="autoZero"/>
        <c:crossBetween val="between"/>
      </c:valAx>
    </c:plotArea>
    <c:plotVisOnly val="1"/>
    <c:dispBlanksAs val="gap"/>
    <c:showDLblsOverMax val="0"/>
  </c:chart>
  <c:spPr>
    <a:ln w="15875" cap="flat" cmpd="sng" algn="ctr">
      <a:solidFill>
        <a:schemeClr val="accent1">
          <a:lumMod val="100000"/>
        </a:schemeClr>
      </a:solidFill>
      <a:prstDash val="solid"/>
      <a:round/>
      <a:headEnd type="none" w="med" len="med"/>
      <a:tailEnd type="none" w="med" len="me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changing with varied k1 and k2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STS_Ch3_Q32_b!$C$14</c:f>
              <c:strCache>
                <c:ptCount val="1"/>
                <c:pt idx="0">
                  <c:v>Total Revenue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STS_Ch3_Q32_b!$C$15:$C$21</c:f>
              <c:numCache>
                <c:formatCode>"$"#,##0_);[Red]\("$"#,##0\)</c:formatCode>
                <c:ptCount val="7"/>
                <c:pt idx="0">
                  <c:v>1021999.98</c:v>
                </c:pt>
                <c:pt idx="1">
                  <c:v>1167999.97</c:v>
                </c:pt>
                <c:pt idx="2">
                  <c:v>1313999.99</c:v>
                </c:pt>
                <c:pt idx="3">
                  <c:v>1459999.99</c:v>
                </c:pt>
                <c:pt idx="4">
                  <c:v>1605999.99</c:v>
                </c:pt>
                <c:pt idx="5">
                  <c:v>1751999.98</c:v>
                </c:pt>
                <c:pt idx="6">
                  <c:v>1898000.02</c:v>
                </c:pt>
              </c:numCache>
            </c:numRef>
          </c:val>
          <c:smooth val="0"/>
        </c:ser>
        <c:dLbls>
          <c:showLegendKey val="0"/>
          <c:showVal val="0"/>
          <c:showCatName val="0"/>
          <c:showSerName val="0"/>
          <c:showPercent val="0"/>
          <c:showBubbleSize val="0"/>
        </c:dLbls>
        <c:marker val="1"/>
        <c:smooth val="0"/>
        <c:axId val="431889808"/>
        <c:axId val="431890200"/>
      </c:lineChart>
      <c:catAx>
        <c:axId val="4318898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890200"/>
        <c:crosses val="autoZero"/>
        <c:auto val="1"/>
        <c:lblAlgn val="ctr"/>
        <c:lblOffset val="100"/>
        <c:noMultiLvlLbl val="0"/>
      </c:catAx>
      <c:valAx>
        <c:axId val="4318902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88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3.JP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xdr:rowOff>
    </xdr:from>
    <xdr:to>
      <xdr:col>8</xdr:col>
      <xdr:colOff>866774</xdr:colOff>
      <xdr:row>9</xdr:row>
      <xdr:rowOff>0</xdr:rowOff>
    </xdr:to>
    <xdr:sp macro="" textlink="">
      <xdr:nvSpPr>
        <xdr:cNvPr id="2" name="TextBox 1"/>
        <xdr:cNvSpPr txBox="1"/>
      </xdr:nvSpPr>
      <xdr:spPr>
        <a:xfrm>
          <a:off x="0" y="9525"/>
          <a:ext cx="9105899" cy="170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Arial" panose="020B0604020202020204" pitchFamily="34" charset="0"/>
              <a:cs typeface="Arial" panose="020B0604020202020204" pitchFamily="34" charset="0"/>
            </a:rPr>
            <a:t>Problem statement:</a:t>
          </a:r>
        </a:p>
        <a:p>
          <a:r>
            <a:rPr lang="en-US" sz="1100" smtClean="0">
              <a:solidFill>
                <a:schemeClr val="dk1"/>
              </a:solidFill>
              <a:latin typeface="Arial" panose="020B0604020202020204" pitchFamily="34" charset="0"/>
              <a:ea typeface="+mn-ea"/>
              <a:cs typeface="Arial" panose="020B0604020202020204" pitchFamily="34" charset="0"/>
            </a:rPr>
            <a:t>You are thinking of opening a Broadway play, I Love You, You’re Mediocre, Now Get Better! It will cost $5 million to develop the show. There are 8 shows per week, and you project the show will run for100 weeks. It costs $1000 to open the theater each night. Tickets sell for $50.00, and you earn an average of $1.50 profit per ticket holder from concessions. The theater holds 800, and you expect 80% of the seats to be full.</a:t>
          </a:r>
        </a:p>
        <a:p>
          <a:endParaRPr lang="en-US" sz="1100" smtClean="0">
            <a:solidFill>
              <a:schemeClr val="dk1"/>
            </a:solidFill>
            <a:latin typeface="Arial" panose="020B0604020202020204" pitchFamily="34" charset="0"/>
            <a:ea typeface="+mn-ea"/>
            <a:cs typeface="Arial" panose="020B0604020202020204" pitchFamily="34" charset="0"/>
          </a:endParaRPr>
        </a:p>
        <a:p>
          <a:r>
            <a:rPr lang="en-US" sz="1100" smtClean="0">
              <a:solidFill>
                <a:schemeClr val="dk1"/>
              </a:solidFill>
              <a:latin typeface="Arial" panose="020B0604020202020204" pitchFamily="34" charset="0"/>
              <a:ea typeface="+mn-ea"/>
              <a:cs typeface="Arial" panose="020B0604020202020204" pitchFamily="34" charset="0"/>
            </a:rPr>
            <a:t>a. Given your other assumptions, how many weeks will the play have to run for you to earn a 100% return on the play’s development cost?</a:t>
          </a:r>
        </a:p>
        <a:p>
          <a:r>
            <a:rPr lang="en-US" sz="1100" smtClean="0">
              <a:solidFill>
                <a:schemeClr val="dk1"/>
              </a:solidFill>
              <a:latin typeface="Arial" panose="020B0604020202020204" pitchFamily="34" charset="0"/>
              <a:ea typeface="+mn-ea"/>
              <a:cs typeface="Arial" panose="020B0604020202020204" pitchFamily="34" charset="0"/>
            </a:rPr>
            <a:t>b. Given your other assumptions, how does an increase in the percentage of seats full affect profit?</a:t>
          </a:r>
        </a:p>
        <a:p>
          <a:r>
            <a:rPr lang="en-US" sz="1100" smtClean="0">
              <a:solidFill>
                <a:schemeClr val="dk1"/>
              </a:solidFill>
              <a:latin typeface="Arial" panose="020B0604020202020204" pitchFamily="34" charset="0"/>
              <a:ea typeface="+mn-ea"/>
              <a:cs typeface="Arial" panose="020B0604020202020204" pitchFamily="34" charset="0"/>
            </a:rPr>
            <a:t>c. Given your other assumptions, determine how a joint change in the average ticket price and number of weeks the play runs influence profit.</a:t>
          </a:r>
        </a:p>
        <a:p>
          <a:r>
            <a:rPr lang="en-US" sz="1100" smtClean="0">
              <a:solidFill>
                <a:schemeClr val="dk1"/>
              </a:solidFill>
              <a:latin typeface="Arial" panose="020B0604020202020204" pitchFamily="34" charset="0"/>
              <a:ea typeface="+mn-ea"/>
              <a:cs typeface="Arial" panose="020B0604020202020204" pitchFamily="34" charset="0"/>
            </a:rPr>
            <a:t>d. Use Excel’s Formula Auditing tools to show which cells in the spreadsheet are directly affected by the percentage of seats full.</a:t>
          </a:r>
        </a:p>
        <a:p>
          <a:endParaRPr lang="en-US" sz="1100">
            <a:solidFill>
              <a:schemeClr val="dk1"/>
            </a:solidFill>
            <a:latin typeface="Arial" panose="020B0604020202020204" pitchFamily="34" charset="0"/>
            <a:ea typeface="+mn-ea"/>
            <a:cs typeface="Arial" panose="020B0604020202020204" pitchFamily="34" charset="0"/>
          </a:endParaRPr>
        </a:p>
      </xdr:txBody>
    </xdr:sp>
    <xdr:clientData/>
  </xdr:twoCellAnchor>
  <xdr:twoCellAnchor>
    <xdr:from>
      <xdr:col>0</xdr:col>
      <xdr:colOff>0</xdr:colOff>
      <xdr:row>43</xdr:row>
      <xdr:rowOff>9525</xdr:rowOff>
    </xdr:from>
    <xdr:to>
      <xdr:col>6</xdr:col>
      <xdr:colOff>0</xdr:colOff>
      <xdr:row>66</xdr:row>
      <xdr:rowOff>28575</xdr:rowOff>
    </xdr:to>
    <xdr:sp macro="" textlink="">
      <xdr:nvSpPr>
        <xdr:cNvPr id="3" name="TextBox 2"/>
        <xdr:cNvSpPr txBox="1"/>
      </xdr:nvSpPr>
      <xdr:spPr>
        <a:xfrm>
          <a:off x="0" y="8391525"/>
          <a:ext cx="6362700" cy="440055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Answers:</a:t>
          </a:r>
        </a:p>
        <a:p>
          <a:r>
            <a:rPr lang="en-US" sz="1200"/>
            <a:t>a. To earn a 100% return on the play's development</a:t>
          </a:r>
          <a:r>
            <a:rPr lang="en-US" sz="1200" baseline="0"/>
            <a:t> cost, the play has to run 39 weeks.</a:t>
          </a:r>
        </a:p>
        <a:p>
          <a:r>
            <a:rPr lang="en-US" sz="1200" baseline="0"/>
            <a:t>b. With every 5% increasement of seat occupancy rate, the profit will grow by $1,648.</a:t>
          </a:r>
        </a:p>
        <a:p>
          <a:r>
            <a:rPr lang="en-US" sz="1200" baseline="0"/>
            <a:t>c. Profit increases with </a:t>
          </a:r>
          <a:r>
            <a:rPr lang="en-US" altLang="zh-CN" sz="1200" baseline="0"/>
            <a:t>the average ticket price and number of weeks the play runs increased.</a:t>
          </a:r>
        </a:p>
        <a:p>
          <a:r>
            <a:rPr lang="en-US" sz="1200" baseline="0"/>
            <a:t>d. The percentage of seats full directly affects on profit. The following screen shot shows dependent trace because this file cannot save the trace and arrow.</a:t>
          </a:r>
        </a:p>
        <a:p>
          <a:endParaRPr lang="en-US" sz="1200"/>
        </a:p>
      </xdr:txBody>
    </xdr:sp>
    <xdr:clientData/>
  </xdr:twoCellAnchor>
  <xdr:twoCellAnchor>
    <xdr:from>
      <xdr:col>6</xdr:col>
      <xdr:colOff>395286</xdr:colOff>
      <xdr:row>13</xdr:row>
      <xdr:rowOff>92075</xdr:rowOff>
    </xdr:from>
    <xdr:to>
      <xdr:col>12</xdr:col>
      <xdr:colOff>231775</xdr:colOff>
      <xdr:row>26</xdr:row>
      <xdr:rowOff>92075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209550</xdr:colOff>
      <xdr:row>49</xdr:row>
      <xdr:rowOff>85725</xdr:rowOff>
    </xdr:from>
    <xdr:to>
      <xdr:col>3</xdr:col>
      <xdr:colOff>600075</xdr:colOff>
      <xdr:row>65</xdr:row>
      <xdr:rowOff>104775</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 y="9610725"/>
          <a:ext cx="3695700" cy="3067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19051</xdr:rowOff>
    </xdr:from>
    <xdr:to>
      <xdr:col>8</xdr:col>
      <xdr:colOff>9525</xdr:colOff>
      <xdr:row>8</xdr:row>
      <xdr:rowOff>161925</xdr:rowOff>
    </xdr:to>
    <xdr:sp macro="" textlink="">
      <xdr:nvSpPr>
        <xdr:cNvPr id="2" name="TextBox 1"/>
        <xdr:cNvSpPr txBox="1"/>
      </xdr:nvSpPr>
      <xdr:spPr>
        <a:xfrm>
          <a:off x="0" y="19051"/>
          <a:ext cx="7534275" cy="166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Arial" panose="020B0604020202020204" pitchFamily="34" charset="0"/>
              <a:ea typeface="+mn-ea"/>
              <a:cs typeface="Arial" panose="020B0604020202020204" pitchFamily="34" charset="0"/>
            </a:rPr>
            <a:t>Problem Statement:</a:t>
          </a:r>
        </a:p>
        <a:p>
          <a:pPr marL="0" indent="0"/>
          <a:r>
            <a:rPr lang="en-US" sz="1100" smtClean="0">
              <a:solidFill>
                <a:schemeClr val="dk1"/>
              </a:solidFill>
              <a:latin typeface="Arial" panose="020B0604020202020204" pitchFamily="34" charset="0"/>
              <a:ea typeface="+mn-ea"/>
              <a:cs typeface="Arial" panose="020B0604020202020204" pitchFamily="34" charset="0"/>
            </a:rPr>
            <a:t>A company manufacturers a product in the U.S. and sells it in England. The unit cost of manufacturing is $50. The current exchange rate (dollars per pound) is 1.51. The demand function, which indicates how many units the company can sell in England as a function of price (in pounds) is of the power type, with constant 27556759 and exponent -2.4.</a:t>
          </a:r>
        </a:p>
        <a:p>
          <a:pPr marL="0" indent="0"/>
          <a:endParaRPr lang="en-US" sz="1100" smtClean="0">
            <a:solidFill>
              <a:schemeClr val="dk1"/>
            </a:solidFill>
            <a:latin typeface="Arial" panose="020B0604020202020204" pitchFamily="34" charset="0"/>
            <a:ea typeface="+mn-ea"/>
            <a:cs typeface="Arial" panose="020B0604020202020204" pitchFamily="34" charset="0"/>
          </a:endParaRPr>
        </a:p>
        <a:p>
          <a:pPr marL="0" indent="0"/>
          <a:r>
            <a:rPr lang="en-US" sz="1100" smtClean="0">
              <a:solidFill>
                <a:schemeClr val="dk1"/>
              </a:solidFill>
              <a:latin typeface="Arial" panose="020B0604020202020204" pitchFamily="34" charset="0"/>
              <a:ea typeface="+mn-ea"/>
              <a:cs typeface="Arial" panose="020B0604020202020204" pitchFamily="34" charset="0"/>
            </a:rPr>
            <a:t>a.Develop a model for the company’s profit (in dollars) as a function of the price it charges (in pounds). Then use a data table to find the profit- maximizing price to the nearest pound.</a:t>
          </a:r>
        </a:p>
        <a:p>
          <a:pPr marL="0" indent="0"/>
          <a:r>
            <a:rPr lang="en-US" sz="1100" smtClean="0">
              <a:solidFill>
                <a:schemeClr val="dk1"/>
              </a:solidFill>
              <a:latin typeface="Arial" panose="020B0604020202020204" pitchFamily="34" charset="0"/>
              <a:ea typeface="+mn-ea"/>
              <a:cs typeface="Arial" panose="020B0604020202020204" pitchFamily="34" charset="0"/>
            </a:rPr>
            <a:t>b. If the exchange rate varies from its current value, does the profit-maximizing price increase or decrease? Does the maximum profit increase or decrease?</a:t>
          </a:r>
          <a:endParaRPr lang="en-US" sz="1100">
            <a:solidFill>
              <a:schemeClr val="dk1"/>
            </a:solidFill>
            <a:latin typeface="Arial" panose="020B0604020202020204" pitchFamily="34" charset="0"/>
            <a:ea typeface="+mn-ea"/>
            <a:cs typeface="Arial" panose="020B0604020202020204" pitchFamily="34" charset="0"/>
          </a:endParaRPr>
        </a:p>
      </xdr:txBody>
    </xdr:sp>
    <xdr:clientData/>
  </xdr:twoCellAnchor>
  <xdr:twoCellAnchor>
    <xdr:from>
      <xdr:col>0</xdr:col>
      <xdr:colOff>0</xdr:colOff>
      <xdr:row>37</xdr:row>
      <xdr:rowOff>180975</xdr:rowOff>
    </xdr:from>
    <xdr:to>
      <xdr:col>6</xdr:col>
      <xdr:colOff>9525</xdr:colOff>
      <xdr:row>49</xdr:row>
      <xdr:rowOff>180975</xdr:rowOff>
    </xdr:to>
    <xdr:sp macro="" textlink="">
      <xdr:nvSpPr>
        <xdr:cNvPr id="3" name="TextBox 2"/>
        <xdr:cNvSpPr txBox="1"/>
      </xdr:nvSpPr>
      <xdr:spPr>
        <a:xfrm>
          <a:off x="0" y="7229475"/>
          <a:ext cx="5648325" cy="22860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Answers:</a:t>
          </a:r>
        </a:p>
        <a:p>
          <a:r>
            <a:rPr lang="en-US" sz="1200"/>
            <a:t>a. The model</a:t>
          </a:r>
          <a:r>
            <a:rPr lang="en-US" sz="1200" baseline="0"/>
            <a:t> for the company's profit($) as a founction of the price( in pounds) is showed in the area of profit model(A19:B23). The sell price(B19) is trail value. By using Data Table, firstly I find that the profit-maximizing price is between </a:t>
          </a:r>
          <a:r>
            <a:rPr lang="en-US" sz="1200" b="0" i="0" u="none" strike="noStrike">
              <a:solidFill>
                <a:schemeClr val="dk1"/>
              </a:solidFill>
              <a:effectLst/>
              <a:latin typeface="+mn-lt"/>
              <a:ea typeface="+mn-ea"/>
              <a:cs typeface="+mn-cs"/>
            </a:rPr>
            <a:t> £55</a:t>
          </a:r>
          <a:r>
            <a:rPr lang="en-US" sz="1200" b="0" i="0" u="none" strike="noStrike" baseline="0">
              <a:solidFill>
                <a:schemeClr val="dk1"/>
              </a:solidFill>
              <a:effectLst/>
              <a:latin typeface="+mn-lt"/>
              <a:ea typeface="+mn-ea"/>
              <a:cs typeface="+mn-cs"/>
            </a:rPr>
            <a:t> and </a:t>
          </a:r>
          <a:r>
            <a:rPr lang="en-US" sz="1200" b="0" i="0">
              <a:solidFill>
                <a:schemeClr val="dk1"/>
              </a:solidFill>
              <a:effectLst/>
              <a:latin typeface="+mn-lt"/>
              <a:ea typeface="+mn-ea"/>
              <a:cs typeface="+mn-cs"/>
            </a:rPr>
            <a:t>£60</a:t>
          </a:r>
          <a:r>
            <a:rPr lang="en-US" sz="1200" b="0" i="0" baseline="0">
              <a:solidFill>
                <a:schemeClr val="dk1"/>
              </a:solidFill>
              <a:effectLst/>
              <a:latin typeface="+mn-lt"/>
              <a:ea typeface="+mn-ea"/>
              <a:cs typeface="+mn-cs"/>
            </a:rPr>
            <a:t>, which is shown in data table 1 and top two profits are colored as dark green</a:t>
          </a:r>
          <a:r>
            <a:rPr lang="en-US" sz="1200" b="0" i="0">
              <a:solidFill>
                <a:schemeClr val="dk1"/>
              </a:solidFill>
              <a:effectLst/>
              <a:latin typeface="+mn-lt"/>
              <a:ea typeface="+mn-ea"/>
              <a:cs typeface="+mn-cs"/>
            </a:rPr>
            <a:t>. Then I create another data table to determine the profit-maximizing</a:t>
          </a:r>
          <a:r>
            <a:rPr lang="en-US" sz="1200" b="0" i="0" baseline="0">
              <a:solidFill>
                <a:schemeClr val="dk1"/>
              </a:solidFill>
              <a:effectLst/>
              <a:latin typeface="+mn-lt"/>
              <a:ea typeface="+mn-ea"/>
              <a:cs typeface="+mn-cs"/>
            </a:rPr>
            <a:t> price between above area in the data table 2. The profit-maximizing price is </a:t>
          </a:r>
          <a:r>
            <a:rPr lang="en-US" sz="1200" b="0" i="0">
              <a:solidFill>
                <a:schemeClr val="dk1"/>
              </a:solidFill>
              <a:effectLst/>
              <a:latin typeface="+mn-lt"/>
              <a:ea typeface="+mn-ea"/>
              <a:cs typeface="+mn-cs"/>
            </a:rPr>
            <a:t>£</a:t>
          </a:r>
          <a:r>
            <a:rPr lang="en-US" sz="1200" b="0" i="0" baseline="0">
              <a:solidFill>
                <a:schemeClr val="dk1"/>
              </a:solidFill>
              <a:effectLst/>
              <a:latin typeface="+mn-lt"/>
              <a:ea typeface="+mn-ea"/>
              <a:cs typeface="+mn-cs"/>
            </a:rPr>
            <a:t>57 and the profit is </a:t>
          </a:r>
          <a:r>
            <a:rPr lang="en-US" sz="1200" b="0" i="0" u="none" strike="noStrike">
              <a:solidFill>
                <a:schemeClr val="dk1"/>
              </a:solidFill>
              <a:effectLst/>
              <a:latin typeface="+mn-lt"/>
              <a:ea typeface="+mn-ea"/>
              <a:cs typeface="+mn-cs"/>
            </a:rPr>
            <a:t> $60,712.01 that</a:t>
          </a:r>
          <a:r>
            <a:rPr lang="en-US" sz="1200" b="0" i="0" u="none" strike="noStrike" baseline="0">
              <a:solidFill>
                <a:schemeClr val="dk1"/>
              </a:solidFill>
              <a:effectLst/>
              <a:latin typeface="+mn-lt"/>
              <a:ea typeface="+mn-ea"/>
              <a:cs typeface="+mn-cs"/>
            </a:rPr>
            <a:t> is colored as the darkest green.</a:t>
          </a:r>
        </a:p>
        <a:p>
          <a:endParaRPr lang="en-US" sz="1200" b="0" i="0" u="none" strike="noStrike">
            <a:solidFill>
              <a:schemeClr val="dk1"/>
            </a:solidFill>
            <a:effectLst/>
            <a:latin typeface="+mn-lt"/>
            <a:ea typeface="+mn-ea"/>
            <a:cs typeface="+mn-cs"/>
          </a:endParaRPr>
        </a:p>
        <a:p>
          <a:r>
            <a:rPr lang="en-US" sz="1200" b="0" i="0" u="none" strike="noStrike">
              <a:solidFill>
                <a:schemeClr val="dk1"/>
              </a:solidFill>
              <a:effectLst/>
              <a:latin typeface="+mn-lt"/>
              <a:ea typeface="+mn-ea"/>
              <a:cs typeface="+mn-cs"/>
            </a:rPr>
            <a:t>b. With the increase of exchange rate, the profit-maximizing</a:t>
          </a:r>
          <a:r>
            <a:rPr lang="en-US" sz="1200" b="0" i="0" u="none" strike="noStrike" baseline="0">
              <a:solidFill>
                <a:schemeClr val="dk1"/>
              </a:solidFill>
              <a:effectLst/>
              <a:latin typeface="+mn-lt"/>
              <a:ea typeface="+mn-ea"/>
              <a:cs typeface="+mn-cs"/>
            </a:rPr>
            <a:t> price decreases and the maximum profit increases. As above two way data table showed, the profit-maximizing price is</a:t>
          </a:r>
          <a:r>
            <a:rPr lang="en-US" sz="1200" b="0" i="0" u="none" strike="noStrike">
              <a:solidFill>
                <a:schemeClr val="dk1"/>
              </a:solidFill>
              <a:effectLst/>
              <a:latin typeface="+mn-lt"/>
              <a:ea typeface="+mn-ea"/>
              <a:cs typeface="+mn-cs"/>
            </a:rPr>
            <a:t> £50 and the profit is $ 115,257.75 when the</a:t>
          </a:r>
          <a:r>
            <a:rPr lang="en-US" sz="1200" b="0" i="0" u="none" strike="noStrike" baseline="0">
              <a:solidFill>
                <a:schemeClr val="dk1"/>
              </a:solidFill>
              <a:effectLst/>
              <a:latin typeface="+mn-lt"/>
              <a:ea typeface="+mn-ea"/>
              <a:cs typeface="+mn-cs"/>
            </a:rPr>
            <a:t> exchange rate($/</a:t>
          </a:r>
          <a:r>
            <a:rPr lang="en-US" sz="1200" b="0" i="0">
              <a:solidFill>
                <a:schemeClr val="dk1"/>
              </a:solidFill>
              <a:effectLst/>
              <a:latin typeface="+mn-lt"/>
              <a:ea typeface="+mn-ea"/>
              <a:cs typeface="+mn-cs"/>
            </a:rPr>
            <a:t>£)</a:t>
          </a:r>
          <a:r>
            <a:rPr lang="en-US" sz="1200" b="0" i="0" u="none" strike="noStrike" baseline="0">
              <a:solidFill>
                <a:schemeClr val="dk1"/>
              </a:solidFill>
              <a:effectLst/>
              <a:latin typeface="+mn-lt"/>
              <a:ea typeface="+mn-ea"/>
              <a:cs typeface="+mn-cs"/>
            </a:rPr>
            <a:t> is 2.</a:t>
          </a:r>
          <a:endParaRPr lang="en-US"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0</xdr:row>
      <xdr:rowOff>19050</xdr:rowOff>
    </xdr:from>
    <xdr:to>
      <xdr:col>10</xdr:col>
      <xdr:colOff>0</xdr:colOff>
      <xdr:row>4</xdr:row>
      <xdr:rowOff>180975</xdr:rowOff>
    </xdr:to>
    <xdr:sp macro="" textlink="">
      <xdr:nvSpPr>
        <xdr:cNvPr id="2" name="TextBox 1"/>
        <xdr:cNvSpPr txBox="1"/>
      </xdr:nvSpPr>
      <xdr:spPr>
        <a:xfrm>
          <a:off x="19050" y="19050"/>
          <a:ext cx="10058400" cy="923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Problem</a:t>
          </a:r>
          <a:r>
            <a:rPr lang="en-US" sz="1100" baseline="0">
              <a:latin typeface="Arial" panose="020B0604020202020204" pitchFamily="34" charset="0"/>
              <a:cs typeface="Arial" panose="020B0604020202020204" pitchFamily="34" charset="0"/>
            </a:rPr>
            <a:t> Statement:</a:t>
          </a:r>
        </a:p>
        <a:p>
          <a:pPr marL="0" indent="0"/>
          <a:r>
            <a:rPr lang="en-US" sz="1100" smtClean="0">
              <a:solidFill>
                <a:schemeClr val="dk1"/>
              </a:solidFill>
              <a:latin typeface="Arial" panose="020B0604020202020204" pitchFamily="34" charset="0"/>
              <a:ea typeface="+mn-ea"/>
              <a:cs typeface="Arial" panose="020B0604020202020204" pitchFamily="34" charset="0"/>
            </a:rPr>
            <a:t>Assume the demand for a company’s drug Wozac during the current year is 50,000, and assume demand will grow at 5% a year. If the company builds a plant that can produce x units of Wozac per year, it will cost $16x. Each unit of Wozac is sold for $3. Each unit of Wozac produced incurs a variable production cost of $0.20. It costs $0.40 per year to operate a unit of capacity. Determine how large a Wozac plant the company should build to maximize its expected profit over the next 10 years.</a:t>
          </a:r>
          <a:endParaRPr lang="en-US" sz="1100">
            <a:solidFill>
              <a:schemeClr val="dk1"/>
            </a:solidFill>
            <a:latin typeface="Arial" panose="020B0604020202020204" pitchFamily="34" charset="0"/>
            <a:ea typeface="+mn-ea"/>
            <a:cs typeface="Arial" panose="020B0604020202020204" pitchFamily="34" charset="0"/>
          </a:endParaRPr>
        </a:p>
      </xdr:txBody>
    </xdr:sp>
    <xdr:clientData/>
  </xdr:twoCellAnchor>
  <xdr:twoCellAnchor>
    <xdr:from>
      <xdr:col>0</xdr:col>
      <xdr:colOff>28575</xdr:colOff>
      <xdr:row>44</xdr:row>
      <xdr:rowOff>152400</xdr:rowOff>
    </xdr:from>
    <xdr:to>
      <xdr:col>4</xdr:col>
      <xdr:colOff>914400</xdr:colOff>
      <xdr:row>49</xdr:row>
      <xdr:rowOff>0</xdr:rowOff>
    </xdr:to>
    <xdr:sp macro="" textlink="">
      <xdr:nvSpPr>
        <xdr:cNvPr id="3" name="TextBox 2"/>
        <xdr:cNvSpPr txBox="1"/>
      </xdr:nvSpPr>
      <xdr:spPr>
        <a:xfrm>
          <a:off x="28575" y="8343900"/>
          <a:ext cx="5248275" cy="8001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Answer: </a:t>
          </a:r>
        </a:p>
        <a:p>
          <a:r>
            <a:rPr lang="en-US" sz="1100">
              <a:solidFill>
                <a:schemeClr val="dk1"/>
              </a:solidFill>
              <a:effectLst/>
              <a:latin typeface="+mn-lt"/>
              <a:ea typeface="+mn-ea"/>
              <a:cs typeface="+mn-cs"/>
            </a:rPr>
            <a:t>To maximize its expected profit over the next 10 years, the company should build a Wozac Plant with the capacity</a:t>
          </a:r>
          <a:r>
            <a:rPr lang="en-US" sz="1100" baseline="0">
              <a:solidFill>
                <a:schemeClr val="dk1"/>
              </a:solidFill>
              <a:effectLst/>
              <a:latin typeface="+mn-lt"/>
              <a:ea typeface="+mn-ea"/>
              <a:cs typeface="+mn-cs"/>
            </a:rPr>
            <a:t> of 79,000 then the maxmal profit over next 10 years is </a:t>
          </a:r>
          <a:r>
            <a:rPr lang="en-US" sz="1100" b="0" i="0" u="none" strike="noStrike">
              <a:solidFill>
                <a:schemeClr val="dk1"/>
              </a:solidFill>
              <a:effectLst/>
              <a:latin typeface="+mn-lt"/>
              <a:ea typeface="+mn-ea"/>
              <a:cs typeface="+mn-cs"/>
            </a:rPr>
            <a:t> $8,867,577.25(E36).</a:t>
          </a:r>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xdr:colOff>
      <xdr:row>0</xdr:row>
      <xdr:rowOff>9526</xdr:rowOff>
    </xdr:from>
    <xdr:to>
      <xdr:col>11</xdr:col>
      <xdr:colOff>0</xdr:colOff>
      <xdr:row>10</xdr:row>
      <xdr:rowOff>180976</xdr:rowOff>
    </xdr:to>
    <xdr:sp macro="" textlink="">
      <xdr:nvSpPr>
        <xdr:cNvPr id="2" name="TextBox 1"/>
        <xdr:cNvSpPr txBox="1"/>
      </xdr:nvSpPr>
      <xdr:spPr>
        <a:xfrm>
          <a:off x="9525" y="9526"/>
          <a:ext cx="7153275" cy="2076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Question Statement:</a:t>
          </a:r>
        </a:p>
        <a:p>
          <a:pPr marL="0" indent="0"/>
          <a:r>
            <a:rPr lang="en-US" sz="1100" smtClean="0">
              <a:solidFill>
                <a:schemeClr val="dk1"/>
              </a:solidFill>
              <a:latin typeface="Arial" panose="020B0604020202020204" pitchFamily="34" charset="0"/>
              <a:ea typeface="+mn-ea"/>
              <a:cs typeface="Arial" panose="020B0604020202020204" pitchFamily="34" charset="0"/>
            </a:rPr>
            <a:t>A chemical company manufactures three chemicals: A, B, and C. These chemicals are produced via two production processes: 1 and 2. Running process 1 for an hour costs $400 and yields 300 units of A, 100 units of B, and 100 units of C. Running process 2 for an hour costs $100 and yields 100 units of A and 100 units of B. To meet customer demands, at least 1000 units of A, 500 units of B, and 300 units of C must be produced daily.</a:t>
          </a:r>
        </a:p>
        <a:p>
          <a:pPr marL="0" indent="0"/>
          <a:r>
            <a:rPr lang="en-US" sz="1100" smtClean="0">
              <a:solidFill>
                <a:schemeClr val="dk1"/>
              </a:solidFill>
              <a:latin typeface="Arial" panose="020B0604020202020204" pitchFamily="34" charset="0"/>
              <a:ea typeface="+mn-ea"/>
              <a:cs typeface="Arial" panose="020B0604020202020204" pitchFamily="34" charset="0"/>
            </a:rPr>
            <a:t>a. Use Solver to determine a daily production plan that minimizes the cost of meeting the company’s daily demands.</a:t>
          </a:r>
        </a:p>
        <a:p>
          <a:pPr marL="0" indent="0"/>
          <a:r>
            <a:rPr lang="en-US" sz="1100" smtClean="0">
              <a:solidFill>
                <a:schemeClr val="dk1"/>
              </a:solidFill>
              <a:latin typeface="Arial" panose="020B0604020202020204" pitchFamily="34" charset="0"/>
              <a:ea typeface="+mn-ea"/>
              <a:cs typeface="Arial" panose="020B0604020202020204" pitchFamily="34" charset="0"/>
            </a:rPr>
            <a:t>b. Confirm graphically that the daily production plan from part a minimizes the cost of meeting the company’s daily demands.</a:t>
          </a:r>
        </a:p>
        <a:p>
          <a:pPr marL="0" indent="0"/>
          <a:r>
            <a:rPr lang="en-US" sz="1100" smtClean="0">
              <a:solidFill>
                <a:schemeClr val="dk1"/>
              </a:solidFill>
              <a:latin typeface="Arial" panose="020B0604020202020204" pitchFamily="34" charset="0"/>
              <a:ea typeface="+mn-ea"/>
              <a:cs typeface="Arial" panose="020B0604020202020204" pitchFamily="34" charset="0"/>
            </a:rPr>
            <a:t>c. Use SolverTable to see what happens to the decision variables and the total cost when the hourly processing cost for process 2 increases in increments of $0.50. How large must this cost increase be before the decision variables change? What happens when it continues to increase beyond this point?</a:t>
          </a:r>
        </a:p>
      </xdr:txBody>
    </xdr:sp>
    <xdr:clientData/>
  </xdr:twoCellAnchor>
  <xdr:twoCellAnchor>
    <xdr:from>
      <xdr:col>0</xdr:col>
      <xdr:colOff>0</xdr:colOff>
      <xdr:row>30</xdr:row>
      <xdr:rowOff>190499</xdr:rowOff>
    </xdr:from>
    <xdr:to>
      <xdr:col>9</xdr:col>
      <xdr:colOff>171450</xdr:colOff>
      <xdr:row>58</xdr:row>
      <xdr:rowOff>9525</xdr:rowOff>
    </xdr:to>
    <xdr:sp macro="" textlink="">
      <xdr:nvSpPr>
        <xdr:cNvPr id="3" name="TextBox 2"/>
        <xdr:cNvSpPr txBox="1"/>
      </xdr:nvSpPr>
      <xdr:spPr>
        <a:xfrm>
          <a:off x="0" y="5905499"/>
          <a:ext cx="6153150" cy="5153026"/>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Answers:</a:t>
          </a:r>
        </a:p>
        <a:p>
          <a:r>
            <a:rPr lang="en-US" sz="1100"/>
            <a:t>a.</a:t>
          </a:r>
          <a:r>
            <a:rPr lang="en-US" sz="1100" baseline="0"/>
            <a:t> By using Solver, when Process 1 works for 3 hours and Process 2 works for 2 hours, the company will meet minimal cost </a:t>
          </a:r>
          <a:r>
            <a:rPr lang="en-US" sz="1100" b="0" i="0" u="none" strike="noStrike">
              <a:solidFill>
                <a:schemeClr val="dk1"/>
              </a:solidFill>
              <a:effectLst/>
              <a:latin typeface="+mn-lt"/>
              <a:ea typeface="+mn-ea"/>
              <a:cs typeface="+mn-cs"/>
            </a:rPr>
            <a:t> $1,400.00 (shown in B30).</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b. in the following picture, x represents hours for process 1 and y represents hours for process 2. The minimal</a:t>
          </a:r>
          <a:r>
            <a:rPr lang="en-US" sz="1100" b="0" i="0" u="none" strike="noStrike" baseline="0">
              <a:solidFill>
                <a:schemeClr val="dk1"/>
              </a:solidFill>
              <a:effectLst/>
              <a:latin typeface="+mn-lt"/>
              <a:ea typeface="+mn-ea"/>
              <a:cs typeface="+mn-cs"/>
            </a:rPr>
            <a:t> total cost occurs when x=3 and y=2.</a:t>
          </a:r>
          <a:endParaRPr lang="en-US" sz="1100" b="0" i="0" u="none" strike="noStrike">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c.</a:t>
          </a:r>
          <a:r>
            <a:rPr lang="en-US" sz="1100" b="0" i="0" u="none" strike="noStrike" baseline="0">
              <a:solidFill>
                <a:schemeClr val="dk1"/>
              </a:solidFill>
              <a:effectLst/>
              <a:latin typeface="+mn-lt"/>
              <a:ea typeface="+mn-ea"/>
              <a:cs typeface="+mn-cs"/>
            </a:rPr>
            <a:t> When the hourly processing cost for process increases in increments of $0.5, the total cost increases by $1 and the production plan is not change, 3 hours for process 1 and 2 hours for process 2,until </a:t>
          </a:r>
          <a:r>
            <a:rPr lang="en-US" sz="1100" b="0" i="0" baseline="0">
              <a:solidFill>
                <a:schemeClr val="dk1"/>
              </a:solidFill>
              <a:effectLst/>
              <a:latin typeface="+mn-lt"/>
              <a:ea typeface="+mn-ea"/>
              <a:cs typeface="+mn-cs"/>
            </a:rPr>
            <a:t>the hourly processing cost for process increased to $400, but the total cost increases by $600, from $1400 to $2000.</a:t>
          </a:r>
        </a:p>
        <a:p>
          <a:r>
            <a:rPr lang="en-US" sz="1100" b="0" i="0" baseline="0">
              <a:solidFill>
                <a:schemeClr val="dk1"/>
              </a:solidFill>
              <a:effectLst/>
              <a:latin typeface="+mn-lt"/>
              <a:ea typeface="+mn-ea"/>
              <a:cs typeface="+mn-cs"/>
            </a:rPr>
            <a:t>When it continues to increase beyond $400 per hour for process 2, the plan is 5 hours for process 1 and 0 hour for process 2 and the total cost will fix at $2000. The Senseitivity Analysis is at the next sheet named STS_ch3_Q25.</a:t>
          </a:r>
          <a:endParaRPr lang="en-US" sz="1100"/>
        </a:p>
      </xdr:txBody>
    </xdr:sp>
    <xdr:clientData/>
  </xdr:twoCellAnchor>
  <xdr:twoCellAnchor editAs="oneCell">
    <xdr:from>
      <xdr:col>1</xdr:col>
      <xdr:colOff>83823</xdr:colOff>
      <xdr:row>37</xdr:row>
      <xdr:rowOff>85725</xdr:rowOff>
    </xdr:from>
    <xdr:to>
      <xdr:col>4</xdr:col>
      <xdr:colOff>82828</xdr:colOff>
      <xdr:row>50</xdr:row>
      <xdr:rowOff>165587</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523" y="7134225"/>
          <a:ext cx="1999255" cy="25563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9</xdr:col>
      <xdr:colOff>514350</xdr:colOff>
      <xdr:row>806</xdr:row>
      <xdr:rowOff>0</xdr:rowOff>
    </xdr:from>
    <xdr:to>
      <xdr:col>17</xdr:col>
      <xdr:colOff>514350</xdr:colOff>
      <xdr:row>821</xdr:row>
      <xdr:rowOff>0</xdr:rowOff>
    </xdr:to>
    <xdr:graphicFrame macro="">
      <xdr:nvGraphicFramePr>
        <xdr:cNvPr id="2" name="STS_1_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514350</xdr:colOff>
      <xdr:row>3</xdr:row>
      <xdr:rowOff>0</xdr:rowOff>
    </xdr:from>
    <xdr:to>
      <xdr:col>15</xdr:col>
      <xdr:colOff>514350</xdr:colOff>
      <xdr:row>3</xdr:row>
      <xdr:rowOff>762000</xdr:rowOff>
    </xdr:to>
    <xdr:sp macro="" textlink="">
      <xdr:nvSpPr>
        <xdr:cNvPr id="3" name="TextBox 2"/>
        <xdr:cNvSpPr txBox="1"/>
      </xdr:nvSpPr>
      <xdr:spPr>
        <a:xfrm>
          <a:off x="7315200" y="571500"/>
          <a:ext cx="2438400" cy="762000"/>
        </a:xfrm>
        <a:prstGeom prst="rect">
          <a:avLst/>
        </a:prstGeom>
        <a:solidFill>
          <a:schemeClr val="lt1"/>
        </a:solidFill>
        <a:ln w="15875" cap="flat" cmpd="sng" algn="ctr">
          <a:solidFill>
            <a:schemeClr val="accent1">
              <a:lumMod val="100000"/>
            </a:schemeClr>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When you select an output from the dropdown list in cell $K$4, the chart will adapt to that output.</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0</xdr:row>
      <xdr:rowOff>19050</xdr:rowOff>
    </xdr:from>
    <xdr:to>
      <xdr:col>10</xdr:col>
      <xdr:colOff>114300</xdr:colOff>
      <xdr:row>10</xdr:row>
      <xdr:rowOff>9525</xdr:rowOff>
    </xdr:to>
    <xdr:sp macro="" textlink="">
      <xdr:nvSpPr>
        <xdr:cNvPr id="3" name="TextBox 2"/>
        <xdr:cNvSpPr txBox="1"/>
      </xdr:nvSpPr>
      <xdr:spPr>
        <a:xfrm>
          <a:off x="9525" y="19050"/>
          <a:ext cx="7058025" cy="189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Question Statement:</a:t>
          </a:r>
        </a:p>
        <a:p>
          <a:pPr marL="0" indent="0"/>
          <a:r>
            <a:rPr lang="en-US" sz="1100" smtClean="0">
              <a:solidFill>
                <a:schemeClr val="dk1"/>
              </a:solidFill>
              <a:latin typeface="Arial" panose="020B0604020202020204" pitchFamily="34" charset="0"/>
              <a:ea typeface="+mn-ea"/>
              <a:cs typeface="Arial" panose="020B0604020202020204" pitchFamily="34" charset="0"/>
            </a:rPr>
            <a:t> A furniture company manufactures desks and chairs. Each desk uses four units of wood, and each chair uses three units of wood. A desk contributes $400 to profit, and a chair contributes $250. Marketing restrictions require that the number of chairs produced be at least twice the number of desks produced. There are 2000 units of wood available.</a:t>
          </a:r>
        </a:p>
        <a:p>
          <a:pPr marL="0" indent="0"/>
          <a:r>
            <a:rPr lang="en-US" sz="1100" smtClean="0">
              <a:solidFill>
                <a:schemeClr val="dk1"/>
              </a:solidFill>
              <a:latin typeface="Arial" panose="020B0604020202020204" pitchFamily="34" charset="0"/>
              <a:ea typeface="+mn-ea"/>
              <a:cs typeface="Arial" panose="020B0604020202020204" pitchFamily="34" charset="0"/>
            </a:rPr>
            <a:t>a. Use Solver to maximize the company’s profit.</a:t>
          </a:r>
        </a:p>
        <a:p>
          <a:pPr marL="0" indent="0"/>
          <a:r>
            <a:rPr lang="en-US" sz="1100" smtClean="0">
              <a:solidFill>
                <a:schemeClr val="dk1"/>
              </a:solidFill>
              <a:latin typeface="Arial" panose="020B0604020202020204" pitchFamily="34" charset="0"/>
              <a:ea typeface="+mn-ea"/>
              <a:cs typeface="Arial" panose="020B0604020202020204" pitchFamily="34" charset="0"/>
            </a:rPr>
            <a:t>b. Confirm graphically that the solution in part amaximizes the company’s profit.</a:t>
          </a:r>
        </a:p>
        <a:p>
          <a:pPr marL="0" indent="0"/>
          <a:r>
            <a:rPr lang="en-US" sz="1100" smtClean="0">
              <a:solidFill>
                <a:schemeClr val="dk1"/>
              </a:solidFill>
              <a:latin typeface="Arial" panose="020B0604020202020204" pitchFamily="34" charset="0"/>
              <a:ea typeface="+mn-ea"/>
              <a:cs typeface="Arial" panose="020B0604020202020204" pitchFamily="34" charset="0"/>
            </a:rPr>
            <a:t>c. Use SolverTable to see what happens to the decision variables and the total profit when the availability of wood varies from 1000 to 3000 in 100-unit increments. Based on your findings, how much would the company be willing to pay for each extra unit of wood over its current 2000 units? How much profit would the company lose if it lost any of its current 2000 units?</a:t>
          </a:r>
          <a:endParaRPr lang="en-US" sz="1100">
            <a:solidFill>
              <a:schemeClr val="dk1"/>
            </a:solidFill>
            <a:latin typeface="Arial" panose="020B0604020202020204" pitchFamily="34" charset="0"/>
            <a:ea typeface="+mn-ea"/>
            <a:cs typeface="Arial" panose="020B0604020202020204" pitchFamily="34" charset="0"/>
          </a:endParaRPr>
        </a:p>
      </xdr:txBody>
    </xdr:sp>
    <xdr:clientData/>
  </xdr:twoCellAnchor>
  <xdr:twoCellAnchor>
    <xdr:from>
      <xdr:col>0</xdr:col>
      <xdr:colOff>0</xdr:colOff>
      <xdr:row>26</xdr:row>
      <xdr:rowOff>9525</xdr:rowOff>
    </xdr:from>
    <xdr:to>
      <xdr:col>7</xdr:col>
      <xdr:colOff>590549</xdr:colOff>
      <xdr:row>50</xdr:row>
      <xdr:rowOff>9525</xdr:rowOff>
    </xdr:to>
    <xdr:sp macro="" textlink="">
      <xdr:nvSpPr>
        <xdr:cNvPr id="2" name="TextBox 1"/>
        <xdr:cNvSpPr txBox="1"/>
      </xdr:nvSpPr>
      <xdr:spPr>
        <a:xfrm>
          <a:off x="0" y="4962525"/>
          <a:ext cx="6124574" cy="45720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Answers:</a:t>
          </a:r>
        </a:p>
        <a:p>
          <a:r>
            <a:rPr lang="en-US" sz="1100"/>
            <a:t>a. By</a:t>
          </a:r>
          <a:r>
            <a:rPr lang="en-US" sz="1100" baseline="0"/>
            <a:t> using Solver, the company's maximal profit is</a:t>
          </a:r>
          <a:r>
            <a:rPr lang="en-US" sz="1100" b="0" i="0" u="none" strike="noStrike">
              <a:solidFill>
                <a:schemeClr val="dk1"/>
              </a:solidFill>
              <a:effectLst/>
              <a:latin typeface="+mn-lt"/>
              <a:ea typeface="+mn-ea"/>
              <a:cs typeface="+mn-cs"/>
            </a:rPr>
            <a:t> $180,000.00 ( shown in</a:t>
          </a:r>
          <a:r>
            <a:rPr lang="en-US" sz="1100" b="0" i="0" u="none" strike="noStrike" baseline="0">
              <a:solidFill>
                <a:schemeClr val="dk1"/>
              </a:solidFill>
              <a:effectLst/>
              <a:latin typeface="+mn-lt"/>
              <a:ea typeface="+mn-ea"/>
              <a:cs typeface="+mn-cs"/>
            </a:rPr>
            <a:t> B24).</a:t>
          </a:r>
        </a:p>
        <a:p>
          <a:endParaRPr lang="en-US" sz="1100" b="0" i="0" u="none" strike="noStrike"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b. In the following picture, x represent</a:t>
          </a:r>
          <a:r>
            <a:rPr lang="en-US" sz="1100" b="0" i="0" baseline="0">
              <a:solidFill>
                <a:schemeClr val="dk1"/>
              </a:solidFill>
              <a:effectLst/>
              <a:latin typeface="+mn-lt"/>
              <a:ea typeface="+mn-ea"/>
              <a:cs typeface="+mn-cs"/>
            </a:rPr>
            <a:t> the number of produced desk and y represent the number of produced chair. The maximal profit occurs when x=200 and y=400.</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c. With the increase of availability of wood, the number of desks producted and the number of chairs producted increase and the total profit increases as well. The company will pay $9 for each extra unit of wood over its current 2000 units and the company will lose $9 if it losses any of its current 2000 units. Then Senstivity Analysis is on the next sheet named STS_ch3_Q26.</a:t>
          </a:r>
        </a:p>
      </xdr:txBody>
    </xdr:sp>
    <xdr:clientData/>
  </xdr:twoCellAnchor>
  <xdr:twoCellAnchor editAs="oneCell">
    <xdr:from>
      <xdr:col>0</xdr:col>
      <xdr:colOff>630451</xdr:colOff>
      <xdr:row>31</xdr:row>
      <xdr:rowOff>28575</xdr:rowOff>
    </xdr:from>
    <xdr:to>
      <xdr:col>3</xdr:col>
      <xdr:colOff>381001</xdr:colOff>
      <xdr:row>44</xdr:row>
      <xdr:rowOff>55659</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451" y="5934075"/>
          <a:ext cx="2417550" cy="250358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9</xdr:col>
      <xdr:colOff>381000</xdr:colOff>
      <xdr:row>26</xdr:row>
      <xdr:rowOff>0</xdr:rowOff>
    </xdr:from>
    <xdr:to>
      <xdr:col>17</xdr:col>
      <xdr:colOff>381000</xdr:colOff>
      <xdr:row>41</xdr:row>
      <xdr:rowOff>0</xdr:rowOff>
    </xdr:to>
    <xdr:graphicFrame macro="">
      <xdr:nvGraphicFramePr>
        <xdr:cNvPr id="2" name="STS_2_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381000</xdr:colOff>
      <xdr:row>3</xdr:row>
      <xdr:rowOff>0</xdr:rowOff>
    </xdr:from>
    <xdr:to>
      <xdr:col>15</xdr:col>
      <xdr:colOff>381000</xdr:colOff>
      <xdr:row>3</xdr:row>
      <xdr:rowOff>762000</xdr:rowOff>
    </xdr:to>
    <xdr:sp macro="" textlink="">
      <xdr:nvSpPr>
        <xdr:cNvPr id="3" name="TextBox 2"/>
        <xdr:cNvSpPr txBox="1"/>
      </xdr:nvSpPr>
      <xdr:spPr>
        <a:xfrm>
          <a:off x="7315200" y="571500"/>
          <a:ext cx="2438400" cy="762000"/>
        </a:xfrm>
        <a:prstGeom prst="rect">
          <a:avLst/>
        </a:prstGeom>
        <a:solidFill>
          <a:schemeClr val="lt1"/>
        </a:solidFill>
        <a:ln w="15875" cap="flat" cmpd="sng" algn="ctr">
          <a:solidFill>
            <a:schemeClr val="accent1">
              <a:lumMod val="100000"/>
            </a:schemeClr>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When you select an output from the dropdown list in cell $K$4, the chart will adapt to that output.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28575</xdr:colOff>
      <xdr:row>0</xdr:row>
      <xdr:rowOff>19051</xdr:rowOff>
    </xdr:from>
    <xdr:to>
      <xdr:col>10</xdr:col>
      <xdr:colOff>9525</xdr:colOff>
      <xdr:row>6</xdr:row>
      <xdr:rowOff>152401</xdr:rowOff>
    </xdr:to>
    <xdr:sp macro="" textlink="">
      <xdr:nvSpPr>
        <xdr:cNvPr id="2" name="TextBox 1"/>
        <xdr:cNvSpPr txBox="1"/>
      </xdr:nvSpPr>
      <xdr:spPr>
        <a:xfrm>
          <a:off x="28575" y="19051"/>
          <a:ext cx="7896225" cy="1276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Question Statement:</a:t>
          </a:r>
        </a:p>
        <a:p>
          <a:pPr marL="0" indent="0"/>
          <a:r>
            <a:rPr lang="en-US" sz="1100" smtClean="0">
              <a:solidFill>
                <a:schemeClr val="dk1"/>
              </a:solidFill>
              <a:latin typeface="Arial" panose="020B0604020202020204" pitchFamily="34" charset="0"/>
              <a:ea typeface="+mn-ea"/>
              <a:cs typeface="Arial" panose="020B0604020202020204" pitchFamily="34" charset="0"/>
            </a:rPr>
            <a:t>A company faces the following demands during the next three weeks: week 1, 2000 units; week 2, 1000 units; week 3, 1500 units. The unit production costs during each week are as follows: week 1, $130; week 2, $140; week 3, $150. A holding cost of $20 per unit is assessed against each week’s ending inventory. At the beginning of week 1, the company has 500 units on hand. In reality, not all goods produced during a month can be used to meet the current month’s demand. To model this fact, assume that only half of the goods produced during a week can be used to meet the current week’s demands.</a:t>
          </a:r>
        </a:p>
        <a:p>
          <a:pPr marL="0" indent="0"/>
          <a:r>
            <a:rPr lang="en-US" sz="1100" smtClean="0">
              <a:solidFill>
                <a:schemeClr val="dk1"/>
              </a:solidFill>
              <a:latin typeface="Arial" panose="020B0604020202020204" pitchFamily="34" charset="0"/>
              <a:ea typeface="+mn-ea"/>
              <a:cs typeface="Arial" panose="020B0604020202020204" pitchFamily="34" charset="0"/>
            </a:rPr>
            <a:t>a. Determine how to minimize the cost of meeting the demand for the next three weeks.</a:t>
          </a:r>
        </a:p>
      </xdr:txBody>
    </xdr:sp>
    <xdr:clientData/>
  </xdr:twoCellAnchor>
  <xdr:twoCellAnchor>
    <xdr:from>
      <xdr:col>0</xdr:col>
      <xdr:colOff>28575</xdr:colOff>
      <xdr:row>26</xdr:row>
      <xdr:rowOff>19050</xdr:rowOff>
    </xdr:from>
    <xdr:to>
      <xdr:col>6</xdr:col>
      <xdr:colOff>38100</xdr:colOff>
      <xdr:row>32</xdr:row>
      <xdr:rowOff>95250</xdr:rowOff>
    </xdr:to>
    <xdr:sp macro="" textlink="">
      <xdr:nvSpPr>
        <xdr:cNvPr id="3" name="TextBox 2"/>
        <xdr:cNvSpPr txBox="1"/>
      </xdr:nvSpPr>
      <xdr:spPr>
        <a:xfrm>
          <a:off x="28575" y="5924550"/>
          <a:ext cx="5562600" cy="12192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Answers:</a:t>
          </a:r>
        </a:p>
        <a:p>
          <a:r>
            <a:rPr lang="en-US" sz="1100"/>
            <a:t>a. To meet the minimal</a:t>
          </a:r>
          <a:r>
            <a:rPr lang="en-US" sz="1100" baseline="0"/>
            <a:t> cost</a:t>
          </a:r>
          <a:r>
            <a:rPr lang="en-US" sz="1100" b="0" i="0" u="none" strike="noStrike">
              <a:solidFill>
                <a:schemeClr val="dk1"/>
              </a:solidFill>
              <a:effectLst/>
              <a:latin typeface="+mn-lt"/>
              <a:ea typeface="+mn-ea"/>
              <a:cs typeface="+mn-cs"/>
            </a:rPr>
            <a:t> $60,000, the production plan is to produce 3000</a:t>
          </a:r>
          <a:r>
            <a:rPr lang="en-US" sz="1100" b="0" i="0" u="none" strike="noStrike" baseline="0">
              <a:solidFill>
                <a:schemeClr val="dk1"/>
              </a:solidFill>
              <a:effectLst/>
              <a:latin typeface="+mn-lt"/>
              <a:ea typeface="+mn-ea"/>
              <a:cs typeface="+mn-cs"/>
            </a:rPr>
            <a:t> units, 1000 units and 0 unit for week 1, 2, and 3 respectively.</a:t>
          </a:r>
        </a:p>
        <a:p>
          <a:r>
            <a:rPr lang="en-US" sz="1100" b="0" i="0" u="none" strike="noStrike" baseline="0">
              <a:solidFill>
                <a:schemeClr val="dk1"/>
              </a:solidFill>
              <a:effectLst/>
              <a:latin typeface="+mn-lt"/>
              <a:ea typeface="+mn-ea"/>
              <a:cs typeface="+mn-cs"/>
            </a:rPr>
            <a:t>b. No way to make prodution level in week 3 positive. That will show in next 3 spreadsheets.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28575</xdr:colOff>
      <xdr:row>0</xdr:row>
      <xdr:rowOff>19050</xdr:rowOff>
    </xdr:from>
    <xdr:to>
      <xdr:col>10</xdr:col>
      <xdr:colOff>9525</xdr:colOff>
      <xdr:row>11</xdr:row>
      <xdr:rowOff>161925</xdr:rowOff>
    </xdr:to>
    <xdr:sp macro="" textlink="">
      <xdr:nvSpPr>
        <xdr:cNvPr id="2" name="TextBox 1"/>
        <xdr:cNvSpPr txBox="1"/>
      </xdr:nvSpPr>
      <xdr:spPr>
        <a:xfrm>
          <a:off x="28575" y="19050"/>
          <a:ext cx="7896225"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Question Statement:</a:t>
          </a:r>
        </a:p>
        <a:p>
          <a:pPr marL="0" indent="0"/>
          <a:r>
            <a:rPr lang="en-US" sz="1100" smtClean="0">
              <a:solidFill>
                <a:schemeClr val="dk1"/>
              </a:solidFill>
              <a:latin typeface="Arial" panose="020B0604020202020204" pitchFamily="34" charset="0"/>
              <a:ea typeface="+mn-ea"/>
              <a:cs typeface="Arial" panose="020B0604020202020204" pitchFamily="34" charset="0"/>
            </a:rPr>
            <a:t>A company faces the following demands during the next three weeks: week 1, 2000 units; week 2, 1000 units; week 3, 1500 units. The unit production costs during each week are as follows: week 1, $130; week 2, $140; week 3, $150. A holding cost of $20 per unit is assessed against each week’s ending inventory. At the beginning of week 1, the company has 500 units on hand. In reality, not all goods produced during a month can be used to meet the current month’s demand. To model this fact, assume that only half of the goods produced during a week can be used to meet the current week’s demands.</a:t>
          </a:r>
        </a:p>
        <a:p>
          <a:pPr marL="0" indent="0"/>
          <a:r>
            <a:rPr lang="en-US" sz="1100" smtClean="0">
              <a:solidFill>
                <a:schemeClr val="dk1"/>
              </a:solidFill>
              <a:latin typeface="Arial" panose="020B0604020202020204" pitchFamily="34" charset="0"/>
              <a:ea typeface="+mn-ea"/>
              <a:cs typeface="Arial" panose="020B0604020202020204" pitchFamily="34" charset="0"/>
            </a:rPr>
            <a:t>a. Determine how to minimize the cost of meeting the demand for the next three weeks.</a:t>
          </a:r>
        </a:p>
        <a:p>
          <a:pPr marL="0" indent="0"/>
          <a:r>
            <a:rPr lang="en-US" sz="1100" smtClean="0">
              <a:solidFill>
                <a:schemeClr val="dk1"/>
              </a:solidFill>
              <a:latin typeface="Arial" panose="020B0604020202020204" pitchFamily="34" charset="0"/>
              <a:ea typeface="+mn-ea"/>
              <a:cs typeface="Arial" panose="020B0604020202020204" pitchFamily="34" charset="0"/>
            </a:rPr>
            <a:t>b. Revise the model so that the demands are of the form Dt  k t, where Dt is the original demand (from above) in month t, k is a given factor, and  t is an amount of change in month t demand. (The Greek symbol delta is typically used to indicate change.) Develop the model in such a way that you can use SolverTable to analyze changes in the amounts produced and the total cost when k varies from 0 to 10 in 1-unit increments, for any fixed values of the  ts. For example, try this when  1   200,  2   500, and  3   300. Describe the behavior you observe in the table. Can you find any reasonable  ts that induce positive production levels in week 3?</a:t>
          </a:r>
          <a:endParaRPr lang="en-US" sz="1100">
            <a:solidFill>
              <a:schemeClr val="dk1"/>
            </a:solidFill>
            <a:latin typeface="Arial" panose="020B0604020202020204" pitchFamily="34" charset="0"/>
            <a:ea typeface="+mn-ea"/>
            <a:cs typeface="Arial" panose="020B06040202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9</xdr:col>
      <xdr:colOff>381000</xdr:colOff>
      <xdr:row>16</xdr:row>
      <xdr:rowOff>0</xdr:rowOff>
    </xdr:from>
    <xdr:to>
      <xdr:col>17</xdr:col>
      <xdr:colOff>381000</xdr:colOff>
      <xdr:row>31</xdr:row>
      <xdr:rowOff>0</xdr:rowOff>
    </xdr:to>
    <xdr:graphicFrame macro="">
      <xdr:nvGraphicFramePr>
        <xdr:cNvPr id="2" name="STS_1_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381000</xdr:colOff>
      <xdr:row>3</xdr:row>
      <xdr:rowOff>0</xdr:rowOff>
    </xdr:from>
    <xdr:to>
      <xdr:col>15</xdr:col>
      <xdr:colOff>381000</xdr:colOff>
      <xdr:row>3</xdr:row>
      <xdr:rowOff>762000</xdr:rowOff>
    </xdr:to>
    <xdr:sp macro="" textlink="">
      <xdr:nvSpPr>
        <xdr:cNvPr id="3" name="TextBox 2"/>
        <xdr:cNvSpPr txBox="1"/>
      </xdr:nvSpPr>
      <xdr:spPr>
        <a:xfrm>
          <a:off x="7315200" y="571500"/>
          <a:ext cx="2438400" cy="762000"/>
        </a:xfrm>
        <a:prstGeom prst="rect">
          <a:avLst/>
        </a:prstGeom>
        <a:solidFill>
          <a:schemeClr val="lt1"/>
        </a:solidFill>
        <a:ln w="15875" cap="flat" cmpd="sng" algn="ctr">
          <a:solidFill>
            <a:schemeClr val="accent1">
              <a:lumMod val="100000"/>
            </a:schemeClr>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When you select an output from the dropdown list in cell $K$4, the chart will adapt to that output.</a:t>
          </a:r>
        </a:p>
      </xdr:txBody>
    </xdr:sp>
    <xdr:clientData/>
  </xdr:twoCellAnchor>
  <xdr:twoCellAnchor>
    <xdr:from>
      <xdr:col>0</xdr:col>
      <xdr:colOff>38100</xdr:colOff>
      <xdr:row>17</xdr:row>
      <xdr:rowOff>66675</xdr:rowOff>
    </xdr:from>
    <xdr:to>
      <xdr:col>7</xdr:col>
      <xdr:colOff>28575</xdr:colOff>
      <xdr:row>28</xdr:row>
      <xdr:rowOff>76201</xdr:rowOff>
    </xdr:to>
    <xdr:sp macro="" textlink="">
      <xdr:nvSpPr>
        <xdr:cNvPr id="4" name="TextBox 3"/>
        <xdr:cNvSpPr txBox="1"/>
      </xdr:nvSpPr>
      <xdr:spPr>
        <a:xfrm>
          <a:off x="38100" y="4276725"/>
          <a:ext cx="4486275" cy="2105026"/>
        </a:xfrm>
        <a:prstGeom prst="rect">
          <a:avLst/>
        </a:prstGeom>
        <a:solidFill>
          <a:schemeClr val="accent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Answer:</a:t>
          </a:r>
        </a:p>
        <a:p>
          <a:r>
            <a:rPr lang="en-US" sz="1200"/>
            <a:t>After</a:t>
          </a:r>
          <a:r>
            <a:rPr lang="en-US" sz="1200" baseline="0"/>
            <a:t> adding k*200 demand for week1, k*500 demand for week2 and k*300 demand for week 3, then varying k from 0 to 10, the sensetivity analysis shows that the production number in week 3 is still 0.</a:t>
          </a:r>
        </a:p>
        <a:p>
          <a:endParaRPr lang="en-US" sz="1200" baseline="0"/>
        </a:p>
        <a:p>
          <a:r>
            <a:rPr lang="en-US" sz="1200" baseline="0"/>
            <a:t>I also try only adding k*1000 demand for week 3 then varying k from 0 to 100 in the STSTS2_Ch3_Q29_b spreadsheet. The sensetivity analysis shows that the production number in week 3 is still 0, will the production level in week 2 increases with the increase of k.</a:t>
          </a:r>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9</xdr:col>
      <xdr:colOff>266700</xdr:colOff>
      <xdr:row>106</xdr:row>
      <xdr:rowOff>0</xdr:rowOff>
    </xdr:from>
    <xdr:to>
      <xdr:col>17</xdr:col>
      <xdr:colOff>266700</xdr:colOff>
      <xdr:row>121</xdr:row>
      <xdr:rowOff>0</xdr:rowOff>
    </xdr:to>
    <xdr:graphicFrame macro="">
      <xdr:nvGraphicFramePr>
        <xdr:cNvPr id="2" name="STS_2_Char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266700</xdr:colOff>
      <xdr:row>3</xdr:row>
      <xdr:rowOff>0</xdr:rowOff>
    </xdr:from>
    <xdr:to>
      <xdr:col>15</xdr:col>
      <xdr:colOff>266700</xdr:colOff>
      <xdr:row>3</xdr:row>
      <xdr:rowOff>762000</xdr:rowOff>
    </xdr:to>
    <xdr:sp macro="" textlink="">
      <xdr:nvSpPr>
        <xdr:cNvPr id="3" name="TextBox 2"/>
        <xdr:cNvSpPr txBox="1"/>
      </xdr:nvSpPr>
      <xdr:spPr>
        <a:xfrm>
          <a:off x="7315200" y="571500"/>
          <a:ext cx="2438400" cy="762000"/>
        </a:xfrm>
        <a:prstGeom prst="rect">
          <a:avLst/>
        </a:prstGeom>
        <a:solidFill>
          <a:schemeClr val="lt1"/>
        </a:solidFill>
        <a:ln w="15875" cap="flat" cmpd="sng" algn="ctr">
          <a:solidFill>
            <a:schemeClr val="accent1">
              <a:lumMod val="100000"/>
            </a:schemeClr>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When you select an output from the dropdown list in cell $K$4, the chart will adapt to that output.</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28575</xdr:colOff>
      <xdr:row>0</xdr:row>
      <xdr:rowOff>19049</xdr:rowOff>
    </xdr:from>
    <xdr:to>
      <xdr:col>8</xdr:col>
      <xdr:colOff>0</xdr:colOff>
      <xdr:row>5</xdr:row>
      <xdr:rowOff>180975</xdr:rowOff>
    </xdr:to>
    <xdr:sp macro="" textlink="">
      <xdr:nvSpPr>
        <xdr:cNvPr id="2" name="TextBox 1"/>
        <xdr:cNvSpPr txBox="1"/>
      </xdr:nvSpPr>
      <xdr:spPr>
        <a:xfrm>
          <a:off x="28575" y="19049"/>
          <a:ext cx="6943725" cy="11144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Question Statement:</a:t>
          </a:r>
        </a:p>
        <a:p>
          <a:r>
            <a:rPr lang="en-US" sz="1100">
              <a:latin typeface="Arial" panose="020B0604020202020204" pitchFamily="34" charset="0"/>
              <a:cs typeface="Arial" panose="020B0604020202020204" pitchFamily="34" charset="0"/>
            </a:rPr>
            <a:t>A furniture company manufactures tables and chairs. Each table and chair must be made</a:t>
          </a:r>
          <a:r>
            <a:rPr lang="en-US" sz="1100" baseline="0">
              <a:latin typeface="Arial" panose="020B0604020202020204" pitchFamily="34" charset="0"/>
              <a:cs typeface="Arial" panose="020B0604020202020204" pitchFamily="34" charset="0"/>
            </a:rPr>
            <a:t> entirely out of oak or entirely out of pine. A total of 15,000 board feet of oak and 21,000 board  feet of pine are available. A table requires either 17 board feet of oak or 30 board feet of pine, and a chair requires either 5 board feet of oak or 13 board feet of pine. Each table can be sold for $800, and each chair for $300.</a:t>
          </a:r>
        </a:p>
        <a:p>
          <a:r>
            <a:rPr lang="en-US" sz="1100" baseline="0">
              <a:latin typeface="Arial" panose="020B0604020202020204" pitchFamily="34" charset="0"/>
              <a:cs typeface="Arial" panose="020B0604020202020204" pitchFamily="34" charset="0"/>
            </a:rPr>
            <a:t>a. Determine how the company can maximize its revenue.</a:t>
          </a:r>
        </a:p>
      </xdr:txBody>
    </xdr:sp>
    <xdr:clientData/>
  </xdr:twoCellAnchor>
  <xdr:twoCellAnchor>
    <xdr:from>
      <xdr:col>0</xdr:col>
      <xdr:colOff>19051</xdr:colOff>
      <xdr:row>25</xdr:row>
      <xdr:rowOff>1</xdr:rowOff>
    </xdr:from>
    <xdr:to>
      <xdr:col>4</xdr:col>
      <xdr:colOff>1</xdr:colOff>
      <xdr:row>29</xdr:row>
      <xdr:rowOff>1</xdr:rowOff>
    </xdr:to>
    <xdr:sp macro="" textlink="">
      <xdr:nvSpPr>
        <xdr:cNvPr id="6" name="TextBox 5"/>
        <xdr:cNvSpPr txBox="1"/>
      </xdr:nvSpPr>
      <xdr:spPr>
        <a:xfrm>
          <a:off x="19051" y="5715001"/>
          <a:ext cx="4591050" cy="7620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Answers:</a:t>
          </a:r>
        </a:p>
        <a:p>
          <a:r>
            <a:rPr lang="en-US" sz="1100"/>
            <a:t>a. When producing</a:t>
          </a:r>
          <a:r>
            <a:rPr lang="en-US" sz="1100" baseline="0"/>
            <a:t> 0 oak table, 3000 oak chair, 700 pine table and 0 pine chair, the maximal revenue is </a:t>
          </a:r>
          <a:r>
            <a:rPr lang="en-US" sz="1100" b="0" i="0" u="none" strike="noStrike">
              <a:solidFill>
                <a:schemeClr val="dk1"/>
              </a:solidFill>
              <a:effectLst/>
              <a:latin typeface="+mn-lt"/>
              <a:ea typeface="+mn-ea"/>
              <a:cs typeface="+mn-cs"/>
            </a:rPr>
            <a:t>$1,460,000</a:t>
          </a:r>
          <a:r>
            <a:rPr lang="en-US"/>
            <a:t> .</a:t>
          </a:r>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9526</xdr:rowOff>
    </xdr:from>
    <xdr:to>
      <xdr:col>7</xdr:col>
      <xdr:colOff>76200</xdr:colOff>
      <xdr:row>5</xdr:row>
      <xdr:rowOff>180976</xdr:rowOff>
    </xdr:to>
    <xdr:sp macro="" textlink="">
      <xdr:nvSpPr>
        <xdr:cNvPr id="2" name="TextBox 1"/>
        <xdr:cNvSpPr txBox="1"/>
      </xdr:nvSpPr>
      <xdr:spPr>
        <a:xfrm>
          <a:off x="0" y="9526"/>
          <a:ext cx="6419850"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Arial" panose="020B0604020202020204" pitchFamily="34" charset="0"/>
              <a:ea typeface="+mn-ea"/>
              <a:cs typeface="Arial" panose="020B0604020202020204" pitchFamily="34" charset="0"/>
            </a:rPr>
            <a:t>b. Use SolverTable to investigate the effects of simultaneous changes in the selling prices of the products. Specifically, see what happens to the total revenue when the selling prices of oak products change by a factor 1+k1 and the selling prices of pine products change by a factor 1+k2. Revise your model from the previous problem so that you can use SolverTable to investigate changes in total revenues as k1 and k2 both vary from -0.3 to 0.3 in increments of 0.1. Can you conclude that total revenue changes linearly within this range?</a:t>
          </a:r>
          <a:endParaRPr lang="en-US">
            <a:effectLst/>
            <a:latin typeface="Arial" panose="020B0604020202020204" pitchFamily="34" charset="0"/>
            <a:cs typeface="Arial" panose="020B0604020202020204" pitchFamily="34" charset="0"/>
          </a:endParaRPr>
        </a:p>
      </xdr:txBody>
    </xdr:sp>
    <xdr:clientData/>
  </xdr:twoCellAnchor>
  <xdr:twoCellAnchor>
    <xdr:from>
      <xdr:col>0</xdr:col>
      <xdr:colOff>0</xdr:colOff>
      <xdr:row>28</xdr:row>
      <xdr:rowOff>0</xdr:rowOff>
    </xdr:from>
    <xdr:to>
      <xdr:col>6</xdr:col>
      <xdr:colOff>19050</xdr:colOff>
      <xdr:row>35</xdr:row>
      <xdr:rowOff>171450</xdr:rowOff>
    </xdr:to>
    <xdr:sp macro="" textlink="">
      <xdr:nvSpPr>
        <xdr:cNvPr id="3" name="TextBox 2"/>
        <xdr:cNvSpPr txBox="1"/>
      </xdr:nvSpPr>
      <xdr:spPr>
        <a:xfrm>
          <a:off x="0" y="5334000"/>
          <a:ext cx="5753100" cy="150495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Answers:</a:t>
          </a:r>
        </a:p>
        <a:p>
          <a:r>
            <a:rPr lang="en-US" sz="1100"/>
            <a:t>b. Based on the sensetivity</a:t>
          </a:r>
          <a:r>
            <a:rPr lang="en-US" sz="1100" baseline="0"/>
            <a:t> analysis shown at sheet STS_Ch3_Q32_b, with k1 increased from -0.3 to 0.3 in an increment of 0.1, the total revenue increases from$1,022,000 to $1,358,000 in an </a:t>
          </a:r>
          <a:r>
            <a:rPr lang="en-US" sz="1100" baseline="0">
              <a:solidFill>
                <a:schemeClr val="dk1"/>
              </a:solidFill>
              <a:effectLst/>
              <a:latin typeface="+mn-lt"/>
              <a:ea typeface="+mn-ea"/>
              <a:cs typeface="+mn-cs"/>
            </a:rPr>
            <a:t>increment of $56,000. With k2 increased from -0.3 to 0.3 in an increment of 0.1 the total re venue increases from$1,022,000 to $</a:t>
          </a:r>
          <a:r>
            <a:rPr lang="en-US" sz="1100" b="0" i="0" u="none" strike="noStrike">
              <a:solidFill>
                <a:schemeClr val="dk1"/>
              </a:solidFill>
              <a:effectLst/>
              <a:latin typeface="+mn-lt"/>
              <a:ea typeface="+mn-ea"/>
              <a:cs typeface="+mn-cs"/>
            </a:rPr>
            <a:t>1,562,000</a:t>
          </a:r>
          <a:r>
            <a:rPr lang="en-US"/>
            <a:t> in an increment of $90,000. With k1</a:t>
          </a:r>
          <a:r>
            <a:rPr lang="en-US" baseline="0"/>
            <a:t> and k2 both increased from -0.3 to 0.3 in increments of 0.1 the total revenue increases from $1,022,000 to $1,898,000 in an increment of $146,000.</a:t>
          </a:r>
        </a:p>
        <a:p>
          <a:r>
            <a:rPr lang="en-US" sz="1100" baseline="0"/>
            <a:t>Thus, the conclution is that  total revenue changes linearly within this range.</a:t>
          </a:r>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8</xdr:col>
      <xdr:colOff>352425</xdr:colOff>
      <xdr:row>12</xdr:row>
      <xdr:rowOff>0</xdr:rowOff>
    </xdr:from>
    <xdr:to>
      <xdr:col>16</xdr:col>
      <xdr:colOff>352425</xdr:colOff>
      <xdr:row>27</xdr:row>
      <xdr:rowOff>0</xdr:rowOff>
    </xdr:to>
    <xdr:graphicFrame macro="">
      <xdr:nvGraphicFramePr>
        <xdr:cNvPr id="2" name="STS_2_Char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17</xdr:col>
      <xdr:colOff>352425</xdr:colOff>
      <xdr:row>12</xdr:row>
      <xdr:rowOff>0</xdr:rowOff>
    </xdr:from>
    <xdr:to>
      <xdr:col>25</xdr:col>
      <xdr:colOff>352425</xdr:colOff>
      <xdr:row>27</xdr:row>
      <xdr:rowOff>0</xdr:rowOff>
    </xdr:to>
    <xdr:graphicFrame macro="">
      <xdr:nvGraphicFramePr>
        <xdr:cNvPr id="3" name="STS_2_Chart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16</xdr:col>
      <xdr:colOff>590550</xdr:colOff>
      <xdr:row>3</xdr:row>
      <xdr:rowOff>0</xdr:rowOff>
    </xdr:from>
    <xdr:to>
      <xdr:col>22</xdr:col>
      <xdr:colOff>590550</xdr:colOff>
      <xdr:row>6</xdr:row>
      <xdr:rowOff>19050</xdr:rowOff>
    </xdr:to>
    <xdr:sp macro="" textlink="">
      <xdr:nvSpPr>
        <xdr:cNvPr id="4" name="TextBox 3"/>
        <xdr:cNvSpPr txBox="1"/>
      </xdr:nvSpPr>
      <xdr:spPr>
        <a:xfrm>
          <a:off x="11534775" y="571500"/>
          <a:ext cx="3657600" cy="1333500"/>
        </a:xfrm>
        <a:prstGeom prst="rect">
          <a:avLst/>
        </a:prstGeom>
        <a:solidFill>
          <a:schemeClr val="lt1"/>
        </a:solidFill>
        <a:ln w="15875" cap="flat" cmpd="sng" algn="ctr">
          <a:solidFill>
            <a:schemeClr val="accent1">
              <a:lumMod val="100000"/>
            </a:schemeClr>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US" sz="1100"/>
            <a:t>By making appropriate selections in cells $K$4, $L$4, $O$4, and $P$4, you can chart any row (in left chart) or column (in right chart) of any table to the left.</a:t>
          </a:r>
        </a:p>
      </xdr:txBody>
    </xdr:sp>
    <xdr:clientData/>
  </xdr:twoCellAnchor>
  <xdr:twoCellAnchor>
    <xdr:from>
      <xdr:col>0</xdr:col>
      <xdr:colOff>276225</xdr:colOff>
      <xdr:row>22</xdr:row>
      <xdr:rowOff>4762</xdr:rowOff>
    </xdr:from>
    <xdr:to>
      <xdr:col>6</xdr:col>
      <xdr:colOff>133350</xdr:colOff>
      <xdr:row>36</xdr:row>
      <xdr:rowOff>80962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N42"/>
  <sheetViews>
    <sheetView tabSelected="1" workbookViewId="0">
      <selection activeCell="D11" sqref="D11"/>
    </sheetView>
  </sheetViews>
  <sheetFormatPr defaultColWidth="8.85546875" defaultRowHeight="15"/>
  <cols>
    <col min="1" max="1" width="24" customWidth="1"/>
    <col min="2" max="2" width="14.42578125" bestFit="1" customWidth="1"/>
    <col min="3" max="3" width="11.140625" bestFit="1" customWidth="1"/>
    <col min="4" max="4" width="11.85546875" customWidth="1"/>
    <col min="5" max="5" width="19.28515625" customWidth="1"/>
    <col min="6" max="6" width="14.7109375" customWidth="1"/>
    <col min="7" max="7" width="14.140625" customWidth="1"/>
    <col min="8" max="8" width="14" customWidth="1"/>
    <col min="9" max="9" width="13" customWidth="1"/>
    <col min="10" max="10" width="12" customWidth="1"/>
    <col min="11" max="11" width="11.42578125" customWidth="1"/>
    <col min="12" max="12" width="14.140625" customWidth="1"/>
  </cols>
  <sheetData>
    <row r="11" spans="1:7">
      <c r="A11" s="64" t="s">
        <v>3</v>
      </c>
      <c r="B11" s="64"/>
    </row>
    <row r="13" spans="1:7">
      <c r="A13" s="1" t="s">
        <v>0</v>
      </c>
      <c r="E13" s="64" t="s">
        <v>15</v>
      </c>
      <c r="F13" s="64"/>
      <c r="G13" s="64"/>
    </row>
    <row r="14" spans="1:7">
      <c r="A14" t="s">
        <v>4</v>
      </c>
      <c r="B14" s="2">
        <v>5000000</v>
      </c>
      <c r="E14" t="s">
        <v>11</v>
      </c>
      <c r="F14" s="10" t="s">
        <v>9</v>
      </c>
    </row>
    <row r="15" spans="1:7">
      <c r="A15" t="s">
        <v>5</v>
      </c>
      <c r="B15" s="2">
        <v>1000</v>
      </c>
      <c r="F15" s="12">
        <f>B23</f>
        <v>20668000</v>
      </c>
    </row>
    <row r="16" spans="1:7">
      <c r="A16" t="s">
        <v>1</v>
      </c>
      <c r="B16" s="3">
        <v>8</v>
      </c>
      <c r="E16" s="9">
        <v>0.5</v>
      </c>
      <c r="F16" s="11">
        <f t="dataTable" ref="F16:F26" dt2D="0" dtr="0" r1="B19" ca="1"/>
        <v>10780000</v>
      </c>
    </row>
    <row r="17" spans="1:14">
      <c r="A17" t="s">
        <v>12</v>
      </c>
      <c r="B17" s="3">
        <v>100</v>
      </c>
      <c r="E17" s="9">
        <v>0.55000000000000004</v>
      </c>
      <c r="F17" s="11">
        <v>12428000.000000004</v>
      </c>
    </row>
    <row r="18" spans="1:14">
      <c r="A18" t="s">
        <v>2</v>
      </c>
      <c r="B18" s="4">
        <v>800</v>
      </c>
      <c r="E18" s="9">
        <v>0.6</v>
      </c>
      <c r="F18" s="11">
        <v>14076000</v>
      </c>
    </row>
    <row r="19" spans="1:14">
      <c r="A19" t="s">
        <v>11</v>
      </c>
      <c r="B19" s="5">
        <v>0.8</v>
      </c>
      <c r="E19" s="9">
        <v>0.65</v>
      </c>
      <c r="F19" s="11">
        <v>15724000</v>
      </c>
    </row>
    <row r="20" spans="1:14">
      <c r="A20" t="s">
        <v>7</v>
      </c>
      <c r="B20" s="2">
        <v>50</v>
      </c>
      <c r="E20" s="9">
        <v>0.7</v>
      </c>
      <c r="F20" s="11">
        <v>17371999.999999996</v>
      </c>
    </row>
    <row r="21" spans="1:14">
      <c r="A21" t="s">
        <v>6</v>
      </c>
      <c r="B21" s="2">
        <v>1.5</v>
      </c>
      <c r="E21" s="9">
        <v>0.75</v>
      </c>
      <c r="F21" s="11">
        <v>19020000</v>
      </c>
    </row>
    <row r="22" spans="1:14">
      <c r="B22" s="6"/>
      <c r="E22" s="9">
        <v>0.8</v>
      </c>
      <c r="F22" s="11">
        <v>20668000</v>
      </c>
    </row>
    <row r="23" spans="1:14">
      <c r="A23" t="s">
        <v>9</v>
      </c>
      <c r="B23" s="8">
        <f>(B20+B21)*B19*B18*B16*B17-B15*7*B17-B14</f>
        <v>20668000</v>
      </c>
      <c r="E23" s="9">
        <v>0.85</v>
      </c>
      <c r="F23" s="11">
        <v>22316000</v>
      </c>
    </row>
    <row r="24" spans="1:14">
      <c r="E24" s="9">
        <v>0.9</v>
      </c>
      <c r="F24" s="11">
        <v>23964000</v>
      </c>
    </row>
    <row r="25" spans="1:14">
      <c r="A25" s="64" t="s">
        <v>14</v>
      </c>
      <c r="B25" s="64"/>
      <c r="C25" s="64"/>
      <c r="D25" s="64"/>
      <c r="E25" s="9">
        <v>0.95</v>
      </c>
      <c r="F25" s="11">
        <v>25612000</v>
      </c>
    </row>
    <row r="26" spans="1:14">
      <c r="A26" t="s">
        <v>8</v>
      </c>
      <c r="B26" s="7">
        <v>38.959015116097902</v>
      </c>
      <c r="E26" s="9">
        <v>1</v>
      </c>
      <c r="F26" s="11">
        <v>27260000</v>
      </c>
    </row>
    <row r="27" spans="1:14">
      <c r="A27" t="s">
        <v>13</v>
      </c>
      <c r="B27" s="8">
        <f>(B20+B21)*B19*B18*B16*B26-B15*7*B26-B14</f>
        <v>5000000.0000000093</v>
      </c>
    </row>
    <row r="28" spans="1:14">
      <c r="A28" t="s">
        <v>10</v>
      </c>
      <c r="B28" s="5">
        <f>B27/B14</f>
        <v>1.0000000000000018</v>
      </c>
    </row>
    <row r="30" spans="1:14">
      <c r="A30" s="1" t="s">
        <v>16</v>
      </c>
    </row>
    <row r="31" spans="1:14">
      <c r="A31" s="13">
        <f>B23</f>
        <v>20668000</v>
      </c>
      <c r="B31">
        <v>50</v>
      </c>
      <c r="C31">
        <v>75</v>
      </c>
      <c r="D31">
        <v>100</v>
      </c>
      <c r="E31">
        <v>125</v>
      </c>
      <c r="F31">
        <v>150</v>
      </c>
      <c r="G31">
        <v>175</v>
      </c>
      <c r="H31">
        <v>200</v>
      </c>
    </row>
    <row r="32" spans="1:14">
      <c r="A32" s="11">
        <v>30</v>
      </c>
      <c r="B32" s="11">
        <f t="dataTable" ref="B32:H42" dt2D="1" dtr="1" r1="B17" r2="B20"/>
        <v>2714000.0000000019</v>
      </c>
      <c r="C32" s="11">
        <v>6571000.0000000019</v>
      </c>
      <c r="D32" s="11">
        <v>10428000.000000004</v>
      </c>
      <c r="E32" s="11">
        <v>14285000.000000004</v>
      </c>
      <c r="F32" s="11">
        <v>18142000.000000004</v>
      </c>
      <c r="G32" s="11">
        <v>21999000.000000004</v>
      </c>
      <c r="H32" s="11">
        <v>25856000.000000007</v>
      </c>
      <c r="I32" s="11"/>
      <c r="J32" s="11"/>
      <c r="K32" s="11"/>
      <c r="L32" s="11"/>
      <c r="M32" s="11"/>
      <c r="N32" s="11"/>
    </row>
    <row r="33" spans="1:14">
      <c r="A33" s="11">
        <v>35</v>
      </c>
      <c r="B33" s="11">
        <v>3994000.0000000019</v>
      </c>
      <c r="C33" s="11">
        <v>8491000.0000000019</v>
      </c>
      <c r="D33" s="11">
        <v>12988000.000000004</v>
      </c>
      <c r="E33" s="11">
        <v>17485000.000000004</v>
      </c>
      <c r="F33" s="11">
        <v>21982000.000000004</v>
      </c>
      <c r="G33" s="11">
        <v>26479000.000000004</v>
      </c>
      <c r="H33" s="11">
        <v>30976000.000000007</v>
      </c>
      <c r="I33" s="11"/>
      <c r="J33" s="11"/>
      <c r="K33" s="11"/>
      <c r="L33" s="11"/>
      <c r="M33" s="11"/>
      <c r="N33" s="11"/>
    </row>
    <row r="34" spans="1:14">
      <c r="A34" s="11">
        <v>40</v>
      </c>
      <c r="B34" s="11">
        <v>5274000.0000000019</v>
      </c>
      <c r="C34" s="11">
        <v>10411000.000000002</v>
      </c>
      <c r="D34" s="11">
        <v>15548000.000000004</v>
      </c>
      <c r="E34" s="11">
        <v>20685000.000000004</v>
      </c>
      <c r="F34" s="11">
        <v>25822000.000000004</v>
      </c>
      <c r="G34" s="11">
        <v>30959000.000000007</v>
      </c>
      <c r="H34" s="11">
        <v>36096000.000000007</v>
      </c>
      <c r="I34" s="11"/>
      <c r="J34" s="11"/>
      <c r="K34" s="11"/>
      <c r="L34" s="11"/>
      <c r="M34" s="11"/>
      <c r="N34" s="11"/>
    </row>
    <row r="35" spans="1:14">
      <c r="A35" s="11">
        <v>45</v>
      </c>
      <c r="B35" s="11">
        <v>6554000.0000000019</v>
      </c>
      <c r="C35" s="11">
        <v>12331000.000000004</v>
      </c>
      <c r="D35" s="11">
        <v>18108000.000000004</v>
      </c>
      <c r="E35" s="11">
        <v>23885000.000000004</v>
      </c>
      <c r="F35" s="11">
        <v>29662000.000000007</v>
      </c>
      <c r="G35" s="11">
        <v>35439000.000000007</v>
      </c>
      <c r="H35" s="11">
        <v>41216000.000000007</v>
      </c>
      <c r="I35" s="11"/>
      <c r="J35" s="11"/>
      <c r="K35" s="11"/>
      <c r="L35" s="11"/>
      <c r="M35" s="11"/>
      <c r="N35" s="11"/>
    </row>
    <row r="36" spans="1:14">
      <c r="A36" s="11">
        <v>50</v>
      </c>
      <c r="B36" s="11">
        <v>7834000</v>
      </c>
      <c r="C36" s="11">
        <v>14251000</v>
      </c>
      <c r="D36" s="11">
        <v>20668000</v>
      </c>
      <c r="E36" s="11">
        <v>27085000</v>
      </c>
      <c r="F36" s="11">
        <v>33502000</v>
      </c>
      <c r="G36" s="11">
        <v>39919000</v>
      </c>
      <c r="H36" s="11">
        <v>46336000</v>
      </c>
      <c r="I36" s="11"/>
      <c r="J36" s="11"/>
      <c r="K36" s="11"/>
      <c r="L36" s="11"/>
      <c r="M36" s="11"/>
      <c r="N36" s="11"/>
    </row>
    <row r="37" spans="1:14">
      <c r="A37" s="11">
        <v>55</v>
      </c>
      <c r="B37" s="11">
        <v>9114000</v>
      </c>
      <c r="C37" s="11">
        <v>16171000</v>
      </c>
      <c r="D37" s="11">
        <v>23228000</v>
      </c>
      <c r="E37" s="11">
        <v>30285000</v>
      </c>
      <c r="F37" s="11">
        <v>37342000</v>
      </c>
      <c r="G37" s="11">
        <v>44399000</v>
      </c>
      <c r="H37" s="11">
        <v>51456000</v>
      </c>
      <c r="I37" s="11"/>
      <c r="J37" s="11"/>
      <c r="K37" s="11"/>
      <c r="L37" s="11"/>
      <c r="M37" s="11"/>
      <c r="N37" s="11"/>
    </row>
    <row r="38" spans="1:14">
      <c r="A38" s="11">
        <v>60</v>
      </c>
      <c r="B38" s="11">
        <v>10394000</v>
      </c>
      <c r="C38" s="11">
        <v>18091000</v>
      </c>
      <c r="D38" s="11">
        <v>25788000</v>
      </c>
      <c r="E38" s="11">
        <v>33485000</v>
      </c>
      <c r="F38" s="11">
        <v>41182000</v>
      </c>
      <c r="G38" s="11">
        <v>48879000</v>
      </c>
      <c r="H38" s="11">
        <v>56576000</v>
      </c>
      <c r="I38" s="11"/>
      <c r="J38" s="11"/>
      <c r="K38" s="11"/>
      <c r="L38" s="11"/>
      <c r="M38" s="11"/>
      <c r="N38" s="11"/>
    </row>
    <row r="39" spans="1:14">
      <c r="A39" s="11">
        <v>65</v>
      </c>
      <c r="B39" s="11">
        <v>11674000</v>
      </c>
      <c r="C39" s="11">
        <v>20011000</v>
      </c>
      <c r="D39" s="11">
        <v>28348000</v>
      </c>
      <c r="E39" s="11">
        <v>36685000</v>
      </c>
      <c r="F39" s="11">
        <v>45022000</v>
      </c>
      <c r="G39" s="11">
        <v>53359000</v>
      </c>
      <c r="H39" s="11">
        <v>61696000</v>
      </c>
      <c r="I39" s="11"/>
      <c r="J39" s="11"/>
      <c r="K39" s="11"/>
      <c r="L39" s="11"/>
      <c r="M39" s="11"/>
      <c r="N39" s="11"/>
    </row>
    <row r="40" spans="1:14">
      <c r="A40" s="11">
        <v>70</v>
      </c>
      <c r="B40" s="11">
        <v>12954000</v>
      </c>
      <c r="C40" s="11">
        <v>21931000</v>
      </c>
      <c r="D40" s="11">
        <v>30908000</v>
      </c>
      <c r="E40" s="11">
        <v>39885000</v>
      </c>
      <c r="F40" s="11">
        <v>48862000</v>
      </c>
      <c r="G40" s="11">
        <v>57839000</v>
      </c>
      <c r="H40" s="11">
        <v>66816000</v>
      </c>
      <c r="I40" s="11"/>
      <c r="J40" s="11"/>
      <c r="K40" s="11"/>
      <c r="L40" s="11"/>
      <c r="M40" s="11"/>
      <c r="N40" s="11"/>
    </row>
    <row r="41" spans="1:14">
      <c r="A41" s="11">
        <v>75</v>
      </c>
      <c r="B41" s="11">
        <v>14234000</v>
      </c>
      <c r="C41" s="11">
        <v>23851000</v>
      </c>
      <c r="D41" s="11">
        <v>33468000</v>
      </c>
      <c r="E41" s="11">
        <v>43085000</v>
      </c>
      <c r="F41" s="11">
        <v>52702000</v>
      </c>
      <c r="G41" s="11">
        <v>62319000</v>
      </c>
      <c r="H41" s="11">
        <v>71936000</v>
      </c>
      <c r="I41" s="11"/>
      <c r="J41" s="11"/>
      <c r="K41" s="11"/>
      <c r="L41" s="11"/>
      <c r="M41" s="11"/>
      <c r="N41" s="11"/>
    </row>
    <row r="42" spans="1:14">
      <c r="A42" s="11">
        <v>80</v>
      </c>
      <c r="B42" s="11">
        <v>15514000</v>
      </c>
      <c r="C42" s="11">
        <v>25771000</v>
      </c>
      <c r="D42" s="11">
        <v>36028000</v>
      </c>
      <c r="E42" s="11">
        <v>46285000</v>
      </c>
      <c r="F42" s="11">
        <v>56542000</v>
      </c>
      <c r="G42" s="11">
        <v>66799000</v>
      </c>
      <c r="H42" s="11">
        <v>77056000</v>
      </c>
      <c r="I42" s="11"/>
      <c r="J42" s="11"/>
      <c r="K42" s="11"/>
      <c r="L42" s="11"/>
      <c r="M42" s="11"/>
      <c r="N42" s="11"/>
    </row>
  </sheetData>
  <dataConsolidate/>
  <mergeCells count="3">
    <mergeCell ref="A11:B11"/>
    <mergeCell ref="A25:D25"/>
    <mergeCell ref="E13:G13"/>
  </mergeCells>
  <phoneticPr fontId="2" type="noConversion"/>
  <pageMargins left="0.7" right="0.7" top="0.75" bottom="0.75" header="0.3" footer="0.3"/>
  <pageSetup orientation="portrait" verticalDpi="0"/>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L37"/>
  <sheetViews>
    <sheetView zoomScaleNormal="100" workbookViewId="0">
      <selection activeCell="B22" sqref="B22"/>
    </sheetView>
  </sheetViews>
  <sheetFormatPr defaultColWidth="8.85546875" defaultRowHeight="15"/>
  <cols>
    <col min="1" max="1" width="18.140625" customWidth="1"/>
    <col min="2" max="2" width="13.140625" customWidth="1"/>
    <col min="3" max="3" width="12.5703125" bestFit="1" customWidth="1"/>
    <col min="4" max="4" width="14.42578125" customWidth="1"/>
    <col min="5" max="5" width="13.85546875" customWidth="1"/>
    <col min="6" max="6" width="12.42578125" customWidth="1"/>
    <col min="7" max="7" width="15.5703125" customWidth="1"/>
    <col min="8" max="8" width="12.7109375" customWidth="1"/>
    <col min="9" max="12" width="12.5703125" bestFit="1" customWidth="1"/>
  </cols>
  <sheetData>
    <row r="11" spans="1:8">
      <c r="A11" s="1" t="s">
        <v>17</v>
      </c>
    </row>
    <row r="12" spans="1:8">
      <c r="D12" s="64" t="s">
        <v>31</v>
      </c>
      <c r="E12" s="64"/>
      <c r="F12" s="64"/>
      <c r="G12" s="64"/>
      <c r="H12" s="64"/>
    </row>
    <row r="13" spans="1:8">
      <c r="A13" t="s">
        <v>18</v>
      </c>
      <c r="B13" s="16">
        <v>50</v>
      </c>
      <c r="D13" s="1" t="s">
        <v>29</v>
      </c>
      <c r="G13" s="1" t="s">
        <v>30</v>
      </c>
    </row>
    <row r="14" spans="1:8">
      <c r="A14" t="s">
        <v>22</v>
      </c>
      <c r="B14" s="3">
        <v>1.51</v>
      </c>
      <c r="D14" t="s">
        <v>25</v>
      </c>
      <c r="E14" t="s">
        <v>27</v>
      </c>
      <c r="G14" t="s">
        <v>25</v>
      </c>
      <c r="H14" t="s">
        <v>27</v>
      </c>
    </row>
    <row r="15" spans="1:8">
      <c r="A15" t="s">
        <v>19</v>
      </c>
      <c r="B15" s="3">
        <v>27556759</v>
      </c>
      <c r="D15" s="22">
        <v>35</v>
      </c>
      <c r="E15" s="23">
        <f>B23</f>
        <v>15463.567401335749</v>
      </c>
      <c r="H15" s="23">
        <f>B23</f>
        <v>15463.567401335749</v>
      </c>
    </row>
    <row r="16" spans="1:8">
      <c r="A16" t="s">
        <v>32</v>
      </c>
      <c r="B16" s="3">
        <v>-2.4</v>
      </c>
      <c r="D16" s="22">
        <v>40</v>
      </c>
      <c r="E16" s="14">
        <f t="dataTable" ref="E16:E22" dt2D="0" dtr="0" r1="B19"/>
        <v>40955.996592692449</v>
      </c>
      <c r="G16" s="22">
        <v>55</v>
      </c>
      <c r="H16" s="14">
        <f t="dataTable" ref="H16:H21" dt2D="0" dtr="0" r1="B19" ca="1"/>
        <v>60607.887537141607</v>
      </c>
    </row>
    <row r="17" spans="1:12">
      <c r="D17" s="22">
        <v>45</v>
      </c>
      <c r="E17" s="14">
        <v>53282.250248276599</v>
      </c>
      <c r="G17" s="22">
        <v>56</v>
      </c>
      <c r="H17" s="14">
        <v>60694.67735024773</v>
      </c>
    </row>
    <row r="18" spans="1:12">
      <c r="A18" s="1" t="s">
        <v>20</v>
      </c>
      <c r="D18" s="22">
        <v>50</v>
      </c>
      <c r="E18" s="14">
        <v>58781.451789316096</v>
      </c>
      <c r="G18" s="22">
        <v>57</v>
      </c>
      <c r="H18" s="14">
        <v>60712.012157898484</v>
      </c>
    </row>
    <row r="19" spans="1:12">
      <c r="A19" t="s">
        <v>33</v>
      </c>
      <c r="B19" s="19">
        <v>35</v>
      </c>
      <c r="D19" s="22">
        <v>55</v>
      </c>
      <c r="E19" s="14">
        <v>60607.887537141607</v>
      </c>
      <c r="G19" s="22">
        <v>58</v>
      </c>
      <c r="H19" s="14">
        <v>60667.72776686016</v>
      </c>
    </row>
    <row r="20" spans="1:12">
      <c r="A20" t="s">
        <v>21</v>
      </c>
      <c r="B20" s="25">
        <f>B15*B19^B16</f>
        <v>5425.8131232756969</v>
      </c>
      <c r="D20" s="22">
        <v>60</v>
      </c>
      <c r="E20" s="14">
        <v>60421.453816973633</v>
      </c>
      <c r="G20" s="22">
        <v>59</v>
      </c>
      <c r="H20" s="14">
        <v>60568.801554612903</v>
      </c>
    </row>
    <row r="21" spans="1:12">
      <c r="A21" t="s">
        <v>26</v>
      </c>
      <c r="B21" s="14">
        <f>B14*B19*B20</f>
        <v>286754.2235651206</v>
      </c>
      <c r="D21" s="22">
        <v>65</v>
      </c>
      <c r="E21" s="14">
        <v>59133.335079634126</v>
      </c>
      <c r="G21" s="22">
        <v>60</v>
      </c>
      <c r="H21" s="14">
        <v>60421.453816973633</v>
      </c>
    </row>
    <row r="22" spans="1:12">
      <c r="A22" t="s">
        <v>28</v>
      </c>
      <c r="B22" s="14">
        <f>B13*B20</f>
        <v>271290.65616378485</v>
      </c>
      <c r="D22" s="22">
        <v>70</v>
      </c>
      <c r="E22" s="14">
        <v>57259.564057754178</v>
      </c>
    </row>
    <row r="23" spans="1:12">
      <c r="A23" t="s">
        <v>27</v>
      </c>
      <c r="B23" s="21">
        <f>B21-B22</f>
        <v>15463.567401335749</v>
      </c>
    </row>
    <row r="25" spans="1:12">
      <c r="A25" s="64" t="s">
        <v>34</v>
      </c>
      <c r="B25" s="64"/>
      <c r="C25" s="64"/>
      <c r="D25" s="64"/>
    </row>
    <row r="26" spans="1:12">
      <c r="A26" s="13">
        <f>B23</f>
        <v>15463.567401335749</v>
      </c>
      <c r="B26" s="22">
        <v>50</v>
      </c>
      <c r="C26" s="22">
        <v>51</v>
      </c>
      <c r="D26" s="22">
        <v>52</v>
      </c>
      <c r="E26" s="22">
        <v>53</v>
      </c>
      <c r="F26" s="22">
        <v>54</v>
      </c>
      <c r="G26" s="22">
        <v>55</v>
      </c>
      <c r="H26" s="22">
        <v>56</v>
      </c>
      <c r="I26" s="22">
        <v>57</v>
      </c>
      <c r="J26" s="22">
        <v>58</v>
      </c>
      <c r="K26" s="22">
        <v>59</v>
      </c>
      <c r="L26" s="22">
        <v>60</v>
      </c>
    </row>
    <row r="27" spans="1:12">
      <c r="A27" s="25">
        <v>1.5</v>
      </c>
      <c r="B27" s="14">
        <f t="dataTable" ref="B27:L37" dt2D="1" dtr="1" r1="B19" r2="B14" ca="1"/>
        <v>57628.874303251083</v>
      </c>
      <c r="C27" s="14">
        <v>58251.295625606843</v>
      </c>
      <c r="D27" s="14">
        <v>58745.978864610588</v>
      </c>
      <c r="E27" s="14">
        <v>59127.302623790951</v>
      </c>
      <c r="F27" s="14">
        <v>59407.983100832731</v>
      </c>
      <c r="G27" s="14">
        <v>59599.284264965288</v>
      </c>
      <c r="H27" s="14">
        <v>59711.198782072417</v>
      </c>
      <c r="I27" s="14">
        <v>59752.604147640581</v>
      </c>
      <c r="J27" s="14">
        <v>59731.397748106072</v>
      </c>
      <c r="K27" s="14">
        <v>59654.613963995827</v>
      </c>
      <c r="L27" s="14">
        <v>59528.525928052841</v>
      </c>
    </row>
    <row r="28" spans="1:12">
      <c r="A28" s="25">
        <v>1.55</v>
      </c>
      <c r="B28" s="14">
        <v>63391.761733576175</v>
      </c>
      <c r="C28" s="14">
        <v>63856.608978259581</v>
      </c>
      <c r="D28" s="14">
        <v>64200.962616324439</v>
      </c>
      <c r="E28" s="14">
        <v>64438.738283216255</v>
      </c>
      <c r="F28" s="14">
        <v>64582.226790260116</v>
      </c>
      <c r="G28" s="14">
        <v>64642.300625846969</v>
      </c>
      <c r="H28" s="14">
        <v>64628.591622948981</v>
      </c>
      <c r="I28" s="14">
        <v>64549.644198930037</v>
      </c>
      <c r="J28" s="14">
        <v>64413.047841876571</v>
      </c>
      <c r="K28" s="14">
        <v>64225.551917081233</v>
      </c>
      <c r="L28" s="14">
        <v>63993.165372656804</v>
      </c>
    </row>
    <row r="29" spans="1:12">
      <c r="A29" s="25">
        <v>1.6</v>
      </c>
      <c r="B29" s="14">
        <v>69154.649163901297</v>
      </c>
      <c r="C29" s="14">
        <v>69461.922330912319</v>
      </c>
      <c r="D29" s="14">
        <v>69655.946368038261</v>
      </c>
      <c r="E29" s="14">
        <v>69750.173942641559</v>
      </c>
      <c r="F29" s="14">
        <v>69756.470479687472</v>
      </c>
      <c r="G29" s="14">
        <v>69685.31698672862</v>
      </c>
      <c r="H29" s="14">
        <v>69545.984463825545</v>
      </c>
      <c r="I29" s="14">
        <v>69346.684250219492</v>
      </c>
      <c r="J29" s="14">
        <v>69094.69793564704</v>
      </c>
      <c r="K29" s="14">
        <v>68796.489870166639</v>
      </c>
      <c r="L29" s="14">
        <v>68457.804817260767</v>
      </c>
    </row>
    <row r="30" spans="1:12">
      <c r="A30" s="25">
        <v>1.65</v>
      </c>
      <c r="B30" s="14">
        <v>74917.536594226389</v>
      </c>
      <c r="C30" s="14">
        <v>75067.235683565028</v>
      </c>
      <c r="D30" s="14">
        <v>75110.930119752084</v>
      </c>
      <c r="E30" s="14">
        <v>75061.609602066805</v>
      </c>
      <c r="F30" s="14">
        <v>74930.714169114828</v>
      </c>
      <c r="G30" s="14">
        <v>74728.3333476103</v>
      </c>
      <c r="H30" s="14">
        <v>74463.37730470208</v>
      </c>
      <c r="I30" s="14">
        <v>74143.724301508948</v>
      </c>
      <c r="J30" s="14">
        <v>73776.348029417481</v>
      </c>
      <c r="K30" s="14">
        <v>73367.427823252016</v>
      </c>
      <c r="L30" s="14">
        <v>72922.44426186473</v>
      </c>
    </row>
    <row r="31" spans="1:12">
      <c r="A31" s="25">
        <v>1.7</v>
      </c>
      <c r="B31" s="14">
        <v>80680.42402455151</v>
      </c>
      <c r="C31" s="14">
        <v>80672.549036217795</v>
      </c>
      <c r="D31" s="14">
        <v>80565.913871465906</v>
      </c>
      <c r="E31" s="14">
        <v>80373.045261492109</v>
      </c>
      <c r="F31" s="14">
        <v>80104.957858542184</v>
      </c>
      <c r="G31" s="14">
        <v>79771.34970849198</v>
      </c>
      <c r="H31" s="14">
        <v>79380.770145578645</v>
      </c>
      <c r="I31" s="14">
        <v>78940.764352798375</v>
      </c>
      <c r="J31" s="14">
        <v>78457.998123187979</v>
      </c>
      <c r="K31" s="14">
        <v>77938.365776337392</v>
      </c>
      <c r="L31" s="14">
        <v>77387.083706468693</v>
      </c>
    </row>
    <row r="32" spans="1:12">
      <c r="A32" s="25">
        <v>1.75</v>
      </c>
      <c r="B32" s="14">
        <v>86443.311454876603</v>
      </c>
      <c r="C32" s="14">
        <v>86277.862388870504</v>
      </c>
      <c r="D32" s="14">
        <v>86020.897623179757</v>
      </c>
      <c r="E32" s="14">
        <v>85684.480920917413</v>
      </c>
      <c r="F32" s="14">
        <v>85279.201547969569</v>
      </c>
      <c r="G32" s="14">
        <v>84814.36606937366</v>
      </c>
      <c r="H32" s="14">
        <v>84298.16298645518</v>
      </c>
      <c r="I32" s="14">
        <v>83737.804404087859</v>
      </c>
      <c r="J32" s="14">
        <v>83139.648216958449</v>
      </c>
      <c r="K32" s="14">
        <v>82509.303729422798</v>
      </c>
      <c r="L32" s="14">
        <v>81851.723151072656</v>
      </c>
    </row>
    <row r="33" spans="1:12">
      <c r="A33" s="25">
        <v>1.8</v>
      </c>
      <c r="B33" s="14">
        <v>92206.198885201724</v>
      </c>
      <c r="C33" s="14">
        <v>91883.175741523242</v>
      </c>
      <c r="D33" s="14">
        <v>91475.881374893637</v>
      </c>
      <c r="E33" s="14">
        <v>90995.916580342717</v>
      </c>
      <c r="F33" s="14">
        <v>90453.445237396925</v>
      </c>
      <c r="G33" s="14">
        <v>89857.38243025534</v>
      </c>
      <c r="H33" s="14">
        <v>89215.555827331744</v>
      </c>
      <c r="I33" s="14">
        <v>88534.844455377315</v>
      </c>
      <c r="J33" s="14">
        <v>87821.298310728947</v>
      </c>
      <c r="K33" s="14">
        <v>87080.241682508204</v>
      </c>
      <c r="L33" s="14">
        <v>86316.362595676619</v>
      </c>
    </row>
    <row r="34" spans="1:12">
      <c r="A34" s="25">
        <v>1.85</v>
      </c>
      <c r="B34" s="14">
        <v>97969.086315526816</v>
      </c>
      <c r="C34" s="14">
        <v>97488.48909417601</v>
      </c>
      <c r="D34" s="14">
        <v>96930.865126607459</v>
      </c>
      <c r="E34" s="14">
        <v>96307.352239768021</v>
      </c>
      <c r="F34" s="14">
        <v>95627.68892682431</v>
      </c>
      <c r="G34" s="14">
        <v>94900.39879113702</v>
      </c>
      <c r="H34" s="14">
        <v>94132.948668208308</v>
      </c>
      <c r="I34" s="14">
        <v>93331.884506666771</v>
      </c>
      <c r="J34" s="14">
        <v>92502.948404499446</v>
      </c>
      <c r="K34" s="14">
        <v>91651.179635593609</v>
      </c>
      <c r="L34" s="14">
        <v>90781.002040280582</v>
      </c>
    </row>
    <row r="35" spans="1:12">
      <c r="A35" s="25">
        <v>1.9</v>
      </c>
      <c r="B35" s="14">
        <v>103731.97374585194</v>
      </c>
      <c r="C35" s="14">
        <v>103093.80244682869</v>
      </c>
      <c r="D35" s="14">
        <v>102385.84887832128</v>
      </c>
      <c r="E35" s="14">
        <v>101618.78789919327</v>
      </c>
      <c r="F35" s="14">
        <v>100801.93261625167</v>
      </c>
      <c r="G35" s="14">
        <v>99943.415152018701</v>
      </c>
      <c r="H35" s="14">
        <v>99050.341509084843</v>
      </c>
      <c r="I35" s="14">
        <v>98128.924557956227</v>
      </c>
      <c r="J35" s="14">
        <v>97184.598498269886</v>
      </c>
      <c r="K35" s="14">
        <v>96222.117588678986</v>
      </c>
      <c r="L35" s="14">
        <v>95245.641484884545</v>
      </c>
    </row>
    <row r="36" spans="1:12">
      <c r="A36" s="25">
        <v>1.95</v>
      </c>
      <c r="B36" s="14">
        <v>109494.86117617703</v>
      </c>
      <c r="C36" s="14">
        <v>108699.11579948146</v>
      </c>
      <c r="D36" s="14">
        <v>107840.8326300351</v>
      </c>
      <c r="E36" s="14">
        <v>106930.22355861854</v>
      </c>
      <c r="F36" s="14">
        <v>105976.17630567902</v>
      </c>
      <c r="G36" s="14">
        <v>104986.43151290038</v>
      </c>
      <c r="H36" s="14">
        <v>103967.73434996141</v>
      </c>
      <c r="I36" s="14">
        <v>102925.96460924565</v>
      </c>
      <c r="J36" s="14">
        <v>101866.24859204036</v>
      </c>
      <c r="K36" s="14">
        <v>100793.05554176439</v>
      </c>
      <c r="L36" s="14">
        <v>99710.280929488508</v>
      </c>
    </row>
    <row r="37" spans="1:12">
      <c r="A37" s="25">
        <v>2</v>
      </c>
      <c r="B37" s="14">
        <v>115257.74860650215</v>
      </c>
      <c r="C37" s="14">
        <v>114304.42915213419</v>
      </c>
      <c r="D37" s="14">
        <v>113295.81638174895</v>
      </c>
      <c r="E37" s="14">
        <v>112241.65921804385</v>
      </c>
      <c r="F37" s="14">
        <v>111150.41999510641</v>
      </c>
      <c r="G37" s="14">
        <v>110029.44787378206</v>
      </c>
      <c r="H37" s="14">
        <v>108885.12719083794</v>
      </c>
      <c r="I37" s="14">
        <v>107723.00466053514</v>
      </c>
      <c r="J37" s="14">
        <v>106547.89868581085</v>
      </c>
      <c r="K37" s="14">
        <v>105363.99349484977</v>
      </c>
      <c r="L37" s="14">
        <v>104174.92037409247</v>
      </c>
    </row>
  </sheetData>
  <mergeCells count="2">
    <mergeCell ref="D12:H12"/>
    <mergeCell ref="A25:D25"/>
  </mergeCells>
  <phoneticPr fontId="2" type="noConversion"/>
  <conditionalFormatting sqref="H16:H21">
    <cfRule type="colorScale" priority="4">
      <colorScale>
        <cfvo type="min"/>
        <cfvo type="percentile" val="50"/>
        <cfvo type="max"/>
        <color rgb="FFF8696B"/>
        <color rgb="FFFCFCFF"/>
        <color rgb="FF63BE7B"/>
      </colorScale>
    </cfRule>
  </conditionalFormatting>
  <conditionalFormatting sqref="E16:E22">
    <cfRule type="colorScale" priority="3">
      <colorScale>
        <cfvo type="min"/>
        <cfvo type="percentile" val="50"/>
        <cfvo type="max"/>
        <color rgb="FFF8696B"/>
        <color rgb="FFFCFCFF"/>
        <color rgb="FF63BE7B"/>
      </colorScale>
    </cfRule>
  </conditionalFormatting>
  <conditionalFormatting sqref="B27:B37">
    <cfRule type="colorScale" priority="2">
      <colorScale>
        <cfvo type="min"/>
        <cfvo type="percentile" val="50"/>
        <cfvo type="max"/>
        <color rgb="FFF8696B"/>
        <color rgb="FFFCFCFF"/>
        <color rgb="FF63BE7B"/>
      </colorScale>
    </cfRule>
  </conditionalFormatting>
  <conditionalFormatting sqref="B27:L37">
    <cfRule type="colorScale" priority="1">
      <colorScale>
        <cfvo type="min"/>
        <cfvo type="percentile" val="50"/>
        <cfvo type="max"/>
        <color rgb="FFF8696B"/>
        <color rgb="FFFCFCFF"/>
        <color rgb="FF63BE7B"/>
      </colorScale>
    </cfRule>
  </conditionalFormatting>
  <pageMargins left="0.7" right="0.7" top="0.75" bottom="0.75" header="0.3" footer="0.3"/>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L44"/>
  <sheetViews>
    <sheetView workbookViewId="0">
      <selection activeCell="E10" sqref="E10"/>
    </sheetView>
  </sheetViews>
  <sheetFormatPr defaultColWidth="8.85546875" defaultRowHeight="15"/>
  <cols>
    <col min="1" max="1" width="25.5703125" customWidth="1"/>
    <col min="2" max="2" width="14.28515625" bestFit="1" customWidth="1"/>
    <col min="3" max="3" width="12.5703125" bestFit="1" customWidth="1"/>
    <col min="4" max="4" width="13" customWidth="1"/>
    <col min="5" max="11" width="14.28515625" bestFit="1" customWidth="1"/>
    <col min="12" max="12" width="15.28515625" bestFit="1" customWidth="1"/>
    <col min="13" max="13" width="13.7109375" customWidth="1"/>
  </cols>
  <sheetData>
    <row r="7" spans="1:2">
      <c r="A7" s="1" t="s">
        <v>0</v>
      </c>
    </row>
    <row r="8" spans="1:2">
      <c r="A8" t="s">
        <v>21</v>
      </c>
      <c r="B8" s="26">
        <v>50000</v>
      </c>
    </row>
    <row r="9" spans="1:2">
      <c r="A9" t="s">
        <v>38</v>
      </c>
      <c r="B9" s="5">
        <v>0.05</v>
      </c>
    </row>
    <row r="10" spans="1:2">
      <c r="A10" t="s">
        <v>18</v>
      </c>
      <c r="B10" s="16">
        <v>16</v>
      </c>
    </row>
    <row r="11" spans="1:2">
      <c r="A11" t="s">
        <v>35</v>
      </c>
      <c r="B11" s="16">
        <v>3</v>
      </c>
    </row>
    <row r="12" spans="1:2">
      <c r="A12" t="s">
        <v>36</v>
      </c>
      <c r="B12" s="16">
        <v>0.2</v>
      </c>
    </row>
    <row r="13" spans="1:2">
      <c r="A13" t="s">
        <v>37</v>
      </c>
      <c r="B13" s="16">
        <v>0.4</v>
      </c>
    </row>
    <row r="15" spans="1:2">
      <c r="A15" s="1" t="s">
        <v>20</v>
      </c>
    </row>
    <row r="16" spans="1:2">
      <c r="A16" t="s">
        <v>42</v>
      </c>
      <c r="B16" s="7">
        <v>50000</v>
      </c>
    </row>
    <row r="17" spans="1:12">
      <c r="A17" t="s">
        <v>39</v>
      </c>
      <c r="B17">
        <v>1</v>
      </c>
      <c r="C17">
        <v>2</v>
      </c>
      <c r="D17">
        <v>3</v>
      </c>
      <c r="E17">
        <v>4</v>
      </c>
      <c r="F17">
        <v>5</v>
      </c>
      <c r="G17">
        <v>6</v>
      </c>
      <c r="H17">
        <v>7</v>
      </c>
      <c r="I17">
        <v>8</v>
      </c>
      <c r="J17">
        <v>9</v>
      </c>
      <c r="K17">
        <v>10</v>
      </c>
      <c r="L17" s="10"/>
    </row>
    <row r="18" spans="1:12">
      <c r="A18" t="s">
        <v>45</v>
      </c>
      <c r="B18">
        <f>Demand_Q33*(1+Grow_rate)^B17</f>
        <v>52500</v>
      </c>
      <c r="C18">
        <f t="shared" ref="C18:K18" si="0">$B$8*(1+$B$9)^C17</f>
        <v>55125</v>
      </c>
      <c r="D18">
        <f t="shared" si="0"/>
        <v>57881.250000000007</v>
      </c>
      <c r="E18">
        <f t="shared" si="0"/>
        <v>60775.3125</v>
      </c>
      <c r="F18">
        <f t="shared" si="0"/>
        <v>63814.078125000007</v>
      </c>
      <c r="G18">
        <f t="shared" si="0"/>
        <v>67004.782031249997</v>
      </c>
      <c r="H18">
        <f t="shared" si="0"/>
        <v>70355.021132812515</v>
      </c>
      <c r="I18">
        <f t="shared" si="0"/>
        <v>73872.772189453128</v>
      </c>
      <c r="J18">
        <f t="shared" si="0"/>
        <v>77566.41079892579</v>
      </c>
      <c r="K18">
        <f t="shared" si="0"/>
        <v>81444.73133887208</v>
      </c>
    </row>
    <row r="19" spans="1:12">
      <c r="A19" t="s">
        <v>41</v>
      </c>
      <c r="B19">
        <f>IF(Plant_capacity&lt;B18,Plant_capacity,B18)</f>
        <v>50000</v>
      </c>
      <c r="C19">
        <f t="shared" ref="C19:K19" si="1">IF($B$16&lt;C18,$B$16,C18)</f>
        <v>50000</v>
      </c>
      <c r="D19">
        <f t="shared" si="1"/>
        <v>50000</v>
      </c>
      <c r="E19">
        <f t="shared" si="1"/>
        <v>50000</v>
      </c>
      <c r="F19">
        <f t="shared" si="1"/>
        <v>50000</v>
      </c>
      <c r="G19">
        <f t="shared" si="1"/>
        <v>50000</v>
      </c>
      <c r="H19">
        <f t="shared" si="1"/>
        <v>50000</v>
      </c>
      <c r="I19">
        <f t="shared" si="1"/>
        <v>50000</v>
      </c>
      <c r="J19">
        <f t="shared" si="1"/>
        <v>50000</v>
      </c>
      <c r="K19">
        <f t="shared" si="1"/>
        <v>50000</v>
      </c>
      <c r="L19" s="24"/>
    </row>
    <row r="20" spans="1:12">
      <c r="A20" t="s">
        <v>23</v>
      </c>
      <c r="B20" s="14">
        <f t="shared" ref="B20:K20" si="2">Unit_cost_Q33*B19</f>
        <v>800000</v>
      </c>
      <c r="C20" s="14">
        <f t="shared" si="2"/>
        <v>800000</v>
      </c>
      <c r="D20" s="14">
        <f t="shared" si="2"/>
        <v>800000</v>
      </c>
      <c r="E20" s="14">
        <f t="shared" si="2"/>
        <v>800000</v>
      </c>
      <c r="F20" s="14">
        <f t="shared" si="2"/>
        <v>800000</v>
      </c>
      <c r="G20" s="14">
        <f t="shared" si="2"/>
        <v>800000</v>
      </c>
      <c r="H20" s="14">
        <f t="shared" si="2"/>
        <v>800000</v>
      </c>
      <c r="I20" s="14">
        <f t="shared" si="2"/>
        <v>800000</v>
      </c>
      <c r="J20" s="14">
        <f t="shared" si="2"/>
        <v>800000</v>
      </c>
      <c r="K20" s="14">
        <f t="shared" si="2"/>
        <v>800000</v>
      </c>
    </row>
    <row r="21" spans="1:12">
      <c r="A21" t="s">
        <v>40</v>
      </c>
      <c r="B21" s="14">
        <f>Plant_capacity*Unit_cost_Q33</f>
        <v>800000</v>
      </c>
      <c r="C21" s="14"/>
      <c r="D21" s="14"/>
      <c r="E21" s="14"/>
      <c r="F21" s="14"/>
      <c r="G21" s="14"/>
      <c r="H21" s="14"/>
      <c r="I21" s="14"/>
      <c r="J21" s="14"/>
      <c r="K21" s="14"/>
    </row>
    <row r="22" spans="1:12">
      <c r="A22" t="s">
        <v>43</v>
      </c>
      <c r="B22" s="14">
        <f>Production_cost*B19</f>
        <v>10000</v>
      </c>
      <c r="C22" s="14">
        <f t="shared" ref="C22:K22" si="3">$B$12*C19</f>
        <v>10000</v>
      </c>
      <c r="D22" s="14">
        <f t="shared" si="3"/>
        <v>10000</v>
      </c>
      <c r="E22" s="14">
        <f t="shared" si="3"/>
        <v>10000</v>
      </c>
      <c r="F22" s="14">
        <f t="shared" si="3"/>
        <v>10000</v>
      </c>
      <c r="G22" s="14">
        <f t="shared" si="3"/>
        <v>10000</v>
      </c>
      <c r="H22" s="14">
        <f t="shared" si="3"/>
        <v>10000</v>
      </c>
      <c r="I22" s="14">
        <f t="shared" si="3"/>
        <v>10000</v>
      </c>
      <c r="J22" s="14">
        <f t="shared" si="3"/>
        <v>10000</v>
      </c>
      <c r="K22" s="14">
        <f t="shared" si="3"/>
        <v>10000</v>
      </c>
    </row>
    <row r="23" spans="1:12">
      <c r="A23" t="s">
        <v>46</v>
      </c>
      <c r="B23" s="14">
        <f t="shared" ref="B23:K23" si="4">Operation_cost*B19</f>
        <v>20000</v>
      </c>
      <c r="C23" s="14">
        <f t="shared" si="4"/>
        <v>20000</v>
      </c>
      <c r="D23" s="14">
        <f t="shared" si="4"/>
        <v>20000</v>
      </c>
      <c r="E23" s="14">
        <f t="shared" si="4"/>
        <v>20000</v>
      </c>
      <c r="F23" s="14">
        <f t="shared" si="4"/>
        <v>20000</v>
      </c>
      <c r="G23" s="14">
        <f t="shared" si="4"/>
        <v>20000</v>
      </c>
      <c r="H23" s="14">
        <f t="shared" si="4"/>
        <v>20000</v>
      </c>
      <c r="I23" s="14">
        <f t="shared" si="4"/>
        <v>20000</v>
      </c>
      <c r="J23" s="14">
        <f t="shared" si="4"/>
        <v>20000</v>
      </c>
      <c r="K23" s="14">
        <f t="shared" si="4"/>
        <v>20000</v>
      </c>
    </row>
    <row r="24" spans="1:12">
      <c r="A24" t="s">
        <v>24</v>
      </c>
      <c r="B24" s="17">
        <f>B21+B22+B23</f>
        <v>830000</v>
      </c>
      <c r="C24" s="17">
        <f t="shared" ref="C24:K24" si="5">C21+C22+C23</f>
        <v>30000</v>
      </c>
      <c r="D24" s="17">
        <f t="shared" si="5"/>
        <v>30000</v>
      </c>
      <c r="E24" s="17">
        <f t="shared" si="5"/>
        <v>30000</v>
      </c>
      <c r="F24" s="17">
        <f t="shared" si="5"/>
        <v>30000</v>
      </c>
      <c r="G24" s="17">
        <f t="shared" si="5"/>
        <v>30000</v>
      </c>
      <c r="H24" s="17">
        <f t="shared" si="5"/>
        <v>30000</v>
      </c>
      <c r="I24" s="17">
        <f t="shared" si="5"/>
        <v>30000</v>
      </c>
      <c r="J24" s="17">
        <f t="shared" si="5"/>
        <v>30000</v>
      </c>
      <c r="K24" s="17">
        <f t="shared" si="5"/>
        <v>30000</v>
      </c>
    </row>
    <row r="25" spans="1:12">
      <c r="A25" t="s">
        <v>9</v>
      </c>
      <c r="B25" s="17">
        <f>B20-B24</f>
        <v>-30000</v>
      </c>
      <c r="C25" s="17">
        <f t="shared" ref="C25:K25" si="6">C20-C24</f>
        <v>770000</v>
      </c>
      <c r="D25" s="17">
        <f t="shared" si="6"/>
        <v>770000</v>
      </c>
      <c r="E25" s="17">
        <f t="shared" si="6"/>
        <v>770000</v>
      </c>
      <c r="F25" s="17">
        <f t="shared" si="6"/>
        <v>770000</v>
      </c>
      <c r="G25" s="17">
        <f t="shared" si="6"/>
        <v>770000</v>
      </c>
      <c r="H25" s="17">
        <f t="shared" si="6"/>
        <v>770000</v>
      </c>
      <c r="I25" s="17">
        <f t="shared" si="6"/>
        <v>770000</v>
      </c>
      <c r="J25" s="17">
        <f t="shared" si="6"/>
        <v>770000</v>
      </c>
      <c r="K25" s="17">
        <f t="shared" si="6"/>
        <v>770000</v>
      </c>
    </row>
    <row r="26" spans="1:12">
      <c r="B26" s="17"/>
      <c r="C26" s="17"/>
      <c r="D26" s="17"/>
      <c r="E26" s="17"/>
      <c r="F26" s="17"/>
      <c r="G26" s="17"/>
      <c r="H26" s="17"/>
      <c r="I26" s="17"/>
      <c r="J26" s="17"/>
      <c r="K26" s="17"/>
    </row>
    <row r="27" spans="1:12">
      <c r="A27" t="s">
        <v>129</v>
      </c>
      <c r="B27" s="27">
        <f>SUM(B25:K25)</f>
        <v>6900000</v>
      </c>
      <c r="C27" s="17"/>
      <c r="D27" s="17"/>
      <c r="E27" s="17"/>
      <c r="F27" s="17"/>
      <c r="G27" s="17"/>
      <c r="H27" s="17"/>
      <c r="I27" s="17"/>
      <c r="J27" s="17"/>
      <c r="K27" s="17"/>
    </row>
    <row r="29" spans="1:12">
      <c r="A29" t="s">
        <v>47</v>
      </c>
    </row>
    <row r="30" spans="1:12">
      <c r="A30" t="s">
        <v>50</v>
      </c>
      <c r="D30" t="s">
        <v>51</v>
      </c>
    </row>
    <row r="31" spans="1:12">
      <c r="A31" t="s">
        <v>48</v>
      </c>
      <c r="B31" t="s">
        <v>49</v>
      </c>
      <c r="D31" t="s">
        <v>48</v>
      </c>
      <c r="E31" t="s">
        <v>49</v>
      </c>
    </row>
    <row r="32" spans="1:12">
      <c r="A32" s="28">
        <v>50000</v>
      </c>
      <c r="B32" s="27">
        <f>B27</f>
        <v>6900000</v>
      </c>
      <c r="E32" s="27">
        <f>B27</f>
        <v>6900000</v>
      </c>
      <c r="F32" s="28"/>
    </row>
    <row r="33" spans="1:6">
      <c r="A33" s="28">
        <v>55000</v>
      </c>
      <c r="B33" s="17">
        <f t="dataTable" ref="B33:B39" dt2D="0" dtr="0" r1="B16"/>
        <v>7551500</v>
      </c>
      <c r="D33" s="28">
        <v>75000</v>
      </c>
      <c r="E33" s="14">
        <f t="dataTable" ref="E33:E43" dt2D="0" dtr="0" r1="B16" ca="1"/>
        <v>8830454.5260691419</v>
      </c>
      <c r="F33" s="28"/>
    </row>
    <row r="34" spans="1:6">
      <c r="A34" s="28">
        <v>60000</v>
      </c>
      <c r="B34" s="17">
        <v>8056796.25</v>
      </c>
      <c r="D34" s="28">
        <v>76000</v>
      </c>
      <c r="E34" s="14">
        <v>8845254.5260691419</v>
      </c>
      <c r="F34" s="28"/>
    </row>
    <row r="35" spans="1:6">
      <c r="A35" s="28">
        <v>65000</v>
      </c>
      <c r="B35" s="17">
        <v>8432472.8656249996</v>
      </c>
      <c r="D35" s="28">
        <v>77000</v>
      </c>
      <c r="E35" s="14">
        <v>8860054.5260691419</v>
      </c>
      <c r="F35" s="28"/>
    </row>
    <row r="36" spans="1:6">
      <c r="A36" s="28">
        <v>70000</v>
      </c>
      <c r="B36" s="17">
        <v>8691346.508906249</v>
      </c>
      <c r="D36" s="28">
        <v>78000</v>
      </c>
      <c r="E36" s="14">
        <v>8868177.2523725983</v>
      </c>
      <c r="F36" s="28"/>
    </row>
    <row r="37" spans="1:6">
      <c r="A37" s="28">
        <v>75000</v>
      </c>
      <c r="B37" s="17">
        <v>8830454.5260691419</v>
      </c>
      <c r="D37" s="28">
        <v>79000</v>
      </c>
      <c r="E37" s="14">
        <v>8867577.2523725983</v>
      </c>
      <c r="F37" s="28"/>
    </row>
    <row r="38" spans="1:6">
      <c r="A38" s="28">
        <v>80000</v>
      </c>
      <c r="B38" s="17">
        <v>8866977.2523725983</v>
      </c>
      <c r="D38" s="28">
        <v>80000</v>
      </c>
      <c r="E38" s="14">
        <v>8866977.2523725983</v>
      </c>
      <c r="F38" s="28"/>
    </row>
    <row r="39" spans="1:6">
      <c r="A39" s="28">
        <v>85000</v>
      </c>
      <c r="B39" s="17">
        <v>8809226.114991229</v>
      </c>
      <c r="D39" s="28">
        <v>81000</v>
      </c>
      <c r="E39" s="14">
        <v>8866377.2523725983</v>
      </c>
      <c r="F39" s="28"/>
    </row>
    <row r="40" spans="1:6">
      <c r="D40" s="28">
        <v>82000</v>
      </c>
      <c r="E40" s="14">
        <v>8857226.114991229</v>
      </c>
      <c r="F40" s="28"/>
    </row>
    <row r="41" spans="1:6">
      <c r="D41" s="28">
        <v>83000</v>
      </c>
      <c r="E41" s="14">
        <v>8841226.114991229</v>
      </c>
      <c r="F41" s="28"/>
    </row>
    <row r="42" spans="1:6">
      <c r="D42" s="28">
        <v>84000</v>
      </c>
      <c r="E42" s="14">
        <v>8825226.114991229</v>
      </c>
    </row>
    <row r="43" spans="1:6">
      <c r="D43" s="28">
        <v>85000</v>
      </c>
      <c r="E43" s="14">
        <v>8809226.114991229</v>
      </c>
    </row>
    <row r="44" spans="1:6">
      <c r="D44" s="28"/>
    </row>
  </sheetData>
  <phoneticPr fontId="2" type="noConversion"/>
  <conditionalFormatting sqref="B33:B39">
    <cfRule type="colorScale" priority="2">
      <colorScale>
        <cfvo type="min"/>
        <cfvo type="percentile" val="50"/>
        <cfvo type="max"/>
        <color rgb="FFF8696B"/>
        <color rgb="FFFCFCFF"/>
        <color rgb="FF63BE7B"/>
      </colorScale>
    </cfRule>
  </conditionalFormatting>
  <conditionalFormatting sqref="E33:E43">
    <cfRule type="colorScale" priority="1">
      <colorScale>
        <cfvo type="min"/>
        <cfvo type="percentile" val="50"/>
        <cfvo type="max"/>
        <color rgb="FFF8696B"/>
        <color rgb="FFFCFCFF"/>
        <color rgb="FF63BE7B"/>
      </colorScale>
    </cfRule>
  </conditionalFormatting>
  <pageMargins left="0.7" right="0.7" top="0.75" bottom="0.75" header="0.3" footer="0.3"/>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3:D30"/>
  <sheetViews>
    <sheetView topLeftCell="A21" workbookViewId="0">
      <selection activeCell="P30" sqref="P30"/>
    </sheetView>
  </sheetViews>
  <sheetFormatPr defaultColWidth="8.85546875" defaultRowHeight="15"/>
  <cols>
    <col min="1" max="1" width="15.42578125" customWidth="1"/>
    <col min="2" max="3" width="10.5703125" bestFit="1" customWidth="1"/>
  </cols>
  <sheetData>
    <row r="13" spans="1:2">
      <c r="A13" s="1" t="s">
        <v>0</v>
      </c>
    </row>
    <row r="14" spans="1:2">
      <c r="A14" s="1" t="s">
        <v>57</v>
      </c>
    </row>
    <row r="15" spans="1:2">
      <c r="A15" t="s">
        <v>52</v>
      </c>
      <c r="B15" s="16">
        <v>400</v>
      </c>
    </row>
    <row r="16" spans="1:2">
      <c r="A16" t="s">
        <v>53</v>
      </c>
      <c r="B16" s="16">
        <v>100</v>
      </c>
    </row>
    <row r="18" spans="1:4">
      <c r="A18" s="1" t="s">
        <v>58</v>
      </c>
      <c r="B18" t="s">
        <v>54</v>
      </c>
      <c r="C18" t="s">
        <v>55</v>
      </c>
      <c r="D18" t="s">
        <v>56</v>
      </c>
    </row>
    <row r="19" spans="1:4">
      <c r="A19" t="s">
        <v>52</v>
      </c>
      <c r="B19" s="3">
        <v>300</v>
      </c>
      <c r="C19" s="3">
        <v>100</v>
      </c>
      <c r="D19" s="3">
        <v>100</v>
      </c>
    </row>
    <row r="20" spans="1:4">
      <c r="A20" t="s">
        <v>53</v>
      </c>
      <c r="B20" s="3">
        <v>100</v>
      </c>
      <c r="C20" s="3">
        <v>100</v>
      </c>
      <c r="D20" s="3">
        <v>0</v>
      </c>
    </row>
    <row r="22" spans="1:4">
      <c r="A22" s="1" t="s">
        <v>59</v>
      </c>
    </row>
    <row r="23" spans="1:4">
      <c r="A23" t="s">
        <v>60</v>
      </c>
      <c r="B23" s="15">
        <v>3</v>
      </c>
      <c r="D23" s="29"/>
    </row>
    <row r="24" spans="1:4">
      <c r="A24" t="s">
        <v>61</v>
      </c>
      <c r="B24" s="15">
        <v>2</v>
      </c>
    </row>
    <row r="25" spans="1:4">
      <c r="B25" s="29"/>
    </row>
    <row r="26" spans="1:4">
      <c r="A26" s="30" t="s">
        <v>62</v>
      </c>
      <c r="B26">
        <f>SUMPRODUCT(B19:B20,Working_hour)</f>
        <v>1100</v>
      </c>
      <c r="C26">
        <f>SUMPRODUCT(C19:C20,Working_hour)</f>
        <v>500</v>
      </c>
      <c r="D26">
        <f>SUMPRODUCT(D19:D20,Working_hour)</f>
        <v>300</v>
      </c>
    </row>
    <row r="27" spans="1:4">
      <c r="B27" s="24" t="s">
        <v>44</v>
      </c>
      <c r="C27" s="24" t="s">
        <v>44</v>
      </c>
      <c r="D27" s="24" t="s">
        <v>44</v>
      </c>
    </row>
    <row r="28" spans="1:4">
      <c r="A28" t="s">
        <v>21</v>
      </c>
      <c r="B28" s="3">
        <v>1000</v>
      </c>
      <c r="C28" s="3">
        <v>500</v>
      </c>
      <c r="D28" s="3">
        <v>300</v>
      </c>
    </row>
    <row r="30" spans="1:4">
      <c r="A30" t="s">
        <v>24</v>
      </c>
      <c r="B30" s="20">
        <f>SUMPRODUCT(B15:B16,B23:B24)</f>
        <v>1400</v>
      </c>
      <c r="C30" s="17"/>
    </row>
  </sheetData>
  <phoneticPr fontId="2" type="noConversion"/>
  <pageMargins left="0.7" right="0.7" top="0.75" bottom="0.75" header="0.3" footer="0.3"/>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805"/>
  <sheetViews>
    <sheetView workbookViewId="0">
      <selection activeCell="H7" sqref="H7"/>
    </sheetView>
  </sheetViews>
  <sheetFormatPr defaultRowHeight="15"/>
  <cols>
    <col min="2" max="2" width="10.5703125" bestFit="1" customWidth="1"/>
  </cols>
  <sheetData>
    <row r="1" spans="1:11">
      <c r="A1" s="1" t="s">
        <v>65</v>
      </c>
      <c r="K1" s="34" t="str">
        <f>CONCATENATE("Sensitivity of ",$K$4," to ","cost of process 2 hourly")</f>
        <v>Sensitivity of Total_cost_Q25 to cost of process 2 hourly</v>
      </c>
    </row>
    <row r="3" spans="1:11">
      <c r="A3" t="s">
        <v>66</v>
      </c>
      <c r="K3" t="s">
        <v>68</v>
      </c>
    </row>
    <row r="4" spans="1:11" ht="82.5">
      <c r="B4" s="32" t="s">
        <v>67</v>
      </c>
      <c r="C4" s="32" t="s">
        <v>71</v>
      </c>
      <c r="D4" s="32" t="s">
        <v>70</v>
      </c>
      <c r="J4" s="34">
        <f>MATCH($K$4,OutputAddresses,0)</f>
        <v>1</v>
      </c>
      <c r="K4" s="33" t="s">
        <v>67</v>
      </c>
    </row>
    <row r="5" spans="1:11">
      <c r="A5" s="17">
        <v>100</v>
      </c>
      <c r="B5" s="35">
        <v>1400</v>
      </c>
      <c r="C5" s="37">
        <v>3</v>
      </c>
      <c r="D5" s="37">
        <v>2</v>
      </c>
      <c r="K5">
        <f>INDEX(OutputValues,1,$J$4)</f>
        <v>1400</v>
      </c>
    </row>
    <row r="6" spans="1:11">
      <c r="A6" s="17">
        <v>100.5</v>
      </c>
      <c r="B6" s="38">
        <v>1401</v>
      </c>
      <c r="C6" s="40">
        <v>3</v>
      </c>
      <c r="D6" s="40">
        <v>2</v>
      </c>
      <c r="K6">
        <f>INDEX(OutputValues,2,$J$4)</f>
        <v>1401</v>
      </c>
    </row>
    <row r="7" spans="1:11">
      <c r="A7" s="17">
        <v>101</v>
      </c>
      <c r="B7" s="38">
        <v>1402</v>
      </c>
      <c r="C7" s="40">
        <v>3</v>
      </c>
      <c r="D7" s="40">
        <v>2</v>
      </c>
      <c r="K7">
        <f>INDEX(OutputValues,3,$J$4)</f>
        <v>1402</v>
      </c>
    </row>
    <row r="8" spans="1:11">
      <c r="A8" s="17">
        <v>101.5</v>
      </c>
      <c r="B8" s="38">
        <v>1403</v>
      </c>
      <c r="C8" s="40">
        <v>3</v>
      </c>
      <c r="D8" s="40">
        <v>2</v>
      </c>
      <c r="K8">
        <f>INDEX(OutputValues,4,$J$4)</f>
        <v>1403</v>
      </c>
    </row>
    <row r="9" spans="1:11">
      <c r="A9" s="17">
        <v>102</v>
      </c>
      <c r="B9" s="38">
        <v>1404</v>
      </c>
      <c r="C9" s="40">
        <v>3</v>
      </c>
      <c r="D9" s="40">
        <v>2</v>
      </c>
      <c r="K9">
        <f>INDEX(OutputValues,5,$J$4)</f>
        <v>1404</v>
      </c>
    </row>
    <row r="10" spans="1:11">
      <c r="A10" s="17">
        <v>102.5</v>
      </c>
      <c r="B10" s="38">
        <v>1405</v>
      </c>
      <c r="C10" s="40">
        <v>3</v>
      </c>
      <c r="D10" s="40">
        <v>2</v>
      </c>
      <c r="K10">
        <f>INDEX(OutputValues,6,$J$4)</f>
        <v>1405</v>
      </c>
    </row>
    <row r="11" spans="1:11">
      <c r="A11" s="17">
        <v>103</v>
      </c>
      <c r="B11" s="38">
        <v>1406</v>
      </c>
      <c r="C11" s="40">
        <v>3</v>
      </c>
      <c r="D11" s="40">
        <v>2</v>
      </c>
      <c r="K11">
        <f>INDEX(OutputValues,7,$J$4)</f>
        <v>1406</v>
      </c>
    </row>
    <row r="12" spans="1:11">
      <c r="A12" s="17">
        <v>103.5</v>
      </c>
      <c r="B12" s="38">
        <v>1407</v>
      </c>
      <c r="C12" s="40">
        <v>3</v>
      </c>
      <c r="D12" s="40">
        <v>2</v>
      </c>
      <c r="K12">
        <f>INDEX(OutputValues,8,$J$4)</f>
        <v>1407</v>
      </c>
    </row>
    <row r="13" spans="1:11">
      <c r="A13" s="17">
        <v>104</v>
      </c>
      <c r="B13" s="38">
        <v>1408</v>
      </c>
      <c r="C13" s="40">
        <v>3</v>
      </c>
      <c r="D13" s="40">
        <v>2</v>
      </c>
      <c r="K13">
        <f>INDEX(OutputValues,9,$J$4)</f>
        <v>1408</v>
      </c>
    </row>
    <row r="14" spans="1:11">
      <c r="A14" s="17">
        <v>104.5</v>
      </c>
      <c r="B14" s="38">
        <v>1409</v>
      </c>
      <c r="C14" s="40">
        <v>3</v>
      </c>
      <c r="D14" s="40">
        <v>2</v>
      </c>
      <c r="K14">
        <f>INDEX(OutputValues,10,$J$4)</f>
        <v>1409</v>
      </c>
    </row>
    <row r="15" spans="1:11">
      <c r="A15" s="17">
        <v>105</v>
      </c>
      <c r="B15" s="38">
        <v>1410</v>
      </c>
      <c r="C15" s="40">
        <v>3</v>
      </c>
      <c r="D15" s="40">
        <v>2</v>
      </c>
      <c r="K15">
        <f>INDEX(OutputValues,11,$J$4)</f>
        <v>1410</v>
      </c>
    </row>
    <row r="16" spans="1:11">
      <c r="A16" s="17">
        <v>105.5</v>
      </c>
      <c r="B16" s="38">
        <v>1411</v>
      </c>
      <c r="C16" s="40">
        <v>3</v>
      </c>
      <c r="D16" s="40">
        <v>2</v>
      </c>
      <c r="K16">
        <f>INDEX(OutputValues,12,$J$4)</f>
        <v>1411</v>
      </c>
    </row>
    <row r="17" spans="1:11">
      <c r="A17" s="17">
        <v>106</v>
      </c>
      <c r="B17" s="38">
        <v>1412</v>
      </c>
      <c r="C17" s="40">
        <v>3</v>
      </c>
      <c r="D17" s="40">
        <v>2</v>
      </c>
      <c r="K17">
        <f>INDEX(OutputValues,13,$J$4)</f>
        <v>1412</v>
      </c>
    </row>
    <row r="18" spans="1:11">
      <c r="A18" s="17">
        <v>106.5</v>
      </c>
      <c r="B18" s="38">
        <v>1413</v>
      </c>
      <c r="C18" s="40">
        <v>3</v>
      </c>
      <c r="D18" s="40">
        <v>2</v>
      </c>
      <c r="K18">
        <f>INDEX(OutputValues,14,$J$4)</f>
        <v>1413</v>
      </c>
    </row>
    <row r="19" spans="1:11">
      <c r="A19" s="17">
        <v>107</v>
      </c>
      <c r="B19" s="38">
        <v>1414</v>
      </c>
      <c r="C19" s="40">
        <v>3</v>
      </c>
      <c r="D19" s="40">
        <v>2</v>
      </c>
      <c r="K19">
        <f>INDEX(OutputValues,15,$J$4)</f>
        <v>1414</v>
      </c>
    </row>
    <row r="20" spans="1:11">
      <c r="A20" s="17">
        <v>107.5</v>
      </c>
      <c r="B20" s="38">
        <v>1415</v>
      </c>
      <c r="C20" s="40">
        <v>3</v>
      </c>
      <c r="D20" s="40">
        <v>2</v>
      </c>
      <c r="K20">
        <f>INDEX(OutputValues,16,$J$4)</f>
        <v>1415</v>
      </c>
    </row>
    <row r="21" spans="1:11">
      <c r="A21" s="17">
        <v>108</v>
      </c>
      <c r="B21" s="38">
        <v>1416</v>
      </c>
      <c r="C21" s="40">
        <v>3</v>
      </c>
      <c r="D21" s="40">
        <v>2</v>
      </c>
      <c r="K21">
        <f>INDEX(OutputValues,17,$J$4)</f>
        <v>1416</v>
      </c>
    </row>
    <row r="22" spans="1:11">
      <c r="A22" s="17">
        <v>108.5</v>
      </c>
      <c r="B22" s="38">
        <v>1417</v>
      </c>
      <c r="C22" s="40">
        <v>3</v>
      </c>
      <c r="D22" s="40">
        <v>2</v>
      </c>
      <c r="K22">
        <f>INDEX(OutputValues,18,$J$4)</f>
        <v>1417</v>
      </c>
    </row>
    <row r="23" spans="1:11">
      <c r="A23" s="17">
        <v>109</v>
      </c>
      <c r="B23" s="38">
        <v>1418</v>
      </c>
      <c r="C23" s="40">
        <v>3</v>
      </c>
      <c r="D23" s="40">
        <v>2</v>
      </c>
      <c r="K23">
        <f>INDEX(OutputValues,19,$J$4)</f>
        <v>1418</v>
      </c>
    </row>
    <row r="24" spans="1:11">
      <c r="A24" s="17">
        <v>109.5</v>
      </c>
      <c r="B24" s="38">
        <v>1419</v>
      </c>
      <c r="C24" s="40">
        <v>3</v>
      </c>
      <c r="D24" s="40">
        <v>2</v>
      </c>
      <c r="K24">
        <f>INDEX(OutputValues,20,$J$4)</f>
        <v>1419</v>
      </c>
    </row>
    <row r="25" spans="1:11">
      <c r="A25" s="17">
        <v>110</v>
      </c>
      <c r="B25" s="38">
        <v>1420</v>
      </c>
      <c r="C25" s="40">
        <v>3</v>
      </c>
      <c r="D25" s="40">
        <v>2</v>
      </c>
      <c r="K25">
        <f>INDEX(OutputValues,21,$J$4)</f>
        <v>1420</v>
      </c>
    </row>
    <row r="26" spans="1:11">
      <c r="A26" s="17">
        <v>110.5</v>
      </c>
      <c r="B26" s="38">
        <v>1421</v>
      </c>
      <c r="C26" s="40">
        <v>3</v>
      </c>
      <c r="D26" s="40">
        <v>2</v>
      </c>
      <c r="K26">
        <f>INDEX(OutputValues,22,$J$4)</f>
        <v>1421</v>
      </c>
    </row>
    <row r="27" spans="1:11">
      <c r="A27" s="17">
        <v>111</v>
      </c>
      <c r="B27" s="38">
        <v>1422</v>
      </c>
      <c r="C27" s="40">
        <v>3</v>
      </c>
      <c r="D27" s="40">
        <v>2</v>
      </c>
      <c r="K27">
        <f>INDEX(OutputValues,23,$J$4)</f>
        <v>1422</v>
      </c>
    </row>
    <row r="28" spans="1:11">
      <c r="A28" s="17">
        <v>111.5</v>
      </c>
      <c r="B28" s="38">
        <v>1423</v>
      </c>
      <c r="C28" s="40">
        <v>3</v>
      </c>
      <c r="D28" s="40">
        <v>2</v>
      </c>
      <c r="K28">
        <f>INDEX(OutputValues,24,$J$4)</f>
        <v>1423</v>
      </c>
    </row>
    <row r="29" spans="1:11">
      <c r="A29" s="17">
        <v>112</v>
      </c>
      <c r="B29" s="38">
        <v>1424</v>
      </c>
      <c r="C29" s="40">
        <v>3</v>
      </c>
      <c r="D29" s="40">
        <v>2</v>
      </c>
      <c r="K29">
        <f>INDEX(OutputValues,25,$J$4)</f>
        <v>1424</v>
      </c>
    </row>
    <row r="30" spans="1:11">
      <c r="A30" s="17">
        <v>112.5</v>
      </c>
      <c r="B30" s="38">
        <v>1425</v>
      </c>
      <c r="C30" s="40">
        <v>3</v>
      </c>
      <c r="D30" s="40">
        <v>2</v>
      </c>
      <c r="K30">
        <f>INDEX(OutputValues,26,$J$4)</f>
        <v>1425</v>
      </c>
    </row>
    <row r="31" spans="1:11">
      <c r="A31" s="17">
        <v>113</v>
      </c>
      <c r="B31" s="38">
        <v>1426</v>
      </c>
      <c r="C31" s="40">
        <v>3</v>
      </c>
      <c r="D31" s="40">
        <v>2</v>
      </c>
      <c r="K31">
        <f>INDEX(OutputValues,27,$J$4)</f>
        <v>1426</v>
      </c>
    </row>
    <row r="32" spans="1:11">
      <c r="A32" s="17">
        <v>113.5</v>
      </c>
      <c r="B32" s="38">
        <v>1427</v>
      </c>
      <c r="C32" s="40">
        <v>3</v>
      </c>
      <c r="D32" s="40">
        <v>2</v>
      </c>
      <c r="K32">
        <f>INDEX(OutputValues,28,$J$4)</f>
        <v>1427</v>
      </c>
    </row>
    <row r="33" spans="1:11">
      <c r="A33" s="17">
        <v>114</v>
      </c>
      <c r="B33" s="38">
        <v>1428</v>
      </c>
      <c r="C33" s="40">
        <v>3</v>
      </c>
      <c r="D33" s="40">
        <v>2</v>
      </c>
      <c r="K33">
        <f>INDEX(OutputValues,29,$J$4)</f>
        <v>1428</v>
      </c>
    </row>
    <row r="34" spans="1:11">
      <c r="A34" s="17">
        <v>114.5</v>
      </c>
      <c r="B34" s="38">
        <v>1429</v>
      </c>
      <c r="C34" s="40">
        <v>3</v>
      </c>
      <c r="D34" s="40">
        <v>2</v>
      </c>
      <c r="K34">
        <f>INDEX(OutputValues,30,$J$4)</f>
        <v>1429</v>
      </c>
    </row>
    <row r="35" spans="1:11">
      <c r="A35" s="17">
        <v>115</v>
      </c>
      <c r="B35" s="38">
        <v>1430</v>
      </c>
      <c r="C35" s="40">
        <v>3</v>
      </c>
      <c r="D35" s="40">
        <v>2</v>
      </c>
      <c r="K35">
        <f>INDEX(OutputValues,31,$J$4)</f>
        <v>1430</v>
      </c>
    </row>
    <row r="36" spans="1:11">
      <c r="A36" s="17">
        <v>115.5</v>
      </c>
      <c r="B36" s="38">
        <v>1431</v>
      </c>
      <c r="C36" s="40">
        <v>3</v>
      </c>
      <c r="D36" s="40">
        <v>2</v>
      </c>
      <c r="K36">
        <f>INDEX(OutputValues,32,$J$4)</f>
        <v>1431</v>
      </c>
    </row>
    <row r="37" spans="1:11">
      <c r="A37" s="17">
        <v>116</v>
      </c>
      <c r="B37" s="38">
        <v>1432</v>
      </c>
      <c r="C37" s="40">
        <v>3</v>
      </c>
      <c r="D37" s="40">
        <v>2</v>
      </c>
      <c r="K37">
        <f>INDEX(OutputValues,33,$J$4)</f>
        <v>1432</v>
      </c>
    </row>
    <row r="38" spans="1:11">
      <c r="A38" s="17">
        <v>116.5</v>
      </c>
      <c r="B38" s="38">
        <v>1433</v>
      </c>
      <c r="C38" s="40">
        <v>3</v>
      </c>
      <c r="D38" s="40">
        <v>2</v>
      </c>
      <c r="K38">
        <f>INDEX(OutputValues,34,$J$4)</f>
        <v>1433</v>
      </c>
    </row>
    <row r="39" spans="1:11">
      <c r="A39" s="17">
        <v>117</v>
      </c>
      <c r="B39" s="38">
        <v>1434</v>
      </c>
      <c r="C39" s="40">
        <v>3</v>
      </c>
      <c r="D39" s="40">
        <v>2</v>
      </c>
      <c r="K39">
        <f>INDEX(OutputValues,35,$J$4)</f>
        <v>1434</v>
      </c>
    </row>
    <row r="40" spans="1:11">
      <c r="A40" s="17">
        <v>117.5</v>
      </c>
      <c r="B40" s="38">
        <v>1435</v>
      </c>
      <c r="C40" s="40">
        <v>3</v>
      </c>
      <c r="D40" s="40">
        <v>2</v>
      </c>
      <c r="K40">
        <f>INDEX(OutputValues,36,$J$4)</f>
        <v>1435</v>
      </c>
    </row>
    <row r="41" spans="1:11">
      <c r="A41" s="17">
        <v>118</v>
      </c>
      <c r="B41" s="38">
        <v>1436</v>
      </c>
      <c r="C41" s="40">
        <v>3</v>
      </c>
      <c r="D41" s="40">
        <v>2</v>
      </c>
      <c r="K41">
        <f>INDEX(OutputValues,37,$J$4)</f>
        <v>1436</v>
      </c>
    </row>
    <row r="42" spans="1:11">
      <c r="A42" s="17">
        <v>118.5</v>
      </c>
      <c r="B42" s="38">
        <v>1437</v>
      </c>
      <c r="C42" s="40">
        <v>3</v>
      </c>
      <c r="D42" s="40">
        <v>2</v>
      </c>
      <c r="K42">
        <f>INDEX(OutputValues,38,$J$4)</f>
        <v>1437</v>
      </c>
    </row>
    <row r="43" spans="1:11">
      <c r="A43" s="17">
        <v>119</v>
      </c>
      <c r="B43" s="38">
        <v>1438</v>
      </c>
      <c r="C43" s="40">
        <v>3</v>
      </c>
      <c r="D43" s="40">
        <v>2</v>
      </c>
      <c r="K43">
        <f>INDEX(OutputValues,39,$J$4)</f>
        <v>1438</v>
      </c>
    </row>
    <row r="44" spans="1:11">
      <c r="A44" s="17">
        <v>119.5</v>
      </c>
      <c r="B44" s="38">
        <v>1439</v>
      </c>
      <c r="C44" s="40">
        <v>3</v>
      </c>
      <c r="D44" s="40">
        <v>2</v>
      </c>
      <c r="K44">
        <f>INDEX(OutputValues,40,$J$4)</f>
        <v>1439</v>
      </c>
    </row>
    <row r="45" spans="1:11">
      <c r="A45" s="17">
        <v>120</v>
      </c>
      <c r="B45" s="38">
        <v>1440</v>
      </c>
      <c r="C45" s="40">
        <v>3</v>
      </c>
      <c r="D45" s="40">
        <v>2</v>
      </c>
      <c r="K45">
        <f>INDEX(OutputValues,41,$J$4)</f>
        <v>1440</v>
      </c>
    </row>
    <row r="46" spans="1:11">
      <c r="A46" s="17">
        <v>120.5</v>
      </c>
      <c r="B46" s="38">
        <v>1441</v>
      </c>
      <c r="C46" s="40">
        <v>3</v>
      </c>
      <c r="D46" s="40">
        <v>2</v>
      </c>
      <c r="K46">
        <f>INDEX(OutputValues,42,$J$4)</f>
        <v>1441</v>
      </c>
    </row>
    <row r="47" spans="1:11">
      <c r="A47" s="17">
        <v>121</v>
      </c>
      <c r="B47" s="38">
        <v>1442</v>
      </c>
      <c r="C47" s="40">
        <v>3</v>
      </c>
      <c r="D47" s="40">
        <v>2</v>
      </c>
      <c r="K47">
        <f>INDEX(OutputValues,43,$J$4)</f>
        <v>1442</v>
      </c>
    </row>
    <row r="48" spans="1:11">
      <c r="A48" s="17">
        <v>121.5</v>
      </c>
      <c r="B48" s="38">
        <v>1443</v>
      </c>
      <c r="C48" s="40">
        <v>3</v>
      </c>
      <c r="D48" s="40">
        <v>2</v>
      </c>
      <c r="K48">
        <f>INDEX(OutputValues,44,$J$4)</f>
        <v>1443</v>
      </c>
    </row>
    <row r="49" spans="1:11">
      <c r="A49" s="17">
        <v>122</v>
      </c>
      <c r="B49" s="38">
        <v>1444</v>
      </c>
      <c r="C49" s="40">
        <v>3</v>
      </c>
      <c r="D49" s="40">
        <v>2</v>
      </c>
      <c r="K49">
        <f>INDEX(OutputValues,45,$J$4)</f>
        <v>1444</v>
      </c>
    </row>
    <row r="50" spans="1:11">
      <c r="A50" s="17">
        <v>122.5</v>
      </c>
      <c r="B50" s="38">
        <v>1445</v>
      </c>
      <c r="C50" s="40">
        <v>3</v>
      </c>
      <c r="D50" s="40">
        <v>2</v>
      </c>
      <c r="K50">
        <f>INDEX(OutputValues,46,$J$4)</f>
        <v>1445</v>
      </c>
    </row>
    <row r="51" spans="1:11">
      <c r="A51" s="17">
        <v>123</v>
      </c>
      <c r="B51" s="38">
        <v>1446</v>
      </c>
      <c r="C51" s="40">
        <v>3</v>
      </c>
      <c r="D51" s="40">
        <v>2</v>
      </c>
      <c r="K51">
        <f>INDEX(OutputValues,47,$J$4)</f>
        <v>1446</v>
      </c>
    </row>
    <row r="52" spans="1:11">
      <c r="A52" s="17">
        <v>123.5</v>
      </c>
      <c r="B52" s="38">
        <v>1447</v>
      </c>
      <c r="C52" s="40">
        <v>3</v>
      </c>
      <c r="D52" s="40">
        <v>2</v>
      </c>
      <c r="K52">
        <f>INDEX(OutputValues,48,$J$4)</f>
        <v>1447</v>
      </c>
    </row>
    <row r="53" spans="1:11">
      <c r="A53" s="17">
        <v>124</v>
      </c>
      <c r="B53" s="38">
        <v>1448</v>
      </c>
      <c r="C53" s="40">
        <v>3</v>
      </c>
      <c r="D53" s="40">
        <v>2</v>
      </c>
      <c r="K53">
        <f>INDEX(OutputValues,49,$J$4)</f>
        <v>1448</v>
      </c>
    </row>
    <row r="54" spans="1:11">
      <c r="A54" s="17">
        <v>124.5</v>
      </c>
      <c r="B54" s="38">
        <v>1449</v>
      </c>
      <c r="C54" s="40">
        <v>3</v>
      </c>
      <c r="D54" s="40">
        <v>2</v>
      </c>
      <c r="K54">
        <f>INDEX(OutputValues,50,$J$4)</f>
        <v>1449</v>
      </c>
    </row>
    <row r="55" spans="1:11">
      <c r="A55" s="17">
        <v>125</v>
      </c>
      <c r="B55" s="38">
        <v>1450</v>
      </c>
      <c r="C55" s="40">
        <v>3</v>
      </c>
      <c r="D55" s="40">
        <v>2</v>
      </c>
      <c r="K55">
        <f>INDEX(OutputValues,51,$J$4)</f>
        <v>1450</v>
      </c>
    </row>
    <row r="56" spans="1:11">
      <c r="A56" s="17">
        <v>125.5</v>
      </c>
      <c r="B56" s="38">
        <v>1451</v>
      </c>
      <c r="C56" s="40">
        <v>3</v>
      </c>
      <c r="D56" s="40">
        <v>2</v>
      </c>
      <c r="K56">
        <f>INDEX(OutputValues,52,$J$4)</f>
        <v>1451</v>
      </c>
    </row>
    <row r="57" spans="1:11">
      <c r="A57" s="17">
        <v>126</v>
      </c>
      <c r="B57" s="38">
        <v>1452</v>
      </c>
      <c r="C57" s="40">
        <v>3</v>
      </c>
      <c r="D57" s="40">
        <v>2</v>
      </c>
      <c r="K57">
        <f>INDEX(OutputValues,53,$J$4)</f>
        <v>1452</v>
      </c>
    </row>
    <row r="58" spans="1:11">
      <c r="A58" s="17">
        <v>126.5</v>
      </c>
      <c r="B58" s="38">
        <v>1453</v>
      </c>
      <c r="C58" s="40">
        <v>3</v>
      </c>
      <c r="D58" s="40">
        <v>2</v>
      </c>
      <c r="K58">
        <f>INDEX(OutputValues,54,$J$4)</f>
        <v>1453</v>
      </c>
    </row>
    <row r="59" spans="1:11">
      <c r="A59" s="17">
        <v>127</v>
      </c>
      <c r="B59" s="38">
        <v>1454</v>
      </c>
      <c r="C59" s="40">
        <v>3</v>
      </c>
      <c r="D59" s="40">
        <v>2</v>
      </c>
      <c r="K59">
        <f>INDEX(OutputValues,55,$J$4)</f>
        <v>1454</v>
      </c>
    </row>
    <row r="60" spans="1:11">
      <c r="A60" s="17">
        <v>127.5</v>
      </c>
      <c r="B60" s="38">
        <v>1455</v>
      </c>
      <c r="C60" s="40">
        <v>3</v>
      </c>
      <c r="D60" s="40">
        <v>2</v>
      </c>
      <c r="K60">
        <f>INDEX(OutputValues,56,$J$4)</f>
        <v>1455</v>
      </c>
    </row>
    <row r="61" spans="1:11">
      <c r="A61" s="17">
        <v>128</v>
      </c>
      <c r="B61" s="38">
        <v>1456</v>
      </c>
      <c r="C61" s="40">
        <v>3</v>
      </c>
      <c r="D61" s="40">
        <v>2</v>
      </c>
      <c r="K61">
        <f>INDEX(OutputValues,57,$J$4)</f>
        <v>1456</v>
      </c>
    </row>
    <row r="62" spans="1:11">
      <c r="A62" s="17">
        <v>128.5</v>
      </c>
      <c r="B62" s="38">
        <v>1457</v>
      </c>
      <c r="C62" s="40">
        <v>3</v>
      </c>
      <c r="D62" s="40">
        <v>2</v>
      </c>
      <c r="K62">
        <f>INDEX(OutputValues,58,$J$4)</f>
        <v>1457</v>
      </c>
    </row>
    <row r="63" spans="1:11">
      <c r="A63" s="17">
        <v>129</v>
      </c>
      <c r="B63" s="38">
        <v>1458</v>
      </c>
      <c r="C63" s="40">
        <v>3</v>
      </c>
      <c r="D63" s="40">
        <v>2</v>
      </c>
      <c r="K63">
        <f>INDEX(OutputValues,59,$J$4)</f>
        <v>1458</v>
      </c>
    </row>
    <row r="64" spans="1:11">
      <c r="A64" s="17">
        <v>129.5</v>
      </c>
      <c r="B64" s="38">
        <v>1459</v>
      </c>
      <c r="C64" s="40">
        <v>3</v>
      </c>
      <c r="D64" s="40">
        <v>2</v>
      </c>
      <c r="K64">
        <f>INDEX(OutputValues,60,$J$4)</f>
        <v>1459</v>
      </c>
    </row>
    <row r="65" spans="1:11">
      <c r="A65" s="17">
        <v>130</v>
      </c>
      <c r="B65" s="38">
        <v>1460</v>
      </c>
      <c r="C65" s="40">
        <v>3</v>
      </c>
      <c r="D65" s="40">
        <v>2</v>
      </c>
      <c r="K65">
        <f>INDEX(OutputValues,61,$J$4)</f>
        <v>1460</v>
      </c>
    </row>
    <row r="66" spans="1:11">
      <c r="A66" s="17">
        <v>130.5</v>
      </c>
      <c r="B66" s="38">
        <v>1461</v>
      </c>
      <c r="C66" s="40">
        <v>3</v>
      </c>
      <c r="D66" s="40">
        <v>2</v>
      </c>
      <c r="K66">
        <f>INDEX(OutputValues,62,$J$4)</f>
        <v>1461</v>
      </c>
    </row>
    <row r="67" spans="1:11">
      <c r="A67" s="17">
        <v>131</v>
      </c>
      <c r="B67" s="38">
        <v>1462</v>
      </c>
      <c r="C67" s="40">
        <v>3</v>
      </c>
      <c r="D67" s="40">
        <v>2</v>
      </c>
      <c r="K67">
        <f>INDEX(OutputValues,63,$J$4)</f>
        <v>1462</v>
      </c>
    </row>
    <row r="68" spans="1:11">
      <c r="A68" s="17">
        <v>131.5</v>
      </c>
      <c r="B68" s="38">
        <v>1463</v>
      </c>
      <c r="C68" s="40">
        <v>3</v>
      </c>
      <c r="D68" s="40">
        <v>2</v>
      </c>
      <c r="K68">
        <f>INDEX(OutputValues,64,$J$4)</f>
        <v>1463</v>
      </c>
    </row>
    <row r="69" spans="1:11">
      <c r="A69" s="17">
        <v>132</v>
      </c>
      <c r="B69" s="38">
        <v>1464</v>
      </c>
      <c r="C69" s="40">
        <v>3</v>
      </c>
      <c r="D69" s="40">
        <v>2</v>
      </c>
      <c r="K69">
        <f>INDEX(OutputValues,65,$J$4)</f>
        <v>1464</v>
      </c>
    </row>
    <row r="70" spans="1:11">
      <c r="A70" s="17">
        <v>132.5</v>
      </c>
      <c r="B70" s="38">
        <v>1465</v>
      </c>
      <c r="C70" s="40">
        <v>3</v>
      </c>
      <c r="D70" s="40">
        <v>2</v>
      </c>
      <c r="K70">
        <f>INDEX(OutputValues,66,$J$4)</f>
        <v>1465</v>
      </c>
    </row>
    <row r="71" spans="1:11">
      <c r="A71" s="17">
        <v>133</v>
      </c>
      <c r="B71" s="38">
        <v>1466</v>
      </c>
      <c r="C71" s="40">
        <v>3</v>
      </c>
      <c r="D71" s="40">
        <v>2</v>
      </c>
      <c r="K71">
        <f>INDEX(OutputValues,67,$J$4)</f>
        <v>1466</v>
      </c>
    </row>
    <row r="72" spans="1:11">
      <c r="A72" s="17">
        <v>133.5</v>
      </c>
      <c r="B72" s="38">
        <v>1467</v>
      </c>
      <c r="C72" s="40">
        <v>3</v>
      </c>
      <c r="D72" s="40">
        <v>2</v>
      </c>
      <c r="K72">
        <f>INDEX(OutputValues,68,$J$4)</f>
        <v>1467</v>
      </c>
    </row>
    <row r="73" spans="1:11">
      <c r="A73" s="17">
        <v>134</v>
      </c>
      <c r="B73" s="38">
        <v>1468</v>
      </c>
      <c r="C73" s="40">
        <v>3</v>
      </c>
      <c r="D73" s="40">
        <v>2</v>
      </c>
      <c r="K73">
        <f>INDEX(OutputValues,69,$J$4)</f>
        <v>1468</v>
      </c>
    </row>
    <row r="74" spans="1:11">
      <c r="A74" s="17">
        <v>134.5</v>
      </c>
      <c r="B74" s="38">
        <v>1469</v>
      </c>
      <c r="C74" s="40">
        <v>3</v>
      </c>
      <c r="D74" s="40">
        <v>2</v>
      </c>
      <c r="K74">
        <f>INDEX(OutputValues,70,$J$4)</f>
        <v>1469</v>
      </c>
    </row>
    <row r="75" spans="1:11">
      <c r="A75" s="17">
        <v>135</v>
      </c>
      <c r="B75" s="38">
        <v>1470</v>
      </c>
      <c r="C75" s="40">
        <v>3</v>
      </c>
      <c r="D75" s="40">
        <v>2</v>
      </c>
      <c r="K75">
        <f>INDEX(OutputValues,71,$J$4)</f>
        <v>1470</v>
      </c>
    </row>
    <row r="76" spans="1:11">
      <c r="A76" s="17">
        <v>135.5</v>
      </c>
      <c r="B76" s="38">
        <v>1471</v>
      </c>
      <c r="C76" s="40">
        <v>3</v>
      </c>
      <c r="D76" s="40">
        <v>2</v>
      </c>
      <c r="K76">
        <f>INDEX(OutputValues,72,$J$4)</f>
        <v>1471</v>
      </c>
    </row>
    <row r="77" spans="1:11">
      <c r="A77" s="17">
        <v>136</v>
      </c>
      <c r="B77" s="38">
        <v>1472</v>
      </c>
      <c r="C77" s="40">
        <v>3</v>
      </c>
      <c r="D77" s="40">
        <v>2</v>
      </c>
      <c r="K77">
        <f>INDEX(OutputValues,73,$J$4)</f>
        <v>1472</v>
      </c>
    </row>
    <row r="78" spans="1:11">
      <c r="A78" s="17">
        <v>136.5</v>
      </c>
      <c r="B78" s="38">
        <v>1473</v>
      </c>
      <c r="C78" s="40">
        <v>3</v>
      </c>
      <c r="D78" s="40">
        <v>2</v>
      </c>
      <c r="K78">
        <f>INDEX(OutputValues,74,$J$4)</f>
        <v>1473</v>
      </c>
    </row>
    <row r="79" spans="1:11">
      <c r="A79" s="17">
        <v>137</v>
      </c>
      <c r="B79" s="38">
        <v>1474</v>
      </c>
      <c r="C79" s="40">
        <v>3</v>
      </c>
      <c r="D79" s="40">
        <v>2</v>
      </c>
      <c r="K79">
        <f>INDEX(OutputValues,75,$J$4)</f>
        <v>1474</v>
      </c>
    </row>
    <row r="80" spans="1:11">
      <c r="A80" s="17">
        <v>137.5</v>
      </c>
      <c r="B80" s="38">
        <v>1475</v>
      </c>
      <c r="C80" s="40">
        <v>3</v>
      </c>
      <c r="D80" s="40">
        <v>2</v>
      </c>
      <c r="K80">
        <f>INDEX(OutputValues,76,$J$4)</f>
        <v>1475</v>
      </c>
    </row>
    <row r="81" spans="1:11">
      <c r="A81" s="17">
        <v>138</v>
      </c>
      <c r="B81" s="38">
        <v>1476</v>
      </c>
      <c r="C81" s="40">
        <v>3</v>
      </c>
      <c r="D81" s="40">
        <v>2</v>
      </c>
      <c r="K81">
        <f>INDEX(OutputValues,77,$J$4)</f>
        <v>1476</v>
      </c>
    </row>
    <row r="82" spans="1:11">
      <c r="A82" s="17">
        <v>138.5</v>
      </c>
      <c r="B82" s="38">
        <v>1477</v>
      </c>
      <c r="C82" s="40">
        <v>3</v>
      </c>
      <c r="D82" s="40">
        <v>2</v>
      </c>
      <c r="K82">
        <f>INDEX(OutputValues,78,$J$4)</f>
        <v>1477</v>
      </c>
    </row>
    <row r="83" spans="1:11">
      <c r="A83" s="17">
        <v>139</v>
      </c>
      <c r="B83" s="38">
        <v>1478</v>
      </c>
      <c r="C83" s="40">
        <v>3</v>
      </c>
      <c r="D83" s="40">
        <v>2</v>
      </c>
      <c r="K83">
        <f>INDEX(OutputValues,79,$J$4)</f>
        <v>1478</v>
      </c>
    </row>
    <row r="84" spans="1:11">
      <c r="A84" s="17">
        <v>139.5</v>
      </c>
      <c r="B84" s="38">
        <v>1479</v>
      </c>
      <c r="C84" s="40">
        <v>3</v>
      </c>
      <c r="D84" s="40">
        <v>2</v>
      </c>
      <c r="K84">
        <f>INDEX(OutputValues,80,$J$4)</f>
        <v>1479</v>
      </c>
    </row>
    <row r="85" spans="1:11">
      <c r="A85" s="17">
        <v>140</v>
      </c>
      <c r="B85" s="38">
        <v>1480</v>
      </c>
      <c r="C85" s="40">
        <v>3</v>
      </c>
      <c r="D85" s="40">
        <v>2</v>
      </c>
      <c r="K85">
        <f>INDEX(OutputValues,81,$J$4)</f>
        <v>1480</v>
      </c>
    </row>
    <row r="86" spans="1:11">
      <c r="A86" s="17">
        <v>140.5</v>
      </c>
      <c r="B86" s="38">
        <v>1481</v>
      </c>
      <c r="C86" s="40">
        <v>3</v>
      </c>
      <c r="D86" s="40">
        <v>2</v>
      </c>
      <c r="K86">
        <f>INDEX(OutputValues,82,$J$4)</f>
        <v>1481</v>
      </c>
    </row>
    <row r="87" spans="1:11">
      <c r="A87" s="17">
        <v>141</v>
      </c>
      <c r="B87" s="38">
        <v>1482</v>
      </c>
      <c r="C87" s="40">
        <v>3</v>
      </c>
      <c r="D87" s="40">
        <v>2</v>
      </c>
      <c r="K87">
        <f>INDEX(OutputValues,83,$J$4)</f>
        <v>1482</v>
      </c>
    </row>
    <row r="88" spans="1:11">
      <c r="A88" s="17">
        <v>141.5</v>
      </c>
      <c r="B88" s="38">
        <v>1483</v>
      </c>
      <c r="C88" s="40">
        <v>3</v>
      </c>
      <c r="D88" s="40">
        <v>2</v>
      </c>
      <c r="K88">
        <f>INDEX(OutputValues,84,$J$4)</f>
        <v>1483</v>
      </c>
    </row>
    <row r="89" spans="1:11">
      <c r="A89" s="17">
        <v>142</v>
      </c>
      <c r="B89" s="38">
        <v>1484</v>
      </c>
      <c r="C89" s="40">
        <v>3</v>
      </c>
      <c r="D89" s="40">
        <v>2</v>
      </c>
      <c r="K89">
        <f>INDEX(OutputValues,85,$J$4)</f>
        <v>1484</v>
      </c>
    </row>
    <row r="90" spans="1:11">
      <c r="A90" s="17">
        <v>142.5</v>
      </c>
      <c r="B90" s="38">
        <v>1485</v>
      </c>
      <c r="C90" s="40">
        <v>3</v>
      </c>
      <c r="D90" s="40">
        <v>2</v>
      </c>
      <c r="K90">
        <f>INDEX(OutputValues,86,$J$4)</f>
        <v>1485</v>
      </c>
    </row>
    <row r="91" spans="1:11">
      <c r="A91" s="17">
        <v>143</v>
      </c>
      <c r="B91" s="38">
        <v>1486</v>
      </c>
      <c r="C91" s="40">
        <v>3</v>
      </c>
      <c r="D91" s="40">
        <v>2</v>
      </c>
      <c r="K91">
        <f>INDEX(OutputValues,87,$J$4)</f>
        <v>1486</v>
      </c>
    </row>
    <row r="92" spans="1:11">
      <c r="A92" s="17">
        <v>143.5</v>
      </c>
      <c r="B92" s="38">
        <v>1487</v>
      </c>
      <c r="C92" s="40">
        <v>3</v>
      </c>
      <c r="D92" s="40">
        <v>2</v>
      </c>
      <c r="K92">
        <f>INDEX(OutputValues,88,$J$4)</f>
        <v>1487</v>
      </c>
    </row>
    <row r="93" spans="1:11">
      <c r="A93" s="17">
        <v>144</v>
      </c>
      <c r="B93" s="38">
        <v>1488</v>
      </c>
      <c r="C93" s="40">
        <v>3</v>
      </c>
      <c r="D93" s="40">
        <v>2</v>
      </c>
      <c r="K93">
        <f>INDEX(OutputValues,89,$J$4)</f>
        <v>1488</v>
      </c>
    </row>
    <row r="94" spans="1:11">
      <c r="A94" s="17">
        <v>144.5</v>
      </c>
      <c r="B94" s="38">
        <v>1489</v>
      </c>
      <c r="C94" s="40">
        <v>3</v>
      </c>
      <c r="D94" s="40">
        <v>2</v>
      </c>
      <c r="K94">
        <f>INDEX(OutputValues,90,$J$4)</f>
        <v>1489</v>
      </c>
    </row>
    <row r="95" spans="1:11">
      <c r="A95" s="17">
        <v>145</v>
      </c>
      <c r="B95" s="38">
        <v>1490</v>
      </c>
      <c r="C95" s="40">
        <v>3</v>
      </c>
      <c r="D95" s="40">
        <v>2</v>
      </c>
      <c r="K95">
        <f>INDEX(OutputValues,91,$J$4)</f>
        <v>1490</v>
      </c>
    </row>
    <row r="96" spans="1:11">
      <c r="A96" s="17">
        <v>145.5</v>
      </c>
      <c r="B96" s="38">
        <v>1491</v>
      </c>
      <c r="C96" s="40">
        <v>3</v>
      </c>
      <c r="D96" s="40">
        <v>2</v>
      </c>
      <c r="K96">
        <f>INDEX(OutputValues,92,$J$4)</f>
        <v>1491</v>
      </c>
    </row>
    <row r="97" spans="1:11">
      <c r="A97" s="17">
        <v>146</v>
      </c>
      <c r="B97" s="38">
        <v>1492</v>
      </c>
      <c r="C97" s="40">
        <v>3</v>
      </c>
      <c r="D97" s="40">
        <v>2</v>
      </c>
      <c r="K97">
        <f>INDEX(OutputValues,93,$J$4)</f>
        <v>1492</v>
      </c>
    </row>
    <row r="98" spans="1:11">
      <c r="A98" s="17">
        <v>146.5</v>
      </c>
      <c r="B98" s="38">
        <v>1493</v>
      </c>
      <c r="C98" s="40">
        <v>3</v>
      </c>
      <c r="D98" s="40">
        <v>2</v>
      </c>
      <c r="K98">
        <f>INDEX(OutputValues,94,$J$4)</f>
        <v>1493</v>
      </c>
    </row>
    <row r="99" spans="1:11">
      <c r="A99" s="17">
        <v>147</v>
      </c>
      <c r="B99" s="38">
        <v>1494</v>
      </c>
      <c r="C99" s="40">
        <v>3</v>
      </c>
      <c r="D99" s="40">
        <v>2</v>
      </c>
      <c r="K99">
        <f>INDEX(OutputValues,95,$J$4)</f>
        <v>1494</v>
      </c>
    </row>
    <row r="100" spans="1:11">
      <c r="A100" s="17">
        <v>147.5</v>
      </c>
      <c r="B100" s="38">
        <v>1495</v>
      </c>
      <c r="C100" s="40">
        <v>3</v>
      </c>
      <c r="D100" s="40">
        <v>2</v>
      </c>
      <c r="K100">
        <f>INDEX(OutputValues,96,$J$4)</f>
        <v>1495</v>
      </c>
    </row>
    <row r="101" spans="1:11">
      <c r="A101" s="17">
        <v>148</v>
      </c>
      <c r="B101" s="38">
        <v>1496</v>
      </c>
      <c r="C101" s="40">
        <v>3</v>
      </c>
      <c r="D101" s="40">
        <v>2</v>
      </c>
      <c r="K101">
        <f>INDEX(OutputValues,97,$J$4)</f>
        <v>1496</v>
      </c>
    </row>
    <row r="102" spans="1:11">
      <c r="A102" s="17">
        <v>148.5</v>
      </c>
      <c r="B102" s="38">
        <v>1497</v>
      </c>
      <c r="C102" s="40">
        <v>3</v>
      </c>
      <c r="D102" s="40">
        <v>2</v>
      </c>
      <c r="K102">
        <f>INDEX(OutputValues,98,$J$4)</f>
        <v>1497</v>
      </c>
    </row>
    <row r="103" spans="1:11">
      <c r="A103" s="17">
        <v>149</v>
      </c>
      <c r="B103" s="38">
        <v>1498</v>
      </c>
      <c r="C103" s="40">
        <v>3</v>
      </c>
      <c r="D103" s="40">
        <v>2</v>
      </c>
      <c r="K103">
        <f>INDEX(OutputValues,99,$J$4)</f>
        <v>1498</v>
      </c>
    </row>
    <row r="104" spans="1:11">
      <c r="A104" s="17">
        <v>149.5</v>
      </c>
      <c r="B104" s="38">
        <v>1499</v>
      </c>
      <c r="C104" s="40">
        <v>3</v>
      </c>
      <c r="D104" s="40">
        <v>2</v>
      </c>
      <c r="K104">
        <f>INDEX(OutputValues,100,$J$4)</f>
        <v>1499</v>
      </c>
    </row>
    <row r="105" spans="1:11">
      <c r="A105" s="17">
        <v>150</v>
      </c>
      <c r="B105" s="38">
        <v>1500</v>
      </c>
      <c r="C105" s="40">
        <v>3</v>
      </c>
      <c r="D105" s="40">
        <v>2</v>
      </c>
      <c r="K105">
        <f>INDEX(OutputValues,101,$J$4)</f>
        <v>1500</v>
      </c>
    </row>
    <row r="106" spans="1:11">
      <c r="A106" s="17">
        <v>150.5</v>
      </c>
      <c r="B106" s="38">
        <v>1501</v>
      </c>
      <c r="C106" s="40">
        <v>3</v>
      </c>
      <c r="D106" s="40">
        <v>2</v>
      </c>
      <c r="K106">
        <f>INDEX(OutputValues,102,$J$4)</f>
        <v>1501</v>
      </c>
    </row>
    <row r="107" spans="1:11">
      <c r="A107" s="17">
        <v>151</v>
      </c>
      <c r="B107" s="38">
        <v>1502</v>
      </c>
      <c r="C107" s="40">
        <v>3</v>
      </c>
      <c r="D107" s="40">
        <v>2</v>
      </c>
      <c r="K107">
        <f>INDEX(OutputValues,103,$J$4)</f>
        <v>1502</v>
      </c>
    </row>
    <row r="108" spans="1:11">
      <c r="A108" s="17">
        <v>151.5</v>
      </c>
      <c r="B108" s="38">
        <v>1503</v>
      </c>
      <c r="C108" s="40">
        <v>3</v>
      </c>
      <c r="D108" s="40">
        <v>2</v>
      </c>
      <c r="K108">
        <f>INDEX(OutputValues,104,$J$4)</f>
        <v>1503</v>
      </c>
    </row>
    <row r="109" spans="1:11">
      <c r="A109" s="17">
        <v>152</v>
      </c>
      <c r="B109" s="38">
        <v>1504</v>
      </c>
      <c r="C109" s="40">
        <v>3</v>
      </c>
      <c r="D109" s="40">
        <v>2</v>
      </c>
      <c r="K109">
        <f>INDEX(OutputValues,105,$J$4)</f>
        <v>1504</v>
      </c>
    </row>
    <row r="110" spans="1:11">
      <c r="A110" s="17">
        <v>152.5</v>
      </c>
      <c r="B110" s="38">
        <v>1505</v>
      </c>
      <c r="C110" s="40">
        <v>3</v>
      </c>
      <c r="D110" s="40">
        <v>2</v>
      </c>
      <c r="K110">
        <f>INDEX(OutputValues,106,$J$4)</f>
        <v>1505</v>
      </c>
    </row>
    <row r="111" spans="1:11">
      <c r="A111" s="17">
        <v>153</v>
      </c>
      <c r="B111" s="38">
        <v>1506</v>
      </c>
      <c r="C111" s="40">
        <v>3</v>
      </c>
      <c r="D111" s="40">
        <v>2</v>
      </c>
      <c r="K111">
        <f>INDEX(OutputValues,107,$J$4)</f>
        <v>1506</v>
      </c>
    </row>
    <row r="112" spans="1:11">
      <c r="A112" s="17">
        <v>153.5</v>
      </c>
      <c r="B112" s="38">
        <v>1507</v>
      </c>
      <c r="C112" s="40">
        <v>3</v>
      </c>
      <c r="D112" s="40">
        <v>2</v>
      </c>
      <c r="K112">
        <f>INDEX(OutputValues,108,$J$4)</f>
        <v>1507</v>
      </c>
    </row>
    <row r="113" spans="1:11">
      <c r="A113" s="17">
        <v>154</v>
      </c>
      <c r="B113" s="38">
        <v>1508</v>
      </c>
      <c r="C113" s="40">
        <v>3</v>
      </c>
      <c r="D113" s="40">
        <v>2</v>
      </c>
      <c r="K113">
        <f>INDEX(OutputValues,109,$J$4)</f>
        <v>1508</v>
      </c>
    </row>
    <row r="114" spans="1:11">
      <c r="A114" s="17">
        <v>154.5</v>
      </c>
      <c r="B114" s="38">
        <v>1509</v>
      </c>
      <c r="C114" s="40">
        <v>3</v>
      </c>
      <c r="D114" s="40">
        <v>2</v>
      </c>
      <c r="K114">
        <f>INDEX(OutputValues,110,$J$4)</f>
        <v>1509</v>
      </c>
    </row>
    <row r="115" spans="1:11">
      <c r="A115" s="17">
        <v>155</v>
      </c>
      <c r="B115" s="38">
        <v>1510</v>
      </c>
      <c r="C115" s="40">
        <v>3</v>
      </c>
      <c r="D115" s="40">
        <v>2</v>
      </c>
      <c r="K115">
        <f>INDEX(OutputValues,111,$J$4)</f>
        <v>1510</v>
      </c>
    </row>
    <row r="116" spans="1:11">
      <c r="A116" s="17">
        <v>155.5</v>
      </c>
      <c r="B116" s="38">
        <v>1511</v>
      </c>
      <c r="C116" s="40">
        <v>3</v>
      </c>
      <c r="D116" s="40">
        <v>2</v>
      </c>
      <c r="K116">
        <f>INDEX(OutputValues,112,$J$4)</f>
        <v>1511</v>
      </c>
    </row>
    <row r="117" spans="1:11">
      <c r="A117" s="17">
        <v>156</v>
      </c>
      <c r="B117" s="38">
        <v>1512</v>
      </c>
      <c r="C117" s="40">
        <v>3</v>
      </c>
      <c r="D117" s="40">
        <v>2</v>
      </c>
      <c r="K117">
        <f>INDEX(OutputValues,113,$J$4)</f>
        <v>1512</v>
      </c>
    </row>
    <row r="118" spans="1:11">
      <c r="A118" s="17">
        <v>156.5</v>
      </c>
      <c r="B118" s="38">
        <v>1513</v>
      </c>
      <c r="C118" s="40">
        <v>3</v>
      </c>
      <c r="D118" s="40">
        <v>2</v>
      </c>
      <c r="K118">
        <f>INDEX(OutputValues,114,$J$4)</f>
        <v>1513</v>
      </c>
    </row>
    <row r="119" spans="1:11">
      <c r="A119" s="17">
        <v>157</v>
      </c>
      <c r="B119" s="38">
        <v>1514</v>
      </c>
      <c r="C119" s="40">
        <v>3</v>
      </c>
      <c r="D119" s="40">
        <v>2</v>
      </c>
      <c r="K119">
        <f>INDEX(OutputValues,115,$J$4)</f>
        <v>1514</v>
      </c>
    </row>
    <row r="120" spans="1:11">
      <c r="A120" s="17">
        <v>157.5</v>
      </c>
      <c r="B120" s="38">
        <v>1515</v>
      </c>
      <c r="C120" s="40">
        <v>3</v>
      </c>
      <c r="D120" s="40">
        <v>2</v>
      </c>
      <c r="K120">
        <f>INDEX(OutputValues,116,$J$4)</f>
        <v>1515</v>
      </c>
    </row>
    <row r="121" spans="1:11">
      <c r="A121" s="17">
        <v>158</v>
      </c>
      <c r="B121" s="38">
        <v>1516</v>
      </c>
      <c r="C121" s="40">
        <v>3</v>
      </c>
      <c r="D121" s="40">
        <v>2</v>
      </c>
      <c r="K121">
        <f>INDEX(OutputValues,117,$J$4)</f>
        <v>1516</v>
      </c>
    </row>
    <row r="122" spans="1:11">
      <c r="A122" s="17">
        <v>158.5</v>
      </c>
      <c r="B122" s="38">
        <v>1517</v>
      </c>
      <c r="C122" s="40">
        <v>3</v>
      </c>
      <c r="D122" s="40">
        <v>2</v>
      </c>
      <c r="K122">
        <f>INDEX(OutputValues,118,$J$4)</f>
        <v>1517</v>
      </c>
    </row>
    <row r="123" spans="1:11">
      <c r="A123" s="17">
        <v>159</v>
      </c>
      <c r="B123" s="38">
        <v>1518</v>
      </c>
      <c r="C123" s="40">
        <v>3</v>
      </c>
      <c r="D123" s="40">
        <v>2</v>
      </c>
      <c r="K123">
        <f>INDEX(OutputValues,119,$J$4)</f>
        <v>1518</v>
      </c>
    </row>
    <row r="124" spans="1:11">
      <c r="A124" s="17">
        <v>159.5</v>
      </c>
      <c r="B124" s="38">
        <v>1519</v>
      </c>
      <c r="C124" s="40">
        <v>3</v>
      </c>
      <c r="D124" s="40">
        <v>2</v>
      </c>
      <c r="K124">
        <f>INDEX(OutputValues,120,$J$4)</f>
        <v>1519</v>
      </c>
    </row>
    <row r="125" spans="1:11">
      <c r="A125" s="17">
        <v>160</v>
      </c>
      <c r="B125" s="38">
        <v>1520</v>
      </c>
      <c r="C125" s="40">
        <v>3</v>
      </c>
      <c r="D125" s="40">
        <v>2</v>
      </c>
      <c r="K125">
        <f>INDEX(OutputValues,121,$J$4)</f>
        <v>1520</v>
      </c>
    </row>
    <row r="126" spans="1:11">
      <c r="A126" s="17">
        <v>160.5</v>
      </c>
      <c r="B126" s="38">
        <v>1521</v>
      </c>
      <c r="C126" s="40">
        <v>3</v>
      </c>
      <c r="D126" s="40">
        <v>2</v>
      </c>
      <c r="K126">
        <f>INDEX(OutputValues,122,$J$4)</f>
        <v>1521</v>
      </c>
    </row>
    <row r="127" spans="1:11">
      <c r="A127" s="17">
        <v>161</v>
      </c>
      <c r="B127" s="38">
        <v>1522</v>
      </c>
      <c r="C127" s="40">
        <v>3</v>
      </c>
      <c r="D127" s="40">
        <v>2</v>
      </c>
      <c r="K127">
        <f>INDEX(OutputValues,123,$J$4)</f>
        <v>1522</v>
      </c>
    </row>
    <row r="128" spans="1:11">
      <c r="A128" s="17">
        <v>161.5</v>
      </c>
      <c r="B128" s="38">
        <v>1523</v>
      </c>
      <c r="C128" s="40">
        <v>3</v>
      </c>
      <c r="D128" s="40">
        <v>2</v>
      </c>
      <c r="K128">
        <f>INDEX(OutputValues,124,$J$4)</f>
        <v>1523</v>
      </c>
    </row>
    <row r="129" spans="1:11">
      <c r="A129" s="17">
        <v>162</v>
      </c>
      <c r="B129" s="38">
        <v>1524</v>
      </c>
      <c r="C129" s="40">
        <v>3</v>
      </c>
      <c r="D129" s="40">
        <v>2</v>
      </c>
      <c r="K129">
        <f>INDEX(OutputValues,125,$J$4)</f>
        <v>1524</v>
      </c>
    </row>
    <row r="130" spans="1:11">
      <c r="A130" s="17">
        <v>162.5</v>
      </c>
      <c r="B130" s="38">
        <v>1525</v>
      </c>
      <c r="C130" s="40">
        <v>3</v>
      </c>
      <c r="D130" s="40">
        <v>2</v>
      </c>
      <c r="K130">
        <f>INDEX(OutputValues,126,$J$4)</f>
        <v>1525</v>
      </c>
    </row>
    <row r="131" spans="1:11">
      <c r="A131" s="17">
        <v>163</v>
      </c>
      <c r="B131" s="38">
        <v>1526</v>
      </c>
      <c r="C131" s="40">
        <v>3</v>
      </c>
      <c r="D131" s="40">
        <v>2</v>
      </c>
      <c r="K131">
        <f>INDEX(OutputValues,127,$J$4)</f>
        <v>1526</v>
      </c>
    </row>
    <row r="132" spans="1:11">
      <c r="A132" s="17">
        <v>163.5</v>
      </c>
      <c r="B132" s="38">
        <v>1527</v>
      </c>
      <c r="C132" s="40">
        <v>3</v>
      </c>
      <c r="D132" s="40">
        <v>2</v>
      </c>
      <c r="K132">
        <f>INDEX(OutputValues,128,$J$4)</f>
        <v>1527</v>
      </c>
    </row>
    <row r="133" spans="1:11">
      <c r="A133" s="17">
        <v>164</v>
      </c>
      <c r="B133" s="38">
        <v>1528</v>
      </c>
      <c r="C133" s="40">
        <v>3</v>
      </c>
      <c r="D133" s="40">
        <v>2</v>
      </c>
      <c r="K133">
        <f>INDEX(OutputValues,129,$J$4)</f>
        <v>1528</v>
      </c>
    </row>
    <row r="134" spans="1:11">
      <c r="A134" s="17">
        <v>164.5</v>
      </c>
      <c r="B134" s="38">
        <v>1529</v>
      </c>
      <c r="C134" s="40">
        <v>3</v>
      </c>
      <c r="D134" s="40">
        <v>2</v>
      </c>
      <c r="K134">
        <f>INDEX(OutputValues,130,$J$4)</f>
        <v>1529</v>
      </c>
    </row>
    <row r="135" spans="1:11">
      <c r="A135" s="17">
        <v>165</v>
      </c>
      <c r="B135" s="38">
        <v>1530</v>
      </c>
      <c r="C135" s="40">
        <v>3</v>
      </c>
      <c r="D135" s="40">
        <v>2</v>
      </c>
      <c r="K135">
        <f>INDEX(OutputValues,131,$J$4)</f>
        <v>1530</v>
      </c>
    </row>
    <row r="136" spans="1:11">
      <c r="A136" s="17">
        <v>165.5</v>
      </c>
      <c r="B136" s="38">
        <v>1531</v>
      </c>
      <c r="C136" s="40">
        <v>3</v>
      </c>
      <c r="D136" s="40">
        <v>2</v>
      </c>
      <c r="K136">
        <f>INDEX(OutputValues,132,$J$4)</f>
        <v>1531</v>
      </c>
    </row>
    <row r="137" spans="1:11">
      <c r="A137" s="17">
        <v>166</v>
      </c>
      <c r="B137" s="38">
        <v>1532</v>
      </c>
      <c r="C137" s="40">
        <v>3</v>
      </c>
      <c r="D137" s="40">
        <v>2</v>
      </c>
      <c r="K137">
        <f>INDEX(OutputValues,133,$J$4)</f>
        <v>1532</v>
      </c>
    </row>
    <row r="138" spans="1:11">
      <c r="A138" s="17">
        <v>166.5</v>
      </c>
      <c r="B138" s="38">
        <v>1533</v>
      </c>
      <c r="C138" s="40">
        <v>3</v>
      </c>
      <c r="D138" s="40">
        <v>2</v>
      </c>
      <c r="K138">
        <f>INDEX(OutputValues,134,$J$4)</f>
        <v>1533</v>
      </c>
    </row>
    <row r="139" spans="1:11">
      <c r="A139" s="17">
        <v>167</v>
      </c>
      <c r="B139" s="38">
        <v>1534</v>
      </c>
      <c r="C139" s="40">
        <v>3</v>
      </c>
      <c r="D139" s="40">
        <v>2</v>
      </c>
      <c r="K139">
        <f>INDEX(OutputValues,135,$J$4)</f>
        <v>1534</v>
      </c>
    </row>
    <row r="140" spans="1:11">
      <c r="A140" s="17">
        <v>167.5</v>
      </c>
      <c r="B140" s="38">
        <v>1535</v>
      </c>
      <c r="C140" s="40">
        <v>3</v>
      </c>
      <c r="D140" s="40">
        <v>2</v>
      </c>
      <c r="K140">
        <f>INDEX(OutputValues,136,$J$4)</f>
        <v>1535</v>
      </c>
    </row>
    <row r="141" spans="1:11">
      <c r="A141" s="17">
        <v>168</v>
      </c>
      <c r="B141" s="38">
        <v>1536</v>
      </c>
      <c r="C141" s="40">
        <v>3</v>
      </c>
      <c r="D141" s="40">
        <v>2</v>
      </c>
      <c r="K141">
        <f>INDEX(OutputValues,137,$J$4)</f>
        <v>1536</v>
      </c>
    </row>
    <row r="142" spans="1:11">
      <c r="A142" s="17">
        <v>168.5</v>
      </c>
      <c r="B142" s="38">
        <v>1537</v>
      </c>
      <c r="C142" s="40">
        <v>3</v>
      </c>
      <c r="D142" s="40">
        <v>2</v>
      </c>
      <c r="K142">
        <f>INDEX(OutputValues,138,$J$4)</f>
        <v>1537</v>
      </c>
    </row>
    <row r="143" spans="1:11">
      <c r="A143" s="17">
        <v>169</v>
      </c>
      <c r="B143" s="38">
        <v>1538</v>
      </c>
      <c r="C143" s="40">
        <v>3</v>
      </c>
      <c r="D143" s="40">
        <v>2</v>
      </c>
      <c r="K143">
        <f>INDEX(OutputValues,139,$J$4)</f>
        <v>1538</v>
      </c>
    </row>
    <row r="144" spans="1:11">
      <c r="A144" s="17">
        <v>169.5</v>
      </c>
      <c r="B144" s="38">
        <v>1539</v>
      </c>
      <c r="C144" s="40">
        <v>3</v>
      </c>
      <c r="D144" s="40">
        <v>2</v>
      </c>
      <c r="K144">
        <f>INDEX(OutputValues,140,$J$4)</f>
        <v>1539</v>
      </c>
    </row>
    <row r="145" spans="1:11">
      <c r="A145" s="17">
        <v>170</v>
      </c>
      <c r="B145" s="38">
        <v>1540</v>
      </c>
      <c r="C145" s="40">
        <v>3</v>
      </c>
      <c r="D145" s="40">
        <v>2</v>
      </c>
      <c r="K145">
        <f>INDEX(OutputValues,141,$J$4)</f>
        <v>1540</v>
      </c>
    </row>
    <row r="146" spans="1:11">
      <c r="A146" s="17">
        <v>170.5</v>
      </c>
      <c r="B146" s="38">
        <v>1541</v>
      </c>
      <c r="C146" s="40">
        <v>3</v>
      </c>
      <c r="D146" s="40">
        <v>2</v>
      </c>
      <c r="K146">
        <f>INDEX(OutputValues,142,$J$4)</f>
        <v>1541</v>
      </c>
    </row>
    <row r="147" spans="1:11">
      <c r="A147" s="17">
        <v>171</v>
      </c>
      <c r="B147" s="38">
        <v>1542</v>
      </c>
      <c r="C147" s="40">
        <v>3</v>
      </c>
      <c r="D147" s="40">
        <v>2</v>
      </c>
      <c r="K147">
        <f>INDEX(OutputValues,143,$J$4)</f>
        <v>1542</v>
      </c>
    </row>
    <row r="148" spans="1:11">
      <c r="A148" s="17">
        <v>171.5</v>
      </c>
      <c r="B148" s="38">
        <v>1543</v>
      </c>
      <c r="C148" s="40">
        <v>3</v>
      </c>
      <c r="D148" s="40">
        <v>2</v>
      </c>
      <c r="K148">
        <f>INDEX(OutputValues,144,$J$4)</f>
        <v>1543</v>
      </c>
    </row>
    <row r="149" spans="1:11">
      <c r="A149" s="17">
        <v>172</v>
      </c>
      <c r="B149" s="38">
        <v>1544</v>
      </c>
      <c r="C149" s="40">
        <v>3</v>
      </c>
      <c r="D149" s="40">
        <v>2</v>
      </c>
      <c r="K149">
        <f>INDEX(OutputValues,145,$J$4)</f>
        <v>1544</v>
      </c>
    </row>
    <row r="150" spans="1:11">
      <c r="A150" s="17">
        <v>172.5</v>
      </c>
      <c r="B150" s="38">
        <v>1545</v>
      </c>
      <c r="C150" s="40">
        <v>3</v>
      </c>
      <c r="D150" s="40">
        <v>2</v>
      </c>
      <c r="K150">
        <f>INDEX(OutputValues,146,$J$4)</f>
        <v>1545</v>
      </c>
    </row>
    <row r="151" spans="1:11">
      <c r="A151" s="17">
        <v>173</v>
      </c>
      <c r="B151" s="38">
        <v>1546</v>
      </c>
      <c r="C151" s="40">
        <v>3</v>
      </c>
      <c r="D151" s="40">
        <v>2</v>
      </c>
      <c r="K151">
        <f>INDEX(OutputValues,147,$J$4)</f>
        <v>1546</v>
      </c>
    </row>
    <row r="152" spans="1:11">
      <c r="A152" s="17">
        <v>173.5</v>
      </c>
      <c r="B152" s="38">
        <v>1547</v>
      </c>
      <c r="C152" s="40">
        <v>3</v>
      </c>
      <c r="D152" s="40">
        <v>2</v>
      </c>
      <c r="K152">
        <f>INDEX(OutputValues,148,$J$4)</f>
        <v>1547</v>
      </c>
    </row>
    <row r="153" spans="1:11">
      <c r="A153" s="17">
        <v>174</v>
      </c>
      <c r="B153" s="38">
        <v>1548</v>
      </c>
      <c r="C153" s="40">
        <v>3</v>
      </c>
      <c r="D153" s="40">
        <v>2</v>
      </c>
      <c r="K153">
        <f>INDEX(OutputValues,149,$J$4)</f>
        <v>1548</v>
      </c>
    </row>
    <row r="154" spans="1:11">
      <c r="A154" s="17">
        <v>174.5</v>
      </c>
      <c r="B154" s="38">
        <v>1549</v>
      </c>
      <c r="C154" s="40">
        <v>3</v>
      </c>
      <c r="D154" s="40">
        <v>2</v>
      </c>
      <c r="K154">
        <f>INDEX(OutputValues,150,$J$4)</f>
        <v>1549</v>
      </c>
    </row>
    <row r="155" spans="1:11">
      <c r="A155" s="17">
        <v>175</v>
      </c>
      <c r="B155" s="38">
        <v>1550</v>
      </c>
      <c r="C155" s="40">
        <v>3</v>
      </c>
      <c r="D155" s="40">
        <v>2</v>
      </c>
      <c r="K155">
        <f>INDEX(OutputValues,151,$J$4)</f>
        <v>1550</v>
      </c>
    </row>
    <row r="156" spans="1:11">
      <c r="A156" s="17">
        <v>175.5</v>
      </c>
      <c r="B156" s="38">
        <v>1551</v>
      </c>
      <c r="C156" s="40">
        <v>3</v>
      </c>
      <c r="D156" s="40">
        <v>2</v>
      </c>
      <c r="K156">
        <f>INDEX(OutputValues,152,$J$4)</f>
        <v>1551</v>
      </c>
    </row>
    <row r="157" spans="1:11">
      <c r="A157" s="17">
        <v>176</v>
      </c>
      <c r="B157" s="38">
        <v>1552</v>
      </c>
      <c r="C157" s="40">
        <v>3</v>
      </c>
      <c r="D157" s="40">
        <v>2</v>
      </c>
      <c r="K157">
        <f>INDEX(OutputValues,153,$J$4)</f>
        <v>1552</v>
      </c>
    </row>
    <row r="158" spans="1:11">
      <c r="A158" s="17">
        <v>176.5</v>
      </c>
      <c r="B158" s="38">
        <v>1553</v>
      </c>
      <c r="C158" s="40">
        <v>3</v>
      </c>
      <c r="D158" s="40">
        <v>2</v>
      </c>
      <c r="K158">
        <f>INDEX(OutputValues,154,$J$4)</f>
        <v>1553</v>
      </c>
    </row>
    <row r="159" spans="1:11">
      <c r="A159" s="17">
        <v>177</v>
      </c>
      <c r="B159" s="38">
        <v>1554</v>
      </c>
      <c r="C159" s="40">
        <v>3</v>
      </c>
      <c r="D159" s="40">
        <v>2</v>
      </c>
      <c r="K159">
        <f>INDEX(OutputValues,155,$J$4)</f>
        <v>1554</v>
      </c>
    </row>
    <row r="160" spans="1:11">
      <c r="A160" s="17">
        <v>177.5</v>
      </c>
      <c r="B160" s="38">
        <v>1555</v>
      </c>
      <c r="C160" s="40">
        <v>3</v>
      </c>
      <c r="D160" s="40">
        <v>2</v>
      </c>
      <c r="K160">
        <f>INDEX(OutputValues,156,$J$4)</f>
        <v>1555</v>
      </c>
    </row>
    <row r="161" spans="1:11">
      <c r="A161" s="17">
        <v>178</v>
      </c>
      <c r="B161" s="38">
        <v>1556</v>
      </c>
      <c r="C161" s="40">
        <v>3</v>
      </c>
      <c r="D161" s="40">
        <v>2</v>
      </c>
      <c r="K161">
        <f>INDEX(OutputValues,157,$J$4)</f>
        <v>1556</v>
      </c>
    </row>
    <row r="162" spans="1:11">
      <c r="A162" s="17">
        <v>178.5</v>
      </c>
      <c r="B162" s="38">
        <v>1557</v>
      </c>
      <c r="C162" s="40">
        <v>3</v>
      </c>
      <c r="D162" s="40">
        <v>2</v>
      </c>
      <c r="K162">
        <f>INDEX(OutputValues,158,$J$4)</f>
        <v>1557</v>
      </c>
    </row>
    <row r="163" spans="1:11">
      <c r="A163" s="17">
        <v>179</v>
      </c>
      <c r="B163" s="38">
        <v>1558</v>
      </c>
      <c r="C163" s="40">
        <v>3</v>
      </c>
      <c r="D163" s="40">
        <v>2</v>
      </c>
      <c r="K163">
        <f>INDEX(OutputValues,159,$J$4)</f>
        <v>1558</v>
      </c>
    </row>
    <row r="164" spans="1:11">
      <c r="A164" s="17">
        <v>179.5</v>
      </c>
      <c r="B164" s="38">
        <v>1559</v>
      </c>
      <c r="C164" s="40">
        <v>3</v>
      </c>
      <c r="D164" s="40">
        <v>2</v>
      </c>
      <c r="K164">
        <f>INDEX(OutputValues,160,$J$4)</f>
        <v>1559</v>
      </c>
    </row>
    <row r="165" spans="1:11">
      <c r="A165" s="17">
        <v>180</v>
      </c>
      <c r="B165" s="38">
        <v>1560</v>
      </c>
      <c r="C165" s="40">
        <v>3</v>
      </c>
      <c r="D165" s="40">
        <v>2</v>
      </c>
      <c r="K165">
        <f>INDEX(OutputValues,161,$J$4)</f>
        <v>1560</v>
      </c>
    </row>
    <row r="166" spans="1:11">
      <c r="A166" s="17">
        <v>180.5</v>
      </c>
      <c r="B166" s="38">
        <v>1561</v>
      </c>
      <c r="C166" s="40">
        <v>3</v>
      </c>
      <c r="D166" s="40">
        <v>2</v>
      </c>
      <c r="K166">
        <f>INDEX(OutputValues,162,$J$4)</f>
        <v>1561</v>
      </c>
    </row>
    <row r="167" spans="1:11">
      <c r="A167" s="17">
        <v>181</v>
      </c>
      <c r="B167" s="38">
        <v>1562</v>
      </c>
      <c r="C167" s="40">
        <v>3</v>
      </c>
      <c r="D167" s="40">
        <v>2</v>
      </c>
      <c r="K167">
        <f>INDEX(OutputValues,163,$J$4)</f>
        <v>1562</v>
      </c>
    </row>
    <row r="168" spans="1:11">
      <c r="A168" s="17">
        <v>181.5</v>
      </c>
      <c r="B168" s="38">
        <v>1563</v>
      </c>
      <c r="C168" s="40">
        <v>3</v>
      </c>
      <c r="D168" s="40">
        <v>2</v>
      </c>
      <c r="K168">
        <f>INDEX(OutputValues,164,$J$4)</f>
        <v>1563</v>
      </c>
    </row>
    <row r="169" spans="1:11">
      <c r="A169" s="17">
        <v>182</v>
      </c>
      <c r="B169" s="38">
        <v>1564</v>
      </c>
      <c r="C169" s="40">
        <v>3</v>
      </c>
      <c r="D169" s="40">
        <v>2</v>
      </c>
      <c r="K169">
        <f>INDEX(OutputValues,165,$J$4)</f>
        <v>1564</v>
      </c>
    </row>
    <row r="170" spans="1:11">
      <c r="A170" s="17">
        <v>182.5</v>
      </c>
      <c r="B170" s="38">
        <v>1565</v>
      </c>
      <c r="C170" s="40">
        <v>3</v>
      </c>
      <c r="D170" s="40">
        <v>2</v>
      </c>
      <c r="K170">
        <f>INDEX(OutputValues,166,$J$4)</f>
        <v>1565</v>
      </c>
    </row>
    <row r="171" spans="1:11">
      <c r="A171" s="17">
        <v>183</v>
      </c>
      <c r="B171" s="38">
        <v>1566</v>
      </c>
      <c r="C171" s="40">
        <v>3</v>
      </c>
      <c r="D171" s="40">
        <v>2</v>
      </c>
      <c r="K171">
        <f>INDEX(OutputValues,167,$J$4)</f>
        <v>1566</v>
      </c>
    </row>
    <row r="172" spans="1:11">
      <c r="A172" s="17">
        <v>183.5</v>
      </c>
      <c r="B172" s="38">
        <v>1567</v>
      </c>
      <c r="C172" s="40">
        <v>3</v>
      </c>
      <c r="D172" s="40">
        <v>2</v>
      </c>
      <c r="K172">
        <f>INDEX(OutputValues,168,$J$4)</f>
        <v>1567</v>
      </c>
    </row>
    <row r="173" spans="1:11">
      <c r="A173" s="17">
        <v>184</v>
      </c>
      <c r="B173" s="38">
        <v>1568</v>
      </c>
      <c r="C173" s="40">
        <v>3</v>
      </c>
      <c r="D173" s="40">
        <v>2</v>
      </c>
      <c r="K173">
        <f>INDEX(OutputValues,169,$J$4)</f>
        <v>1568</v>
      </c>
    </row>
    <row r="174" spans="1:11">
      <c r="A174" s="17">
        <v>184.5</v>
      </c>
      <c r="B174" s="38">
        <v>1569</v>
      </c>
      <c r="C174" s="40">
        <v>3</v>
      </c>
      <c r="D174" s="40">
        <v>2</v>
      </c>
      <c r="K174">
        <f>INDEX(OutputValues,170,$J$4)</f>
        <v>1569</v>
      </c>
    </row>
    <row r="175" spans="1:11">
      <c r="A175" s="17">
        <v>185</v>
      </c>
      <c r="B175" s="38">
        <v>1570</v>
      </c>
      <c r="C175" s="40">
        <v>3</v>
      </c>
      <c r="D175" s="40">
        <v>2</v>
      </c>
      <c r="K175">
        <f>INDEX(OutputValues,171,$J$4)</f>
        <v>1570</v>
      </c>
    </row>
    <row r="176" spans="1:11">
      <c r="A176" s="17">
        <v>185.5</v>
      </c>
      <c r="B176" s="38">
        <v>1571</v>
      </c>
      <c r="C176" s="40">
        <v>3</v>
      </c>
      <c r="D176" s="40">
        <v>2</v>
      </c>
      <c r="K176">
        <f>INDEX(OutputValues,172,$J$4)</f>
        <v>1571</v>
      </c>
    </row>
    <row r="177" spans="1:11">
      <c r="A177" s="17">
        <v>186</v>
      </c>
      <c r="B177" s="38">
        <v>1572</v>
      </c>
      <c r="C177" s="40">
        <v>3</v>
      </c>
      <c r="D177" s="40">
        <v>2</v>
      </c>
      <c r="K177">
        <f>INDEX(OutputValues,173,$J$4)</f>
        <v>1572</v>
      </c>
    </row>
    <row r="178" spans="1:11">
      <c r="A178" s="17">
        <v>186.5</v>
      </c>
      <c r="B178" s="38">
        <v>1573</v>
      </c>
      <c r="C178" s="40">
        <v>3</v>
      </c>
      <c r="D178" s="40">
        <v>2</v>
      </c>
      <c r="K178">
        <f>INDEX(OutputValues,174,$J$4)</f>
        <v>1573</v>
      </c>
    </row>
    <row r="179" spans="1:11">
      <c r="A179" s="17">
        <v>187</v>
      </c>
      <c r="B179" s="38">
        <v>1574</v>
      </c>
      <c r="C179" s="40">
        <v>3</v>
      </c>
      <c r="D179" s="40">
        <v>2</v>
      </c>
      <c r="K179">
        <f>INDEX(OutputValues,175,$J$4)</f>
        <v>1574</v>
      </c>
    </row>
    <row r="180" spans="1:11">
      <c r="A180" s="17">
        <v>187.5</v>
      </c>
      <c r="B180" s="38">
        <v>1575</v>
      </c>
      <c r="C180" s="40">
        <v>3</v>
      </c>
      <c r="D180" s="40">
        <v>2</v>
      </c>
      <c r="K180">
        <f>INDEX(OutputValues,176,$J$4)</f>
        <v>1575</v>
      </c>
    </row>
    <row r="181" spans="1:11">
      <c r="A181" s="17">
        <v>188</v>
      </c>
      <c r="B181" s="38">
        <v>1576</v>
      </c>
      <c r="C181" s="40">
        <v>3</v>
      </c>
      <c r="D181" s="40">
        <v>2</v>
      </c>
      <c r="K181">
        <f>INDEX(OutputValues,177,$J$4)</f>
        <v>1576</v>
      </c>
    </row>
    <row r="182" spans="1:11">
      <c r="A182" s="17">
        <v>188.5</v>
      </c>
      <c r="B182" s="38">
        <v>1577</v>
      </c>
      <c r="C182" s="40">
        <v>3</v>
      </c>
      <c r="D182" s="40">
        <v>2</v>
      </c>
      <c r="K182">
        <f>INDEX(OutputValues,178,$J$4)</f>
        <v>1577</v>
      </c>
    </row>
    <row r="183" spans="1:11">
      <c r="A183" s="17">
        <v>189</v>
      </c>
      <c r="B183" s="38">
        <v>1578</v>
      </c>
      <c r="C183" s="40">
        <v>3</v>
      </c>
      <c r="D183" s="40">
        <v>2</v>
      </c>
      <c r="K183">
        <f>INDEX(OutputValues,179,$J$4)</f>
        <v>1578</v>
      </c>
    </row>
    <row r="184" spans="1:11">
      <c r="A184" s="17">
        <v>189.5</v>
      </c>
      <c r="B184" s="38">
        <v>1579</v>
      </c>
      <c r="C184" s="40">
        <v>3</v>
      </c>
      <c r="D184" s="40">
        <v>2</v>
      </c>
      <c r="K184">
        <f>INDEX(OutputValues,180,$J$4)</f>
        <v>1579</v>
      </c>
    </row>
    <row r="185" spans="1:11">
      <c r="A185" s="17">
        <v>190</v>
      </c>
      <c r="B185" s="38">
        <v>1580</v>
      </c>
      <c r="C185" s="40">
        <v>3</v>
      </c>
      <c r="D185" s="40">
        <v>2</v>
      </c>
      <c r="K185">
        <f>INDEX(OutputValues,181,$J$4)</f>
        <v>1580</v>
      </c>
    </row>
    <row r="186" spans="1:11">
      <c r="A186" s="17">
        <v>190.5</v>
      </c>
      <c r="B186" s="38">
        <v>1581</v>
      </c>
      <c r="C186" s="40">
        <v>3</v>
      </c>
      <c r="D186" s="40">
        <v>2</v>
      </c>
      <c r="K186">
        <f>INDEX(OutputValues,182,$J$4)</f>
        <v>1581</v>
      </c>
    </row>
    <row r="187" spans="1:11">
      <c r="A187" s="17">
        <v>191</v>
      </c>
      <c r="B187" s="38">
        <v>1582</v>
      </c>
      <c r="C187" s="40">
        <v>3</v>
      </c>
      <c r="D187" s="40">
        <v>2</v>
      </c>
      <c r="K187">
        <f>INDEX(OutputValues,183,$J$4)</f>
        <v>1582</v>
      </c>
    </row>
    <row r="188" spans="1:11">
      <c r="A188" s="17">
        <v>191.5</v>
      </c>
      <c r="B188" s="38">
        <v>1583</v>
      </c>
      <c r="C188" s="40">
        <v>3</v>
      </c>
      <c r="D188" s="40">
        <v>2</v>
      </c>
      <c r="K188">
        <f>INDEX(OutputValues,184,$J$4)</f>
        <v>1583</v>
      </c>
    </row>
    <row r="189" spans="1:11">
      <c r="A189" s="17">
        <v>192</v>
      </c>
      <c r="B189" s="38">
        <v>1584</v>
      </c>
      <c r="C189" s="40">
        <v>3</v>
      </c>
      <c r="D189" s="40">
        <v>2</v>
      </c>
      <c r="K189">
        <f>INDEX(OutputValues,185,$J$4)</f>
        <v>1584</v>
      </c>
    </row>
    <row r="190" spans="1:11">
      <c r="A190" s="17">
        <v>192.5</v>
      </c>
      <c r="B190" s="38">
        <v>1585</v>
      </c>
      <c r="C190" s="40">
        <v>3</v>
      </c>
      <c r="D190" s="40">
        <v>2</v>
      </c>
      <c r="K190">
        <f>INDEX(OutputValues,186,$J$4)</f>
        <v>1585</v>
      </c>
    </row>
    <row r="191" spans="1:11">
      <c r="A191" s="17">
        <v>193</v>
      </c>
      <c r="B191" s="38">
        <v>1586</v>
      </c>
      <c r="C191" s="40">
        <v>3</v>
      </c>
      <c r="D191" s="40">
        <v>2</v>
      </c>
      <c r="K191">
        <f>INDEX(OutputValues,187,$J$4)</f>
        <v>1586</v>
      </c>
    </row>
    <row r="192" spans="1:11">
      <c r="A192" s="17">
        <v>193.5</v>
      </c>
      <c r="B192" s="38">
        <v>1587</v>
      </c>
      <c r="C192" s="40">
        <v>3</v>
      </c>
      <c r="D192" s="40">
        <v>2</v>
      </c>
      <c r="K192">
        <f>INDEX(OutputValues,188,$J$4)</f>
        <v>1587</v>
      </c>
    </row>
    <row r="193" spans="1:11">
      <c r="A193" s="17">
        <v>194</v>
      </c>
      <c r="B193" s="38">
        <v>1588</v>
      </c>
      <c r="C193" s="40">
        <v>3</v>
      </c>
      <c r="D193" s="40">
        <v>2</v>
      </c>
      <c r="K193">
        <f>INDEX(OutputValues,189,$J$4)</f>
        <v>1588</v>
      </c>
    </row>
    <row r="194" spans="1:11">
      <c r="A194" s="17">
        <v>194.5</v>
      </c>
      <c r="B194" s="38">
        <v>1589</v>
      </c>
      <c r="C194" s="40">
        <v>3</v>
      </c>
      <c r="D194" s="40">
        <v>2</v>
      </c>
      <c r="K194">
        <f>INDEX(OutputValues,190,$J$4)</f>
        <v>1589</v>
      </c>
    </row>
    <row r="195" spans="1:11">
      <c r="A195" s="17">
        <v>195</v>
      </c>
      <c r="B195" s="38">
        <v>1590</v>
      </c>
      <c r="C195" s="40">
        <v>3</v>
      </c>
      <c r="D195" s="40">
        <v>2</v>
      </c>
      <c r="K195">
        <f>INDEX(OutputValues,191,$J$4)</f>
        <v>1590</v>
      </c>
    </row>
    <row r="196" spans="1:11">
      <c r="A196" s="17">
        <v>195.5</v>
      </c>
      <c r="B196" s="38">
        <v>1591</v>
      </c>
      <c r="C196" s="40">
        <v>3</v>
      </c>
      <c r="D196" s="40">
        <v>2</v>
      </c>
      <c r="K196">
        <f>INDEX(OutputValues,192,$J$4)</f>
        <v>1591</v>
      </c>
    </row>
    <row r="197" spans="1:11">
      <c r="A197" s="17">
        <v>196</v>
      </c>
      <c r="B197" s="38">
        <v>1592</v>
      </c>
      <c r="C197" s="40">
        <v>3</v>
      </c>
      <c r="D197" s="40">
        <v>2</v>
      </c>
      <c r="K197">
        <f>INDEX(OutputValues,193,$J$4)</f>
        <v>1592</v>
      </c>
    </row>
    <row r="198" spans="1:11">
      <c r="A198" s="17">
        <v>196.5</v>
      </c>
      <c r="B198" s="38">
        <v>1593</v>
      </c>
      <c r="C198" s="40">
        <v>3</v>
      </c>
      <c r="D198" s="40">
        <v>2</v>
      </c>
      <c r="K198">
        <f>INDEX(OutputValues,194,$J$4)</f>
        <v>1593</v>
      </c>
    </row>
    <row r="199" spans="1:11">
      <c r="A199" s="17">
        <v>197</v>
      </c>
      <c r="B199" s="38">
        <v>1594</v>
      </c>
      <c r="C199" s="40">
        <v>3</v>
      </c>
      <c r="D199" s="40">
        <v>2</v>
      </c>
      <c r="K199">
        <f>INDEX(OutputValues,195,$J$4)</f>
        <v>1594</v>
      </c>
    </row>
    <row r="200" spans="1:11">
      <c r="A200" s="17">
        <v>197.5</v>
      </c>
      <c r="B200" s="38">
        <v>1595</v>
      </c>
      <c r="C200" s="40">
        <v>3</v>
      </c>
      <c r="D200" s="40">
        <v>2</v>
      </c>
      <c r="K200">
        <f>INDEX(OutputValues,196,$J$4)</f>
        <v>1595</v>
      </c>
    </row>
    <row r="201" spans="1:11">
      <c r="A201" s="17">
        <v>198</v>
      </c>
      <c r="B201" s="38">
        <v>1596</v>
      </c>
      <c r="C201" s="40">
        <v>3</v>
      </c>
      <c r="D201" s="40">
        <v>2</v>
      </c>
      <c r="K201">
        <f>INDEX(OutputValues,197,$J$4)</f>
        <v>1596</v>
      </c>
    </row>
    <row r="202" spans="1:11">
      <c r="A202" s="17">
        <v>198.5</v>
      </c>
      <c r="B202" s="38">
        <v>1597</v>
      </c>
      <c r="C202" s="40">
        <v>3</v>
      </c>
      <c r="D202" s="40">
        <v>2</v>
      </c>
      <c r="K202">
        <f>INDEX(OutputValues,198,$J$4)</f>
        <v>1597</v>
      </c>
    </row>
    <row r="203" spans="1:11">
      <c r="A203" s="17">
        <v>199</v>
      </c>
      <c r="B203" s="38">
        <v>1598</v>
      </c>
      <c r="C203" s="40">
        <v>3</v>
      </c>
      <c r="D203" s="40">
        <v>2</v>
      </c>
      <c r="K203">
        <f>INDEX(OutputValues,199,$J$4)</f>
        <v>1598</v>
      </c>
    </row>
    <row r="204" spans="1:11">
      <c r="A204" s="17">
        <v>199.5</v>
      </c>
      <c r="B204" s="38">
        <v>1599</v>
      </c>
      <c r="C204" s="40">
        <v>3</v>
      </c>
      <c r="D204" s="40">
        <v>2</v>
      </c>
      <c r="K204">
        <f>INDEX(OutputValues,200,$J$4)</f>
        <v>1599</v>
      </c>
    </row>
    <row r="205" spans="1:11">
      <c r="A205" s="17">
        <v>200</v>
      </c>
      <c r="B205" s="38">
        <v>1600</v>
      </c>
      <c r="C205" s="40">
        <v>3</v>
      </c>
      <c r="D205" s="40">
        <v>2</v>
      </c>
      <c r="K205">
        <f>INDEX(OutputValues,201,$J$4)</f>
        <v>1600</v>
      </c>
    </row>
    <row r="206" spans="1:11">
      <c r="A206" s="17">
        <v>200.5</v>
      </c>
      <c r="B206" s="38">
        <v>1601</v>
      </c>
      <c r="C206" s="40">
        <v>3</v>
      </c>
      <c r="D206" s="40">
        <v>2</v>
      </c>
      <c r="K206">
        <f>INDEX(OutputValues,202,$J$4)</f>
        <v>1601</v>
      </c>
    </row>
    <row r="207" spans="1:11">
      <c r="A207" s="17">
        <v>201</v>
      </c>
      <c r="B207" s="38">
        <v>1602</v>
      </c>
      <c r="C207" s="40">
        <v>3</v>
      </c>
      <c r="D207" s="40">
        <v>2</v>
      </c>
      <c r="K207">
        <f>INDEX(OutputValues,203,$J$4)</f>
        <v>1602</v>
      </c>
    </row>
    <row r="208" spans="1:11">
      <c r="A208" s="17">
        <v>201.5</v>
      </c>
      <c r="B208" s="38">
        <v>1603</v>
      </c>
      <c r="C208" s="40">
        <v>3</v>
      </c>
      <c r="D208" s="40">
        <v>2</v>
      </c>
      <c r="K208">
        <f>INDEX(OutputValues,204,$J$4)</f>
        <v>1603</v>
      </c>
    </row>
    <row r="209" spans="1:11">
      <c r="A209" s="17">
        <v>202</v>
      </c>
      <c r="B209" s="38">
        <v>1604</v>
      </c>
      <c r="C209" s="40">
        <v>3</v>
      </c>
      <c r="D209" s="40">
        <v>2</v>
      </c>
      <c r="K209">
        <f>INDEX(OutputValues,205,$J$4)</f>
        <v>1604</v>
      </c>
    </row>
    <row r="210" spans="1:11">
      <c r="A210" s="17">
        <v>202.5</v>
      </c>
      <c r="B210" s="38">
        <v>1605</v>
      </c>
      <c r="C210" s="40">
        <v>3</v>
      </c>
      <c r="D210" s="40">
        <v>2</v>
      </c>
      <c r="K210">
        <f>INDEX(OutputValues,206,$J$4)</f>
        <v>1605</v>
      </c>
    </row>
    <row r="211" spans="1:11">
      <c r="A211" s="17">
        <v>203</v>
      </c>
      <c r="B211" s="38">
        <v>1606</v>
      </c>
      <c r="C211" s="40">
        <v>3</v>
      </c>
      <c r="D211" s="40">
        <v>2</v>
      </c>
      <c r="K211">
        <f>INDEX(OutputValues,207,$J$4)</f>
        <v>1606</v>
      </c>
    </row>
    <row r="212" spans="1:11">
      <c r="A212" s="17">
        <v>203.5</v>
      </c>
      <c r="B212" s="38">
        <v>1607</v>
      </c>
      <c r="C212" s="40">
        <v>3</v>
      </c>
      <c r="D212" s="40">
        <v>2</v>
      </c>
      <c r="K212">
        <f>INDEX(OutputValues,208,$J$4)</f>
        <v>1607</v>
      </c>
    </row>
    <row r="213" spans="1:11">
      <c r="A213" s="17">
        <v>204</v>
      </c>
      <c r="B213" s="38">
        <v>1608</v>
      </c>
      <c r="C213" s="40">
        <v>3</v>
      </c>
      <c r="D213" s="40">
        <v>2</v>
      </c>
      <c r="K213">
        <f>INDEX(OutputValues,209,$J$4)</f>
        <v>1608</v>
      </c>
    </row>
    <row r="214" spans="1:11">
      <c r="A214" s="17">
        <v>204.5</v>
      </c>
      <c r="B214" s="38">
        <v>1609</v>
      </c>
      <c r="C214" s="40">
        <v>3</v>
      </c>
      <c r="D214" s="40">
        <v>2</v>
      </c>
      <c r="K214">
        <f>INDEX(OutputValues,210,$J$4)</f>
        <v>1609</v>
      </c>
    </row>
    <row r="215" spans="1:11">
      <c r="A215" s="17">
        <v>205</v>
      </c>
      <c r="B215" s="38">
        <v>1610</v>
      </c>
      <c r="C215" s="40">
        <v>3</v>
      </c>
      <c r="D215" s="40">
        <v>2</v>
      </c>
      <c r="K215">
        <f>INDEX(OutputValues,211,$J$4)</f>
        <v>1610</v>
      </c>
    </row>
    <row r="216" spans="1:11">
      <c r="A216" s="17">
        <v>205.5</v>
      </c>
      <c r="B216" s="38">
        <v>1611</v>
      </c>
      <c r="C216" s="40">
        <v>3</v>
      </c>
      <c r="D216" s="40">
        <v>2</v>
      </c>
      <c r="K216">
        <f>INDEX(OutputValues,212,$J$4)</f>
        <v>1611</v>
      </c>
    </row>
    <row r="217" spans="1:11">
      <c r="A217" s="17">
        <v>206</v>
      </c>
      <c r="B217" s="38">
        <v>1612</v>
      </c>
      <c r="C217" s="40">
        <v>3</v>
      </c>
      <c r="D217" s="40">
        <v>2</v>
      </c>
      <c r="K217">
        <f>INDEX(OutputValues,213,$J$4)</f>
        <v>1612</v>
      </c>
    </row>
    <row r="218" spans="1:11">
      <c r="A218" s="17">
        <v>206.5</v>
      </c>
      <c r="B218" s="38">
        <v>1613</v>
      </c>
      <c r="C218" s="40">
        <v>3</v>
      </c>
      <c r="D218" s="40">
        <v>2</v>
      </c>
      <c r="K218">
        <f>INDEX(OutputValues,214,$J$4)</f>
        <v>1613</v>
      </c>
    </row>
    <row r="219" spans="1:11">
      <c r="A219" s="17">
        <v>207</v>
      </c>
      <c r="B219" s="38">
        <v>1614</v>
      </c>
      <c r="C219" s="40">
        <v>3</v>
      </c>
      <c r="D219" s="40">
        <v>2</v>
      </c>
      <c r="K219">
        <f>INDEX(OutputValues,215,$J$4)</f>
        <v>1614</v>
      </c>
    </row>
    <row r="220" spans="1:11">
      <c r="A220" s="17">
        <v>207.5</v>
      </c>
      <c r="B220" s="38">
        <v>1615</v>
      </c>
      <c r="C220" s="40">
        <v>3</v>
      </c>
      <c r="D220" s="40">
        <v>2</v>
      </c>
      <c r="K220">
        <f>INDEX(OutputValues,216,$J$4)</f>
        <v>1615</v>
      </c>
    </row>
    <row r="221" spans="1:11">
      <c r="A221" s="17">
        <v>208</v>
      </c>
      <c r="B221" s="38">
        <v>1616</v>
      </c>
      <c r="C221" s="40">
        <v>3</v>
      </c>
      <c r="D221" s="40">
        <v>2</v>
      </c>
      <c r="K221">
        <f>INDEX(OutputValues,217,$J$4)</f>
        <v>1616</v>
      </c>
    </row>
    <row r="222" spans="1:11">
      <c r="A222" s="17">
        <v>208.5</v>
      </c>
      <c r="B222" s="38">
        <v>1617</v>
      </c>
      <c r="C222" s="40">
        <v>3</v>
      </c>
      <c r="D222" s="40">
        <v>2</v>
      </c>
      <c r="K222">
        <f>INDEX(OutputValues,218,$J$4)</f>
        <v>1617</v>
      </c>
    </row>
    <row r="223" spans="1:11">
      <c r="A223" s="17">
        <v>209</v>
      </c>
      <c r="B223" s="38">
        <v>1618</v>
      </c>
      <c r="C223" s="40">
        <v>3</v>
      </c>
      <c r="D223" s="40">
        <v>2</v>
      </c>
      <c r="K223">
        <f>INDEX(OutputValues,219,$J$4)</f>
        <v>1618</v>
      </c>
    </row>
    <row r="224" spans="1:11">
      <c r="A224" s="17">
        <v>209.5</v>
      </c>
      <c r="B224" s="38">
        <v>1619</v>
      </c>
      <c r="C224" s="40">
        <v>3</v>
      </c>
      <c r="D224" s="40">
        <v>2</v>
      </c>
      <c r="K224">
        <f>INDEX(OutputValues,220,$J$4)</f>
        <v>1619</v>
      </c>
    </row>
    <row r="225" spans="1:11">
      <c r="A225" s="17">
        <v>210</v>
      </c>
      <c r="B225" s="38">
        <v>1620</v>
      </c>
      <c r="C225" s="40">
        <v>3</v>
      </c>
      <c r="D225" s="40">
        <v>2</v>
      </c>
      <c r="K225">
        <f>INDEX(OutputValues,221,$J$4)</f>
        <v>1620</v>
      </c>
    </row>
    <row r="226" spans="1:11">
      <c r="A226" s="17">
        <v>210.5</v>
      </c>
      <c r="B226" s="38">
        <v>1621</v>
      </c>
      <c r="C226" s="40">
        <v>3</v>
      </c>
      <c r="D226" s="40">
        <v>2</v>
      </c>
      <c r="K226">
        <f>INDEX(OutputValues,222,$J$4)</f>
        <v>1621</v>
      </c>
    </row>
    <row r="227" spans="1:11">
      <c r="A227" s="17">
        <v>211</v>
      </c>
      <c r="B227" s="38">
        <v>1622</v>
      </c>
      <c r="C227" s="40">
        <v>3</v>
      </c>
      <c r="D227" s="40">
        <v>2</v>
      </c>
      <c r="K227">
        <f>INDEX(OutputValues,223,$J$4)</f>
        <v>1622</v>
      </c>
    </row>
    <row r="228" spans="1:11">
      <c r="A228" s="17">
        <v>211.5</v>
      </c>
      <c r="B228" s="38">
        <v>1623</v>
      </c>
      <c r="C228" s="40">
        <v>3</v>
      </c>
      <c r="D228" s="40">
        <v>2</v>
      </c>
      <c r="K228">
        <f>INDEX(OutputValues,224,$J$4)</f>
        <v>1623</v>
      </c>
    </row>
    <row r="229" spans="1:11">
      <c r="A229" s="17">
        <v>212</v>
      </c>
      <c r="B229" s="38">
        <v>1624</v>
      </c>
      <c r="C229" s="40">
        <v>3</v>
      </c>
      <c r="D229" s="40">
        <v>2</v>
      </c>
      <c r="K229">
        <f>INDEX(OutputValues,225,$J$4)</f>
        <v>1624</v>
      </c>
    </row>
    <row r="230" spans="1:11">
      <c r="A230" s="17">
        <v>212.5</v>
      </c>
      <c r="B230" s="38">
        <v>1625</v>
      </c>
      <c r="C230" s="40">
        <v>3</v>
      </c>
      <c r="D230" s="40">
        <v>2</v>
      </c>
      <c r="K230">
        <f>INDEX(OutputValues,226,$J$4)</f>
        <v>1625</v>
      </c>
    </row>
    <row r="231" spans="1:11">
      <c r="A231" s="17">
        <v>213</v>
      </c>
      <c r="B231" s="38">
        <v>1626</v>
      </c>
      <c r="C231" s="40">
        <v>3</v>
      </c>
      <c r="D231" s="40">
        <v>2</v>
      </c>
      <c r="K231">
        <f>INDEX(OutputValues,227,$J$4)</f>
        <v>1626</v>
      </c>
    </row>
    <row r="232" spans="1:11">
      <c r="A232" s="17">
        <v>213.5</v>
      </c>
      <c r="B232" s="38">
        <v>1627</v>
      </c>
      <c r="C232" s="40">
        <v>3</v>
      </c>
      <c r="D232" s="40">
        <v>2</v>
      </c>
      <c r="K232">
        <f>INDEX(OutputValues,228,$J$4)</f>
        <v>1627</v>
      </c>
    </row>
    <row r="233" spans="1:11">
      <c r="A233" s="17">
        <v>214</v>
      </c>
      <c r="B233" s="38">
        <v>1628</v>
      </c>
      <c r="C233" s="40">
        <v>3</v>
      </c>
      <c r="D233" s="40">
        <v>2</v>
      </c>
      <c r="K233">
        <f>INDEX(OutputValues,229,$J$4)</f>
        <v>1628</v>
      </c>
    </row>
    <row r="234" spans="1:11">
      <c r="A234" s="17">
        <v>214.5</v>
      </c>
      <c r="B234" s="38">
        <v>1629</v>
      </c>
      <c r="C234" s="40">
        <v>3</v>
      </c>
      <c r="D234" s="40">
        <v>2</v>
      </c>
      <c r="K234">
        <f>INDEX(OutputValues,230,$J$4)</f>
        <v>1629</v>
      </c>
    </row>
    <row r="235" spans="1:11">
      <c r="A235" s="17">
        <v>215</v>
      </c>
      <c r="B235" s="38">
        <v>1630</v>
      </c>
      <c r="C235" s="40">
        <v>3</v>
      </c>
      <c r="D235" s="40">
        <v>2</v>
      </c>
      <c r="K235">
        <f>INDEX(OutputValues,231,$J$4)</f>
        <v>1630</v>
      </c>
    </row>
    <row r="236" spans="1:11">
      <c r="A236" s="17">
        <v>215.5</v>
      </c>
      <c r="B236" s="38">
        <v>1631</v>
      </c>
      <c r="C236" s="40">
        <v>3</v>
      </c>
      <c r="D236" s="40">
        <v>2</v>
      </c>
      <c r="K236">
        <f>INDEX(OutputValues,232,$J$4)</f>
        <v>1631</v>
      </c>
    </row>
    <row r="237" spans="1:11">
      <c r="A237" s="17">
        <v>216</v>
      </c>
      <c r="B237" s="38">
        <v>1632</v>
      </c>
      <c r="C237" s="40">
        <v>3</v>
      </c>
      <c r="D237" s="40">
        <v>2</v>
      </c>
      <c r="K237">
        <f>INDEX(OutputValues,233,$J$4)</f>
        <v>1632</v>
      </c>
    </row>
    <row r="238" spans="1:11">
      <c r="A238" s="17">
        <v>216.5</v>
      </c>
      <c r="B238" s="38">
        <v>1633</v>
      </c>
      <c r="C238" s="40">
        <v>3</v>
      </c>
      <c r="D238" s="40">
        <v>2</v>
      </c>
      <c r="K238">
        <f>INDEX(OutputValues,234,$J$4)</f>
        <v>1633</v>
      </c>
    </row>
    <row r="239" spans="1:11">
      <c r="A239" s="17">
        <v>217</v>
      </c>
      <c r="B239" s="38">
        <v>1634</v>
      </c>
      <c r="C239" s="40">
        <v>3</v>
      </c>
      <c r="D239" s="40">
        <v>2</v>
      </c>
      <c r="K239">
        <f>INDEX(OutputValues,235,$J$4)</f>
        <v>1634</v>
      </c>
    </row>
    <row r="240" spans="1:11">
      <c r="A240" s="17">
        <v>217.5</v>
      </c>
      <c r="B240" s="38">
        <v>1635</v>
      </c>
      <c r="C240" s="40">
        <v>3</v>
      </c>
      <c r="D240" s="40">
        <v>2</v>
      </c>
      <c r="K240">
        <f>INDEX(OutputValues,236,$J$4)</f>
        <v>1635</v>
      </c>
    </row>
    <row r="241" spans="1:11">
      <c r="A241" s="17">
        <v>218</v>
      </c>
      <c r="B241" s="38">
        <v>1636</v>
      </c>
      <c r="C241" s="40">
        <v>3</v>
      </c>
      <c r="D241" s="40">
        <v>2</v>
      </c>
      <c r="K241">
        <f>INDEX(OutputValues,237,$J$4)</f>
        <v>1636</v>
      </c>
    </row>
    <row r="242" spans="1:11">
      <c r="A242" s="17">
        <v>218.5</v>
      </c>
      <c r="B242" s="38">
        <v>1637</v>
      </c>
      <c r="C242" s="40">
        <v>3</v>
      </c>
      <c r="D242" s="40">
        <v>2</v>
      </c>
      <c r="K242">
        <f>INDEX(OutputValues,238,$J$4)</f>
        <v>1637</v>
      </c>
    </row>
    <row r="243" spans="1:11">
      <c r="A243" s="17">
        <v>219</v>
      </c>
      <c r="B243" s="38">
        <v>1638</v>
      </c>
      <c r="C243" s="40">
        <v>3</v>
      </c>
      <c r="D243" s="40">
        <v>2</v>
      </c>
      <c r="K243">
        <f>INDEX(OutputValues,239,$J$4)</f>
        <v>1638</v>
      </c>
    </row>
    <row r="244" spans="1:11">
      <c r="A244" s="17">
        <v>219.5</v>
      </c>
      <c r="B244" s="38">
        <v>1639</v>
      </c>
      <c r="C244" s="40">
        <v>3</v>
      </c>
      <c r="D244" s="40">
        <v>2</v>
      </c>
      <c r="K244">
        <f>INDEX(OutputValues,240,$J$4)</f>
        <v>1639</v>
      </c>
    </row>
    <row r="245" spans="1:11">
      <c r="A245" s="17">
        <v>220</v>
      </c>
      <c r="B245" s="38">
        <v>1640</v>
      </c>
      <c r="C245" s="40">
        <v>3</v>
      </c>
      <c r="D245" s="40">
        <v>2</v>
      </c>
      <c r="K245">
        <f>INDEX(OutputValues,241,$J$4)</f>
        <v>1640</v>
      </c>
    </row>
    <row r="246" spans="1:11">
      <c r="A246" s="17">
        <v>220.5</v>
      </c>
      <c r="B246" s="38">
        <v>1641</v>
      </c>
      <c r="C246" s="40">
        <v>3</v>
      </c>
      <c r="D246" s="40">
        <v>2</v>
      </c>
      <c r="K246">
        <f>INDEX(OutputValues,242,$J$4)</f>
        <v>1641</v>
      </c>
    </row>
    <row r="247" spans="1:11">
      <c r="A247" s="17">
        <v>221</v>
      </c>
      <c r="B247" s="38">
        <v>1642</v>
      </c>
      <c r="C247" s="40">
        <v>3</v>
      </c>
      <c r="D247" s="40">
        <v>2</v>
      </c>
      <c r="K247">
        <f>INDEX(OutputValues,243,$J$4)</f>
        <v>1642</v>
      </c>
    </row>
    <row r="248" spans="1:11">
      <c r="A248" s="17">
        <v>221.5</v>
      </c>
      <c r="B248" s="38">
        <v>1643</v>
      </c>
      <c r="C248" s="40">
        <v>3</v>
      </c>
      <c r="D248" s="40">
        <v>2</v>
      </c>
      <c r="K248">
        <f>INDEX(OutputValues,244,$J$4)</f>
        <v>1643</v>
      </c>
    </row>
    <row r="249" spans="1:11">
      <c r="A249" s="17">
        <v>222</v>
      </c>
      <c r="B249" s="38">
        <v>1644</v>
      </c>
      <c r="C249" s="40">
        <v>3</v>
      </c>
      <c r="D249" s="40">
        <v>2</v>
      </c>
      <c r="K249">
        <f>INDEX(OutputValues,245,$J$4)</f>
        <v>1644</v>
      </c>
    </row>
    <row r="250" spans="1:11">
      <c r="A250" s="17">
        <v>222.5</v>
      </c>
      <c r="B250" s="38">
        <v>1645</v>
      </c>
      <c r="C250" s="40">
        <v>3</v>
      </c>
      <c r="D250" s="40">
        <v>2</v>
      </c>
      <c r="K250">
        <f>INDEX(OutputValues,246,$J$4)</f>
        <v>1645</v>
      </c>
    </row>
    <row r="251" spans="1:11">
      <c r="A251" s="17">
        <v>223</v>
      </c>
      <c r="B251" s="38">
        <v>1646</v>
      </c>
      <c r="C251" s="40">
        <v>3</v>
      </c>
      <c r="D251" s="40">
        <v>2</v>
      </c>
      <c r="K251">
        <f>INDEX(OutputValues,247,$J$4)</f>
        <v>1646</v>
      </c>
    </row>
    <row r="252" spans="1:11">
      <c r="A252" s="17">
        <v>223.5</v>
      </c>
      <c r="B252" s="38">
        <v>1647</v>
      </c>
      <c r="C252" s="40">
        <v>3</v>
      </c>
      <c r="D252" s="40">
        <v>2</v>
      </c>
      <c r="K252">
        <f>INDEX(OutputValues,248,$J$4)</f>
        <v>1647</v>
      </c>
    </row>
    <row r="253" spans="1:11">
      <c r="A253" s="17">
        <v>224</v>
      </c>
      <c r="B253" s="38">
        <v>1648</v>
      </c>
      <c r="C253" s="40">
        <v>3</v>
      </c>
      <c r="D253" s="40">
        <v>2</v>
      </c>
      <c r="K253">
        <f>INDEX(OutputValues,249,$J$4)</f>
        <v>1648</v>
      </c>
    </row>
    <row r="254" spans="1:11">
      <c r="A254" s="17">
        <v>224.5</v>
      </c>
      <c r="B254" s="38">
        <v>1649</v>
      </c>
      <c r="C254" s="40">
        <v>3</v>
      </c>
      <c r="D254" s="40">
        <v>2</v>
      </c>
      <c r="K254">
        <f>INDEX(OutputValues,250,$J$4)</f>
        <v>1649</v>
      </c>
    </row>
    <row r="255" spans="1:11">
      <c r="A255" s="17">
        <v>225</v>
      </c>
      <c r="B255" s="38">
        <v>1650</v>
      </c>
      <c r="C255" s="40">
        <v>3</v>
      </c>
      <c r="D255" s="40">
        <v>2</v>
      </c>
      <c r="K255">
        <f>INDEX(OutputValues,251,$J$4)</f>
        <v>1650</v>
      </c>
    </row>
    <row r="256" spans="1:11">
      <c r="A256" s="17">
        <v>225.5</v>
      </c>
      <c r="B256" s="38">
        <v>1651</v>
      </c>
      <c r="C256" s="40">
        <v>3</v>
      </c>
      <c r="D256" s="40">
        <v>2</v>
      </c>
      <c r="K256">
        <f>INDEX(OutputValues,252,$J$4)</f>
        <v>1651</v>
      </c>
    </row>
    <row r="257" spans="1:11">
      <c r="A257" s="17">
        <v>226</v>
      </c>
      <c r="B257" s="38">
        <v>1652</v>
      </c>
      <c r="C257" s="40">
        <v>3</v>
      </c>
      <c r="D257" s="40">
        <v>2</v>
      </c>
      <c r="K257">
        <f>INDEX(OutputValues,253,$J$4)</f>
        <v>1652</v>
      </c>
    </row>
    <row r="258" spans="1:11">
      <c r="A258" s="17">
        <v>226.5</v>
      </c>
      <c r="B258" s="38">
        <v>1653</v>
      </c>
      <c r="C258" s="40">
        <v>3</v>
      </c>
      <c r="D258" s="40">
        <v>2</v>
      </c>
      <c r="K258">
        <f>INDEX(OutputValues,254,$J$4)</f>
        <v>1653</v>
      </c>
    </row>
    <row r="259" spans="1:11">
      <c r="A259" s="17">
        <v>227</v>
      </c>
      <c r="B259" s="38">
        <v>1654</v>
      </c>
      <c r="C259" s="40">
        <v>3</v>
      </c>
      <c r="D259" s="40">
        <v>2</v>
      </c>
      <c r="K259">
        <f>INDEX(OutputValues,255,$J$4)</f>
        <v>1654</v>
      </c>
    </row>
    <row r="260" spans="1:11">
      <c r="A260" s="17">
        <v>227.5</v>
      </c>
      <c r="B260" s="38">
        <v>1655</v>
      </c>
      <c r="C260" s="40">
        <v>3</v>
      </c>
      <c r="D260" s="40">
        <v>2</v>
      </c>
      <c r="K260">
        <f>INDEX(OutputValues,256,$J$4)</f>
        <v>1655</v>
      </c>
    </row>
    <row r="261" spans="1:11">
      <c r="A261" s="17">
        <v>228</v>
      </c>
      <c r="B261" s="38">
        <v>1656</v>
      </c>
      <c r="C261" s="40">
        <v>3</v>
      </c>
      <c r="D261" s="40">
        <v>2</v>
      </c>
      <c r="K261">
        <f>INDEX(OutputValues,257,$J$4)</f>
        <v>1656</v>
      </c>
    </row>
    <row r="262" spans="1:11">
      <c r="A262" s="17">
        <v>228.5</v>
      </c>
      <c r="B262" s="38">
        <v>1657</v>
      </c>
      <c r="C262" s="40">
        <v>3</v>
      </c>
      <c r="D262" s="40">
        <v>2</v>
      </c>
      <c r="K262">
        <f>INDEX(OutputValues,258,$J$4)</f>
        <v>1657</v>
      </c>
    </row>
    <row r="263" spans="1:11">
      <c r="A263" s="17">
        <v>229</v>
      </c>
      <c r="B263" s="38">
        <v>1658</v>
      </c>
      <c r="C263" s="40">
        <v>3</v>
      </c>
      <c r="D263" s="40">
        <v>2</v>
      </c>
      <c r="K263">
        <f>INDEX(OutputValues,259,$J$4)</f>
        <v>1658</v>
      </c>
    </row>
    <row r="264" spans="1:11">
      <c r="A264" s="17">
        <v>229.5</v>
      </c>
      <c r="B264" s="38">
        <v>1659</v>
      </c>
      <c r="C264" s="40">
        <v>3</v>
      </c>
      <c r="D264" s="40">
        <v>2</v>
      </c>
      <c r="K264">
        <f>INDEX(OutputValues,260,$J$4)</f>
        <v>1659</v>
      </c>
    </row>
    <row r="265" spans="1:11">
      <c r="A265" s="17">
        <v>230</v>
      </c>
      <c r="B265" s="38">
        <v>1660</v>
      </c>
      <c r="C265" s="40">
        <v>3</v>
      </c>
      <c r="D265" s="40">
        <v>2</v>
      </c>
      <c r="K265">
        <f>INDEX(OutputValues,261,$J$4)</f>
        <v>1660</v>
      </c>
    </row>
    <row r="266" spans="1:11">
      <c r="A266" s="17">
        <v>230.5</v>
      </c>
      <c r="B266" s="38">
        <v>1661</v>
      </c>
      <c r="C266" s="40">
        <v>3</v>
      </c>
      <c r="D266" s="40">
        <v>2</v>
      </c>
      <c r="K266">
        <f>INDEX(OutputValues,262,$J$4)</f>
        <v>1661</v>
      </c>
    </row>
    <row r="267" spans="1:11">
      <c r="A267" s="17">
        <v>231</v>
      </c>
      <c r="B267" s="38">
        <v>1662</v>
      </c>
      <c r="C267" s="40">
        <v>3</v>
      </c>
      <c r="D267" s="40">
        <v>2</v>
      </c>
      <c r="K267">
        <f>INDEX(OutputValues,263,$J$4)</f>
        <v>1662</v>
      </c>
    </row>
    <row r="268" spans="1:11">
      <c r="A268" s="17">
        <v>231.5</v>
      </c>
      <c r="B268" s="38">
        <v>1663</v>
      </c>
      <c r="C268" s="40">
        <v>3</v>
      </c>
      <c r="D268" s="40">
        <v>2</v>
      </c>
      <c r="K268">
        <f>INDEX(OutputValues,264,$J$4)</f>
        <v>1663</v>
      </c>
    </row>
    <row r="269" spans="1:11">
      <c r="A269" s="17">
        <v>232</v>
      </c>
      <c r="B269" s="38">
        <v>1664</v>
      </c>
      <c r="C269" s="40">
        <v>3</v>
      </c>
      <c r="D269" s="40">
        <v>2</v>
      </c>
      <c r="K269">
        <f>INDEX(OutputValues,265,$J$4)</f>
        <v>1664</v>
      </c>
    </row>
    <row r="270" spans="1:11">
      <c r="A270" s="17">
        <v>232.5</v>
      </c>
      <c r="B270" s="38">
        <v>1665</v>
      </c>
      <c r="C270" s="40">
        <v>3</v>
      </c>
      <c r="D270" s="40">
        <v>2</v>
      </c>
      <c r="K270">
        <f>INDEX(OutputValues,266,$J$4)</f>
        <v>1665</v>
      </c>
    </row>
    <row r="271" spans="1:11">
      <c r="A271" s="17">
        <v>233</v>
      </c>
      <c r="B271" s="38">
        <v>1666</v>
      </c>
      <c r="C271" s="40">
        <v>3</v>
      </c>
      <c r="D271" s="40">
        <v>2</v>
      </c>
      <c r="K271">
        <f>INDEX(OutputValues,267,$J$4)</f>
        <v>1666</v>
      </c>
    </row>
    <row r="272" spans="1:11">
      <c r="A272" s="17">
        <v>233.5</v>
      </c>
      <c r="B272" s="38">
        <v>1667</v>
      </c>
      <c r="C272" s="40">
        <v>3</v>
      </c>
      <c r="D272" s="40">
        <v>2</v>
      </c>
      <c r="K272">
        <f>INDEX(OutputValues,268,$J$4)</f>
        <v>1667</v>
      </c>
    </row>
    <row r="273" spans="1:11">
      <c r="A273" s="17">
        <v>234</v>
      </c>
      <c r="B273" s="38">
        <v>1668</v>
      </c>
      <c r="C273" s="40">
        <v>3</v>
      </c>
      <c r="D273" s="40">
        <v>2</v>
      </c>
      <c r="K273">
        <f>INDEX(OutputValues,269,$J$4)</f>
        <v>1668</v>
      </c>
    </row>
    <row r="274" spans="1:11">
      <c r="A274" s="17">
        <v>234.5</v>
      </c>
      <c r="B274" s="38">
        <v>1669</v>
      </c>
      <c r="C274" s="40">
        <v>3</v>
      </c>
      <c r="D274" s="40">
        <v>2</v>
      </c>
      <c r="K274">
        <f>INDEX(OutputValues,270,$J$4)</f>
        <v>1669</v>
      </c>
    </row>
    <row r="275" spans="1:11">
      <c r="A275" s="17">
        <v>235</v>
      </c>
      <c r="B275" s="38">
        <v>1670</v>
      </c>
      <c r="C275" s="40">
        <v>3</v>
      </c>
      <c r="D275" s="40">
        <v>2</v>
      </c>
      <c r="K275">
        <f>INDEX(OutputValues,271,$J$4)</f>
        <v>1670</v>
      </c>
    </row>
    <row r="276" spans="1:11">
      <c r="A276" s="17">
        <v>235.5</v>
      </c>
      <c r="B276" s="38">
        <v>1671</v>
      </c>
      <c r="C276" s="40">
        <v>3</v>
      </c>
      <c r="D276" s="40">
        <v>2</v>
      </c>
      <c r="K276">
        <f>INDEX(OutputValues,272,$J$4)</f>
        <v>1671</v>
      </c>
    </row>
    <row r="277" spans="1:11">
      <c r="A277" s="17">
        <v>236</v>
      </c>
      <c r="B277" s="38">
        <v>1672</v>
      </c>
      <c r="C277" s="40">
        <v>3</v>
      </c>
      <c r="D277" s="40">
        <v>2</v>
      </c>
      <c r="K277">
        <f>INDEX(OutputValues,273,$J$4)</f>
        <v>1672</v>
      </c>
    </row>
    <row r="278" spans="1:11">
      <c r="A278" s="17">
        <v>236.5</v>
      </c>
      <c r="B278" s="38">
        <v>1673</v>
      </c>
      <c r="C278" s="40">
        <v>3</v>
      </c>
      <c r="D278" s="40">
        <v>2</v>
      </c>
      <c r="K278">
        <f>INDEX(OutputValues,274,$J$4)</f>
        <v>1673</v>
      </c>
    </row>
    <row r="279" spans="1:11">
      <c r="A279" s="17">
        <v>237</v>
      </c>
      <c r="B279" s="38">
        <v>1674</v>
      </c>
      <c r="C279" s="40">
        <v>3</v>
      </c>
      <c r="D279" s="40">
        <v>2</v>
      </c>
      <c r="K279">
        <f>INDEX(OutputValues,275,$J$4)</f>
        <v>1674</v>
      </c>
    </row>
    <row r="280" spans="1:11">
      <c r="A280" s="17">
        <v>237.5</v>
      </c>
      <c r="B280" s="38">
        <v>1675</v>
      </c>
      <c r="C280" s="40">
        <v>3</v>
      </c>
      <c r="D280" s="40">
        <v>2</v>
      </c>
      <c r="K280">
        <f>INDEX(OutputValues,276,$J$4)</f>
        <v>1675</v>
      </c>
    </row>
    <row r="281" spans="1:11">
      <c r="A281" s="17">
        <v>238</v>
      </c>
      <c r="B281" s="38">
        <v>1676</v>
      </c>
      <c r="C281" s="40">
        <v>3</v>
      </c>
      <c r="D281" s="40">
        <v>2</v>
      </c>
      <c r="K281">
        <f>INDEX(OutputValues,277,$J$4)</f>
        <v>1676</v>
      </c>
    </row>
    <row r="282" spans="1:11">
      <c r="A282" s="17">
        <v>238.5</v>
      </c>
      <c r="B282" s="38">
        <v>1677</v>
      </c>
      <c r="C282" s="40">
        <v>3</v>
      </c>
      <c r="D282" s="40">
        <v>2</v>
      </c>
      <c r="K282">
        <f>INDEX(OutputValues,278,$J$4)</f>
        <v>1677</v>
      </c>
    </row>
    <row r="283" spans="1:11">
      <c r="A283" s="17">
        <v>239</v>
      </c>
      <c r="B283" s="38">
        <v>1678</v>
      </c>
      <c r="C283" s="40">
        <v>3</v>
      </c>
      <c r="D283" s="40">
        <v>2</v>
      </c>
      <c r="K283">
        <f>INDEX(OutputValues,279,$J$4)</f>
        <v>1678</v>
      </c>
    </row>
    <row r="284" spans="1:11">
      <c r="A284" s="17">
        <v>239.5</v>
      </c>
      <c r="B284" s="38">
        <v>1679</v>
      </c>
      <c r="C284" s="40">
        <v>3</v>
      </c>
      <c r="D284" s="40">
        <v>2</v>
      </c>
      <c r="K284">
        <f>INDEX(OutputValues,280,$J$4)</f>
        <v>1679</v>
      </c>
    </row>
    <row r="285" spans="1:11">
      <c r="A285" s="17">
        <v>240</v>
      </c>
      <c r="B285" s="38">
        <v>1680</v>
      </c>
      <c r="C285" s="40">
        <v>3</v>
      </c>
      <c r="D285" s="40">
        <v>2</v>
      </c>
      <c r="K285">
        <f>INDEX(OutputValues,281,$J$4)</f>
        <v>1680</v>
      </c>
    </row>
    <row r="286" spans="1:11">
      <c r="A286" s="17">
        <v>240.5</v>
      </c>
      <c r="B286" s="38">
        <v>1681</v>
      </c>
      <c r="C286" s="40">
        <v>3</v>
      </c>
      <c r="D286" s="40">
        <v>2</v>
      </c>
      <c r="K286">
        <f>INDEX(OutputValues,282,$J$4)</f>
        <v>1681</v>
      </c>
    </row>
    <row r="287" spans="1:11">
      <c r="A287" s="17">
        <v>241</v>
      </c>
      <c r="B287" s="38">
        <v>1682</v>
      </c>
      <c r="C287" s="40">
        <v>3</v>
      </c>
      <c r="D287" s="40">
        <v>2</v>
      </c>
      <c r="K287">
        <f>INDEX(OutputValues,283,$J$4)</f>
        <v>1682</v>
      </c>
    </row>
    <row r="288" spans="1:11">
      <c r="A288" s="17">
        <v>241.5</v>
      </c>
      <c r="B288" s="38">
        <v>1683</v>
      </c>
      <c r="C288" s="40">
        <v>3</v>
      </c>
      <c r="D288" s="40">
        <v>2</v>
      </c>
      <c r="K288">
        <f>INDEX(OutputValues,284,$J$4)</f>
        <v>1683</v>
      </c>
    </row>
    <row r="289" spans="1:11">
      <c r="A289" s="17">
        <v>242</v>
      </c>
      <c r="B289" s="38">
        <v>1684</v>
      </c>
      <c r="C289" s="40">
        <v>3</v>
      </c>
      <c r="D289" s="40">
        <v>2</v>
      </c>
      <c r="K289">
        <f>INDEX(OutputValues,285,$J$4)</f>
        <v>1684</v>
      </c>
    </row>
    <row r="290" spans="1:11">
      <c r="A290" s="17">
        <v>242.5</v>
      </c>
      <c r="B290" s="38">
        <v>1685</v>
      </c>
      <c r="C290" s="40">
        <v>3</v>
      </c>
      <c r="D290" s="40">
        <v>2</v>
      </c>
      <c r="K290">
        <f>INDEX(OutputValues,286,$J$4)</f>
        <v>1685</v>
      </c>
    </row>
    <row r="291" spans="1:11">
      <c r="A291" s="17">
        <v>243</v>
      </c>
      <c r="B291" s="38">
        <v>1686</v>
      </c>
      <c r="C291" s="40">
        <v>3</v>
      </c>
      <c r="D291" s="40">
        <v>2</v>
      </c>
      <c r="K291">
        <f>INDEX(OutputValues,287,$J$4)</f>
        <v>1686</v>
      </c>
    </row>
    <row r="292" spans="1:11">
      <c r="A292" s="17">
        <v>243.5</v>
      </c>
      <c r="B292" s="38">
        <v>1687</v>
      </c>
      <c r="C292" s="40">
        <v>3</v>
      </c>
      <c r="D292" s="40">
        <v>2</v>
      </c>
      <c r="K292">
        <f>INDEX(OutputValues,288,$J$4)</f>
        <v>1687</v>
      </c>
    </row>
    <row r="293" spans="1:11">
      <c r="A293" s="17">
        <v>244</v>
      </c>
      <c r="B293" s="38">
        <v>1688</v>
      </c>
      <c r="C293" s="40">
        <v>3</v>
      </c>
      <c r="D293" s="40">
        <v>2</v>
      </c>
      <c r="K293">
        <f>INDEX(OutputValues,289,$J$4)</f>
        <v>1688</v>
      </c>
    </row>
    <row r="294" spans="1:11">
      <c r="A294" s="17">
        <v>244.5</v>
      </c>
      <c r="B294" s="38">
        <v>1689</v>
      </c>
      <c r="C294" s="40">
        <v>3</v>
      </c>
      <c r="D294" s="40">
        <v>2</v>
      </c>
      <c r="K294">
        <f>INDEX(OutputValues,290,$J$4)</f>
        <v>1689</v>
      </c>
    </row>
    <row r="295" spans="1:11">
      <c r="A295" s="17">
        <v>245</v>
      </c>
      <c r="B295" s="38">
        <v>1690</v>
      </c>
      <c r="C295" s="40">
        <v>3</v>
      </c>
      <c r="D295" s="40">
        <v>2</v>
      </c>
      <c r="K295">
        <f>INDEX(OutputValues,291,$J$4)</f>
        <v>1690</v>
      </c>
    </row>
    <row r="296" spans="1:11">
      <c r="A296" s="17">
        <v>245.5</v>
      </c>
      <c r="B296" s="38">
        <v>1691</v>
      </c>
      <c r="C296" s="40">
        <v>3</v>
      </c>
      <c r="D296" s="40">
        <v>2</v>
      </c>
      <c r="K296">
        <f>INDEX(OutputValues,292,$J$4)</f>
        <v>1691</v>
      </c>
    </row>
    <row r="297" spans="1:11">
      <c r="A297" s="17">
        <v>246</v>
      </c>
      <c r="B297" s="38">
        <v>1692</v>
      </c>
      <c r="C297" s="40">
        <v>3</v>
      </c>
      <c r="D297" s="40">
        <v>2</v>
      </c>
      <c r="K297">
        <f>INDEX(OutputValues,293,$J$4)</f>
        <v>1692</v>
      </c>
    </row>
    <row r="298" spans="1:11">
      <c r="A298" s="17">
        <v>246.5</v>
      </c>
      <c r="B298" s="38">
        <v>1693</v>
      </c>
      <c r="C298" s="40">
        <v>3</v>
      </c>
      <c r="D298" s="40">
        <v>2</v>
      </c>
      <c r="K298">
        <f>INDEX(OutputValues,294,$J$4)</f>
        <v>1693</v>
      </c>
    </row>
    <row r="299" spans="1:11">
      <c r="A299" s="17">
        <v>247</v>
      </c>
      <c r="B299" s="38">
        <v>1694</v>
      </c>
      <c r="C299" s="40">
        <v>3</v>
      </c>
      <c r="D299" s="40">
        <v>2</v>
      </c>
      <c r="K299">
        <f>INDEX(OutputValues,295,$J$4)</f>
        <v>1694</v>
      </c>
    </row>
    <row r="300" spans="1:11">
      <c r="A300" s="17">
        <v>247.5</v>
      </c>
      <c r="B300" s="38">
        <v>1695</v>
      </c>
      <c r="C300" s="40">
        <v>3</v>
      </c>
      <c r="D300" s="40">
        <v>2</v>
      </c>
      <c r="K300">
        <f>INDEX(OutputValues,296,$J$4)</f>
        <v>1695</v>
      </c>
    </row>
    <row r="301" spans="1:11">
      <c r="A301" s="17">
        <v>248</v>
      </c>
      <c r="B301" s="38">
        <v>1696</v>
      </c>
      <c r="C301" s="40">
        <v>3</v>
      </c>
      <c r="D301" s="40">
        <v>2</v>
      </c>
      <c r="K301">
        <f>INDEX(OutputValues,297,$J$4)</f>
        <v>1696</v>
      </c>
    </row>
    <row r="302" spans="1:11">
      <c r="A302" s="17">
        <v>248.5</v>
      </c>
      <c r="B302" s="38">
        <v>1697</v>
      </c>
      <c r="C302" s="40">
        <v>3</v>
      </c>
      <c r="D302" s="40">
        <v>2</v>
      </c>
      <c r="K302">
        <f>INDEX(OutputValues,298,$J$4)</f>
        <v>1697</v>
      </c>
    </row>
    <row r="303" spans="1:11">
      <c r="A303" s="17">
        <v>249</v>
      </c>
      <c r="B303" s="38">
        <v>1698</v>
      </c>
      <c r="C303" s="40">
        <v>3</v>
      </c>
      <c r="D303" s="40">
        <v>2</v>
      </c>
      <c r="K303">
        <f>INDEX(OutputValues,299,$J$4)</f>
        <v>1698</v>
      </c>
    </row>
    <row r="304" spans="1:11">
      <c r="A304" s="17">
        <v>249.5</v>
      </c>
      <c r="B304" s="38">
        <v>1699</v>
      </c>
      <c r="C304" s="40">
        <v>3</v>
      </c>
      <c r="D304" s="40">
        <v>2</v>
      </c>
      <c r="K304">
        <f>INDEX(OutputValues,300,$J$4)</f>
        <v>1699</v>
      </c>
    </row>
    <row r="305" spans="1:11">
      <c r="A305" s="17">
        <v>250</v>
      </c>
      <c r="B305" s="38">
        <v>1700</v>
      </c>
      <c r="C305" s="40">
        <v>3</v>
      </c>
      <c r="D305" s="40">
        <v>2</v>
      </c>
      <c r="K305">
        <f>INDEX(OutputValues,301,$J$4)</f>
        <v>1700</v>
      </c>
    </row>
    <row r="306" spans="1:11">
      <c r="A306" s="17">
        <v>250.5</v>
      </c>
      <c r="B306" s="38">
        <v>1701</v>
      </c>
      <c r="C306" s="40">
        <v>3</v>
      </c>
      <c r="D306" s="40">
        <v>2</v>
      </c>
      <c r="K306">
        <f>INDEX(OutputValues,302,$J$4)</f>
        <v>1701</v>
      </c>
    </row>
    <row r="307" spans="1:11">
      <c r="A307" s="17">
        <v>251</v>
      </c>
      <c r="B307" s="38">
        <v>1702</v>
      </c>
      <c r="C307" s="40">
        <v>3</v>
      </c>
      <c r="D307" s="40">
        <v>2</v>
      </c>
      <c r="K307">
        <f>INDEX(OutputValues,303,$J$4)</f>
        <v>1702</v>
      </c>
    </row>
    <row r="308" spans="1:11">
      <c r="A308" s="17">
        <v>251.5</v>
      </c>
      <c r="B308" s="38">
        <v>1703</v>
      </c>
      <c r="C308" s="40">
        <v>3</v>
      </c>
      <c r="D308" s="40">
        <v>2</v>
      </c>
      <c r="K308">
        <f>INDEX(OutputValues,304,$J$4)</f>
        <v>1703</v>
      </c>
    </row>
    <row r="309" spans="1:11">
      <c r="A309" s="17">
        <v>252</v>
      </c>
      <c r="B309" s="38">
        <v>1704</v>
      </c>
      <c r="C309" s="40">
        <v>3</v>
      </c>
      <c r="D309" s="40">
        <v>2</v>
      </c>
      <c r="K309">
        <f>INDEX(OutputValues,305,$J$4)</f>
        <v>1704</v>
      </c>
    </row>
    <row r="310" spans="1:11">
      <c r="A310" s="17">
        <v>252.5</v>
      </c>
      <c r="B310" s="38">
        <v>1705</v>
      </c>
      <c r="C310" s="40">
        <v>3</v>
      </c>
      <c r="D310" s="40">
        <v>2</v>
      </c>
      <c r="K310">
        <f>INDEX(OutputValues,306,$J$4)</f>
        <v>1705</v>
      </c>
    </row>
    <row r="311" spans="1:11">
      <c r="A311" s="17">
        <v>253</v>
      </c>
      <c r="B311" s="38">
        <v>1706</v>
      </c>
      <c r="C311" s="40">
        <v>3</v>
      </c>
      <c r="D311" s="40">
        <v>2</v>
      </c>
      <c r="K311">
        <f>INDEX(OutputValues,307,$J$4)</f>
        <v>1706</v>
      </c>
    </row>
    <row r="312" spans="1:11">
      <c r="A312" s="17">
        <v>253.5</v>
      </c>
      <c r="B312" s="38">
        <v>1707</v>
      </c>
      <c r="C312" s="40">
        <v>3</v>
      </c>
      <c r="D312" s="40">
        <v>2</v>
      </c>
      <c r="K312">
        <f>INDEX(OutputValues,308,$J$4)</f>
        <v>1707</v>
      </c>
    </row>
    <row r="313" spans="1:11">
      <c r="A313" s="17">
        <v>254</v>
      </c>
      <c r="B313" s="38">
        <v>1708</v>
      </c>
      <c r="C313" s="40">
        <v>3</v>
      </c>
      <c r="D313" s="40">
        <v>2</v>
      </c>
      <c r="K313">
        <f>INDEX(OutputValues,309,$J$4)</f>
        <v>1708</v>
      </c>
    </row>
    <row r="314" spans="1:11">
      <c r="A314" s="17">
        <v>254.5</v>
      </c>
      <c r="B314" s="38">
        <v>1709</v>
      </c>
      <c r="C314" s="40">
        <v>3</v>
      </c>
      <c r="D314" s="40">
        <v>2</v>
      </c>
      <c r="K314">
        <f>INDEX(OutputValues,310,$J$4)</f>
        <v>1709</v>
      </c>
    </row>
    <row r="315" spans="1:11">
      <c r="A315" s="17">
        <v>255</v>
      </c>
      <c r="B315" s="38">
        <v>1710</v>
      </c>
      <c r="C315" s="40">
        <v>3</v>
      </c>
      <c r="D315" s="40">
        <v>2</v>
      </c>
      <c r="K315">
        <f>INDEX(OutputValues,311,$J$4)</f>
        <v>1710</v>
      </c>
    </row>
    <row r="316" spans="1:11">
      <c r="A316" s="17">
        <v>255.5</v>
      </c>
      <c r="B316" s="38">
        <v>1711</v>
      </c>
      <c r="C316" s="40">
        <v>3</v>
      </c>
      <c r="D316" s="40">
        <v>2</v>
      </c>
      <c r="K316">
        <f>INDEX(OutputValues,312,$J$4)</f>
        <v>1711</v>
      </c>
    </row>
    <row r="317" spans="1:11">
      <c r="A317" s="17">
        <v>256</v>
      </c>
      <c r="B317" s="38">
        <v>1712</v>
      </c>
      <c r="C317" s="40">
        <v>3</v>
      </c>
      <c r="D317" s="40">
        <v>2</v>
      </c>
      <c r="K317">
        <f>INDEX(OutputValues,313,$J$4)</f>
        <v>1712</v>
      </c>
    </row>
    <row r="318" spans="1:11">
      <c r="A318" s="17">
        <v>256.5</v>
      </c>
      <c r="B318" s="38">
        <v>1713</v>
      </c>
      <c r="C318" s="40">
        <v>3</v>
      </c>
      <c r="D318" s="40">
        <v>2</v>
      </c>
      <c r="K318">
        <f>INDEX(OutputValues,314,$J$4)</f>
        <v>1713</v>
      </c>
    </row>
    <row r="319" spans="1:11">
      <c r="A319" s="17">
        <v>257</v>
      </c>
      <c r="B319" s="38">
        <v>1714</v>
      </c>
      <c r="C319" s="40">
        <v>3</v>
      </c>
      <c r="D319" s="40">
        <v>2</v>
      </c>
      <c r="K319">
        <f>INDEX(OutputValues,315,$J$4)</f>
        <v>1714</v>
      </c>
    </row>
    <row r="320" spans="1:11">
      <c r="A320" s="17">
        <v>257.5</v>
      </c>
      <c r="B320" s="38">
        <v>1715</v>
      </c>
      <c r="C320" s="40">
        <v>3</v>
      </c>
      <c r="D320" s="40">
        <v>2</v>
      </c>
      <c r="K320">
        <f>INDEX(OutputValues,316,$J$4)</f>
        <v>1715</v>
      </c>
    </row>
    <row r="321" spans="1:11">
      <c r="A321" s="17">
        <v>258</v>
      </c>
      <c r="B321" s="38">
        <v>1716</v>
      </c>
      <c r="C321" s="40">
        <v>3</v>
      </c>
      <c r="D321" s="40">
        <v>2</v>
      </c>
      <c r="K321">
        <f>INDEX(OutputValues,317,$J$4)</f>
        <v>1716</v>
      </c>
    </row>
    <row r="322" spans="1:11">
      <c r="A322" s="17">
        <v>258.5</v>
      </c>
      <c r="B322" s="38">
        <v>1717</v>
      </c>
      <c r="C322" s="40">
        <v>3</v>
      </c>
      <c r="D322" s="40">
        <v>2</v>
      </c>
      <c r="K322">
        <f>INDEX(OutputValues,318,$J$4)</f>
        <v>1717</v>
      </c>
    </row>
    <row r="323" spans="1:11">
      <c r="A323" s="17">
        <v>259</v>
      </c>
      <c r="B323" s="38">
        <v>1718</v>
      </c>
      <c r="C323" s="40">
        <v>3</v>
      </c>
      <c r="D323" s="40">
        <v>2</v>
      </c>
      <c r="K323">
        <f>INDEX(OutputValues,319,$J$4)</f>
        <v>1718</v>
      </c>
    </row>
    <row r="324" spans="1:11">
      <c r="A324" s="17">
        <v>259.5</v>
      </c>
      <c r="B324" s="38">
        <v>1719</v>
      </c>
      <c r="C324" s="40">
        <v>3</v>
      </c>
      <c r="D324" s="40">
        <v>2</v>
      </c>
      <c r="K324">
        <f>INDEX(OutputValues,320,$J$4)</f>
        <v>1719</v>
      </c>
    </row>
    <row r="325" spans="1:11">
      <c r="A325" s="17">
        <v>260</v>
      </c>
      <c r="B325" s="38">
        <v>1720</v>
      </c>
      <c r="C325" s="40">
        <v>3</v>
      </c>
      <c r="D325" s="40">
        <v>2</v>
      </c>
      <c r="K325">
        <f>INDEX(OutputValues,321,$J$4)</f>
        <v>1720</v>
      </c>
    </row>
    <row r="326" spans="1:11">
      <c r="A326" s="17">
        <v>260.5</v>
      </c>
      <c r="B326" s="38">
        <v>1721</v>
      </c>
      <c r="C326" s="40">
        <v>3</v>
      </c>
      <c r="D326" s="40">
        <v>2</v>
      </c>
      <c r="K326">
        <f>INDEX(OutputValues,322,$J$4)</f>
        <v>1721</v>
      </c>
    </row>
    <row r="327" spans="1:11">
      <c r="A327" s="17">
        <v>261</v>
      </c>
      <c r="B327" s="38">
        <v>1722</v>
      </c>
      <c r="C327" s="40">
        <v>3</v>
      </c>
      <c r="D327" s="40">
        <v>2</v>
      </c>
      <c r="K327">
        <f>INDEX(OutputValues,323,$J$4)</f>
        <v>1722</v>
      </c>
    </row>
    <row r="328" spans="1:11">
      <c r="A328" s="17">
        <v>261.5</v>
      </c>
      <c r="B328" s="38">
        <v>1723</v>
      </c>
      <c r="C328" s="40">
        <v>3</v>
      </c>
      <c r="D328" s="40">
        <v>2</v>
      </c>
      <c r="K328">
        <f>INDEX(OutputValues,324,$J$4)</f>
        <v>1723</v>
      </c>
    </row>
    <row r="329" spans="1:11">
      <c r="A329" s="17">
        <v>262</v>
      </c>
      <c r="B329" s="38">
        <v>1724</v>
      </c>
      <c r="C329" s="40">
        <v>3</v>
      </c>
      <c r="D329" s="40">
        <v>2</v>
      </c>
      <c r="K329">
        <f>INDEX(OutputValues,325,$J$4)</f>
        <v>1724</v>
      </c>
    </row>
    <row r="330" spans="1:11">
      <c r="A330" s="17">
        <v>262.5</v>
      </c>
      <c r="B330" s="38">
        <v>1725</v>
      </c>
      <c r="C330" s="40">
        <v>3</v>
      </c>
      <c r="D330" s="40">
        <v>2</v>
      </c>
      <c r="K330">
        <f>INDEX(OutputValues,326,$J$4)</f>
        <v>1725</v>
      </c>
    </row>
    <row r="331" spans="1:11">
      <c r="A331" s="17">
        <v>263</v>
      </c>
      <c r="B331" s="38">
        <v>1726</v>
      </c>
      <c r="C331" s="40">
        <v>3</v>
      </c>
      <c r="D331" s="40">
        <v>2</v>
      </c>
      <c r="K331">
        <f>INDEX(OutputValues,327,$J$4)</f>
        <v>1726</v>
      </c>
    </row>
    <row r="332" spans="1:11">
      <c r="A332" s="17">
        <v>263.5</v>
      </c>
      <c r="B332" s="38">
        <v>1727</v>
      </c>
      <c r="C332" s="40">
        <v>3</v>
      </c>
      <c r="D332" s="40">
        <v>2</v>
      </c>
      <c r="K332">
        <f>INDEX(OutputValues,328,$J$4)</f>
        <v>1727</v>
      </c>
    </row>
    <row r="333" spans="1:11">
      <c r="A333" s="17">
        <v>264</v>
      </c>
      <c r="B333" s="38">
        <v>1728</v>
      </c>
      <c r="C333" s="40">
        <v>3</v>
      </c>
      <c r="D333" s="40">
        <v>2</v>
      </c>
      <c r="K333">
        <f>INDEX(OutputValues,329,$J$4)</f>
        <v>1728</v>
      </c>
    </row>
    <row r="334" spans="1:11">
      <c r="A334" s="17">
        <v>264.5</v>
      </c>
      <c r="B334" s="38">
        <v>1729</v>
      </c>
      <c r="C334" s="40">
        <v>3</v>
      </c>
      <c r="D334" s="40">
        <v>2</v>
      </c>
      <c r="K334">
        <f>INDEX(OutputValues,330,$J$4)</f>
        <v>1729</v>
      </c>
    </row>
    <row r="335" spans="1:11">
      <c r="A335" s="17">
        <v>265</v>
      </c>
      <c r="B335" s="38">
        <v>1730</v>
      </c>
      <c r="C335" s="40">
        <v>3</v>
      </c>
      <c r="D335" s="40">
        <v>2</v>
      </c>
      <c r="K335">
        <f>INDEX(OutputValues,331,$J$4)</f>
        <v>1730</v>
      </c>
    </row>
    <row r="336" spans="1:11">
      <c r="A336" s="17">
        <v>265.5</v>
      </c>
      <c r="B336" s="38">
        <v>1731</v>
      </c>
      <c r="C336" s="40">
        <v>3</v>
      </c>
      <c r="D336" s="40">
        <v>2</v>
      </c>
      <c r="K336">
        <f>INDEX(OutputValues,332,$J$4)</f>
        <v>1731</v>
      </c>
    </row>
    <row r="337" spans="1:11">
      <c r="A337" s="17">
        <v>266</v>
      </c>
      <c r="B337" s="38">
        <v>1732</v>
      </c>
      <c r="C337" s="40">
        <v>3</v>
      </c>
      <c r="D337" s="40">
        <v>2</v>
      </c>
      <c r="K337">
        <f>INDEX(OutputValues,333,$J$4)</f>
        <v>1732</v>
      </c>
    </row>
    <row r="338" spans="1:11">
      <c r="A338" s="17">
        <v>266.5</v>
      </c>
      <c r="B338" s="38">
        <v>1733</v>
      </c>
      <c r="C338" s="40">
        <v>3</v>
      </c>
      <c r="D338" s="40">
        <v>2</v>
      </c>
      <c r="K338">
        <f>INDEX(OutputValues,334,$J$4)</f>
        <v>1733</v>
      </c>
    </row>
    <row r="339" spans="1:11">
      <c r="A339" s="17">
        <v>267</v>
      </c>
      <c r="B339" s="38">
        <v>1734</v>
      </c>
      <c r="C339" s="40">
        <v>3</v>
      </c>
      <c r="D339" s="40">
        <v>2</v>
      </c>
      <c r="K339">
        <f>INDEX(OutputValues,335,$J$4)</f>
        <v>1734</v>
      </c>
    </row>
    <row r="340" spans="1:11">
      <c r="A340" s="17">
        <v>267.5</v>
      </c>
      <c r="B340" s="38">
        <v>1735</v>
      </c>
      <c r="C340" s="40">
        <v>3</v>
      </c>
      <c r="D340" s="40">
        <v>2</v>
      </c>
      <c r="K340">
        <f>INDEX(OutputValues,336,$J$4)</f>
        <v>1735</v>
      </c>
    </row>
    <row r="341" spans="1:11">
      <c r="A341" s="17">
        <v>268</v>
      </c>
      <c r="B341" s="38">
        <v>1736</v>
      </c>
      <c r="C341" s="40">
        <v>3</v>
      </c>
      <c r="D341" s="40">
        <v>2</v>
      </c>
      <c r="K341">
        <f>INDEX(OutputValues,337,$J$4)</f>
        <v>1736</v>
      </c>
    </row>
    <row r="342" spans="1:11">
      <c r="A342" s="17">
        <v>268.5</v>
      </c>
      <c r="B342" s="38">
        <v>1737</v>
      </c>
      <c r="C342" s="40">
        <v>3</v>
      </c>
      <c r="D342" s="40">
        <v>2</v>
      </c>
      <c r="K342">
        <f>INDEX(OutputValues,338,$J$4)</f>
        <v>1737</v>
      </c>
    </row>
    <row r="343" spans="1:11">
      <c r="A343" s="17">
        <v>269</v>
      </c>
      <c r="B343" s="38">
        <v>1738</v>
      </c>
      <c r="C343" s="40">
        <v>3</v>
      </c>
      <c r="D343" s="40">
        <v>2</v>
      </c>
      <c r="K343">
        <f>INDEX(OutputValues,339,$J$4)</f>
        <v>1738</v>
      </c>
    </row>
    <row r="344" spans="1:11">
      <c r="A344" s="17">
        <v>269.5</v>
      </c>
      <c r="B344" s="38">
        <v>1739</v>
      </c>
      <c r="C344" s="40">
        <v>3</v>
      </c>
      <c r="D344" s="40">
        <v>2</v>
      </c>
      <c r="K344">
        <f>INDEX(OutputValues,340,$J$4)</f>
        <v>1739</v>
      </c>
    </row>
    <row r="345" spans="1:11">
      <c r="A345" s="17">
        <v>270</v>
      </c>
      <c r="B345" s="38">
        <v>1740</v>
      </c>
      <c r="C345" s="40">
        <v>3</v>
      </c>
      <c r="D345" s="40">
        <v>2</v>
      </c>
      <c r="K345">
        <f>INDEX(OutputValues,341,$J$4)</f>
        <v>1740</v>
      </c>
    </row>
    <row r="346" spans="1:11">
      <c r="A346" s="17">
        <v>270.5</v>
      </c>
      <c r="B346" s="38">
        <v>1741</v>
      </c>
      <c r="C346" s="40">
        <v>3</v>
      </c>
      <c r="D346" s="40">
        <v>2</v>
      </c>
      <c r="K346">
        <f>INDEX(OutputValues,342,$J$4)</f>
        <v>1741</v>
      </c>
    </row>
    <row r="347" spans="1:11">
      <c r="A347" s="17">
        <v>271</v>
      </c>
      <c r="B347" s="38">
        <v>1742</v>
      </c>
      <c r="C347" s="40">
        <v>3</v>
      </c>
      <c r="D347" s="40">
        <v>2</v>
      </c>
      <c r="K347">
        <f>INDEX(OutputValues,343,$J$4)</f>
        <v>1742</v>
      </c>
    </row>
    <row r="348" spans="1:11">
      <c r="A348" s="17">
        <v>271.5</v>
      </c>
      <c r="B348" s="38">
        <v>1743</v>
      </c>
      <c r="C348" s="40">
        <v>3</v>
      </c>
      <c r="D348" s="40">
        <v>2</v>
      </c>
      <c r="K348">
        <f>INDEX(OutputValues,344,$J$4)</f>
        <v>1743</v>
      </c>
    </row>
    <row r="349" spans="1:11">
      <c r="A349" s="17">
        <v>272</v>
      </c>
      <c r="B349" s="38">
        <v>1744</v>
      </c>
      <c r="C349" s="40">
        <v>3</v>
      </c>
      <c r="D349" s="40">
        <v>2</v>
      </c>
      <c r="K349">
        <f>INDEX(OutputValues,345,$J$4)</f>
        <v>1744</v>
      </c>
    </row>
    <row r="350" spans="1:11">
      <c r="A350" s="17">
        <v>272.5</v>
      </c>
      <c r="B350" s="38">
        <v>1745</v>
      </c>
      <c r="C350" s="40">
        <v>3</v>
      </c>
      <c r="D350" s="40">
        <v>2</v>
      </c>
      <c r="K350">
        <f>INDEX(OutputValues,346,$J$4)</f>
        <v>1745</v>
      </c>
    </row>
    <row r="351" spans="1:11">
      <c r="A351" s="17">
        <v>273</v>
      </c>
      <c r="B351" s="38">
        <v>1746</v>
      </c>
      <c r="C351" s="40">
        <v>3</v>
      </c>
      <c r="D351" s="40">
        <v>2</v>
      </c>
      <c r="K351">
        <f>INDEX(OutputValues,347,$J$4)</f>
        <v>1746</v>
      </c>
    </row>
    <row r="352" spans="1:11">
      <c r="A352" s="17">
        <v>273.5</v>
      </c>
      <c r="B352" s="38">
        <v>1747</v>
      </c>
      <c r="C352" s="40">
        <v>3</v>
      </c>
      <c r="D352" s="40">
        <v>2</v>
      </c>
      <c r="K352">
        <f>INDEX(OutputValues,348,$J$4)</f>
        <v>1747</v>
      </c>
    </row>
    <row r="353" spans="1:11">
      <c r="A353" s="17">
        <v>274</v>
      </c>
      <c r="B353" s="38">
        <v>1748</v>
      </c>
      <c r="C353" s="40">
        <v>3</v>
      </c>
      <c r="D353" s="40">
        <v>2</v>
      </c>
      <c r="K353">
        <f>INDEX(OutputValues,349,$J$4)</f>
        <v>1748</v>
      </c>
    </row>
    <row r="354" spans="1:11">
      <c r="A354" s="17">
        <v>274.5</v>
      </c>
      <c r="B354" s="38">
        <v>1749</v>
      </c>
      <c r="C354" s="40">
        <v>3</v>
      </c>
      <c r="D354" s="40">
        <v>2</v>
      </c>
      <c r="K354">
        <f>INDEX(OutputValues,350,$J$4)</f>
        <v>1749</v>
      </c>
    </row>
    <row r="355" spans="1:11">
      <c r="A355" s="17">
        <v>275</v>
      </c>
      <c r="B355" s="38">
        <v>1750</v>
      </c>
      <c r="C355" s="40">
        <v>3</v>
      </c>
      <c r="D355" s="40">
        <v>2</v>
      </c>
      <c r="K355">
        <f>INDEX(OutputValues,351,$J$4)</f>
        <v>1750</v>
      </c>
    </row>
    <row r="356" spans="1:11">
      <c r="A356" s="17">
        <v>275.5</v>
      </c>
      <c r="B356" s="38">
        <v>1751</v>
      </c>
      <c r="C356" s="40">
        <v>3</v>
      </c>
      <c r="D356" s="40">
        <v>2</v>
      </c>
      <c r="K356">
        <f>INDEX(OutputValues,352,$J$4)</f>
        <v>1751</v>
      </c>
    </row>
    <row r="357" spans="1:11">
      <c r="A357" s="17">
        <v>276</v>
      </c>
      <c r="B357" s="38">
        <v>1752</v>
      </c>
      <c r="C357" s="40">
        <v>3</v>
      </c>
      <c r="D357" s="40">
        <v>2</v>
      </c>
      <c r="K357">
        <f>INDEX(OutputValues,353,$J$4)</f>
        <v>1752</v>
      </c>
    </row>
    <row r="358" spans="1:11">
      <c r="A358" s="17">
        <v>276.5</v>
      </c>
      <c r="B358" s="38">
        <v>1753</v>
      </c>
      <c r="C358" s="40">
        <v>3</v>
      </c>
      <c r="D358" s="40">
        <v>2</v>
      </c>
      <c r="K358">
        <f>INDEX(OutputValues,354,$J$4)</f>
        <v>1753</v>
      </c>
    </row>
    <row r="359" spans="1:11">
      <c r="A359" s="17">
        <v>277</v>
      </c>
      <c r="B359" s="38">
        <v>1754</v>
      </c>
      <c r="C359" s="40">
        <v>3</v>
      </c>
      <c r="D359" s="40">
        <v>2</v>
      </c>
      <c r="K359">
        <f>INDEX(OutputValues,355,$J$4)</f>
        <v>1754</v>
      </c>
    </row>
    <row r="360" spans="1:11">
      <c r="A360" s="17">
        <v>277.5</v>
      </c>
      <c r="B360" s="38">
        <v>1755</v>
      </c>
      <c r="C360" s="40">
        <v>3</v>
      </c>
      <c r="D360" s="40">
        <v>2</v>
      </c>
      <c r="K360">
        <f>INDEX(OutputValues,356,$J$4)</f>
        <v>1755</v>
      </c>
    </row>
    <row r="361" spans="1:11">
      <c r="A361" s="17">
        <v>278</v>
      </c>
      <c r="B361" s="38">
        <v>1756</v>
      </c>
      <c r="C361" s="40">
        <v>3</v>
      </c>
      <c r="D361" s="40">
        <v>2</v>
      </c>
      <c r="K361">
        <f>INDEX(OutputValues,357,$J$4)</f>
        <v>1756</v>
      </c>
    </row>
    <row r="362" spans="1:11">
      <c r="A362" s="17">
        <v>278.5</v>
      </c>
      <c r="B362" s="38">
        <v>1757</v>
      </c>
      <c r="C362" s="40">
        <v>3</v>
      </c>
      <c r="D362" s="40">
        <v>2</v>
      </c>
      <c r="K362">
        <f>INDEX(OutputValues,358,$J$4)</f>
        <v>1757</v>
      </c>
    </row>
    <row r="363" spans="1:11">
      <c r="A363" s="17">
        <v>279</v>
      </c>
      <c r="B363" s="38">
        <v>1758</v>
      </c>
      <c r="C363" s="40">
        <v>3</v>
      </c>
      <c r="D363" s="40">
        <v>2</v>
      </c>
      <c r="K363">
        <f>INDEX(OutputValues,359,$J$4)</f>
        <v>1758</v>
      </c>
    </row>
    <row r="364" spans="1:11">
      <c r="A364" s="17">
        <v>279.5</v>
      </c>
      <c r="B364" s="38">
        <v>1759</v>
      </c>
      <c r="C364" s="40">
        <v>3</v>
      </c>
      <c r="D364" s="40">
        <v>2</v>
      </c>
      <c r="K364">
        <f>INDEX(OutputValues,360,$J$4)</f>
        <v>1759</v>
      </c>
    </row>
    <row r="365" spans="1:11">
      <c r="A365" s="17">
        <v>280</v>
      </c>
      <c r="B365" s="38">
        <v>1760</v>
      </c>
      <c r="C365" s="40">
        <v>3</v>
      </c>
      <c r="D365" s="40">
        <v>2</v>
      </c>
      <c r="K365">
        <f>INDEX(OutputValues,361,$J$4)</f>
        <v>1760</v>
      </c>
    </row>
    <row r="366" spans="1:11">
      <c r="A366" s="17">
        <v>280.5</v>
      </c>
      <c r="B366" s="38">
        <v>1761</v>
      </c>
      <c r="C366" s="40">
        <v>3</v>
      </c>
      <c r="D366" s="40">
        <v>2</v>
      </c>
      <c r="K366">
        <f>INDEX(OutputValues,362,$J$4)</f>
        <v>1761</v>
      </c>
    </row>
    <row r="367" spans="1:11">
      <c r="A367" s="17">
        <v>281</v>
      </c>
      <c r="B367" s="38">
        <v>1762</v>
      </c>
      <c r="C367" s="40">
        <v>3</v>
      </c>
      <c r="D367" s="40">
        <v>2</v>
      </c>
      <c r="K367">
        <f>INDEX(OutputValues,363,$J$4)</f>
        <v>1762</v>
      </c>
    </row>
    <row r="368" spans="1:11">
      <c r="A368" s="17">
        <v>281.5</v>
      </c>
      <c r="B368" s="38">
        <v>1763</v>
      </c>
      <c r="C368" s="40">
        <v>3</v>
      </c>
      <c r="D368" s="40">
        <v>2</v>
      </c>
      <c r="K368">
        <f>INDEX(OutputValues,364,$J$4)</f>
        <v>1763</v>
      </c>
    </row>
    <row r="369" spans="1:11">
      <c r="A369" s="17">
        <v>282</v>
      </c>
      <c r="B369" s="38">
        <v>1764</v>
      </c>
      <c r="C369" s="40">
        <v>3</v>
      </c>
      <c r="D369" s="40">
        <v>2</v>
      </c>
      <c r="K369">
        <f>INDEX(OutputValues,365,$J$4)</f>
        <v>1764</v>
      </c>
    </row>
    <row r="370" spans="1:11">
      <c r="A370" s="17">
        <v>282.5</v>
      </c>
      <c r="B370" s="38">
        <v>1765</v>
      </c>
      <c r="C370" s="40">
        <v>3</v>
      </c>
      <c r="D370" s="40">
        <v>2</v>
      </c>
      <c r="K370">
        <f>INDEX(OutputValues,366,$J$4)</f>
        <v>1765</v>
      </c>
    </row>
    <row r="371" spans="1:11">
      <c r="A371" s="17">
        <v>283</v>
      </c>
      <c r="B371" s="38">
        <v>1766</v>
      </c>
      <c r="C371" s="40">
        <v>3</v>
      </c>
      <c r="D371" s="40">
        <v>2</v>
      </c>
      <c r="K371">
        <f>INDEX(OutputValues,367,$J$4)</f>
        <v>1766</v>
      </c>
    </row>
    <row r="372" spans="1:11">
      <c r="A372" s="17">
        <v>283.5</v>
      </c>
      <c r="B372" s="38">
        <v>1767</v>
      </c>
      <c r="C372" s="40">
        <v>3</v>
      </c>
      <c r="D372" s="40">
        <v>2</v>
      </c>
      <c r="K372">
        <f>INDEX(OutputValues,368,$J$4)</f>
        <v>1767</v>
      </c>
    </row>
    <row r="373" spans="1:11">
      <c r="A373" s="17">
        <v>284</v>
      </c>
      <c r="B373" s="38">
        <v>1768</v>
      </c>
      <c r="C373" s="40">
        <v>3</v>
      </c>
      <c r="D373" s="40">
        <v>2</v>
      </c>
      <c r="K373">
        <f>INDEX(OutputValues,369,$J$4)</f>
        <v>1768</v>
      </c>
    </row>
    <row r="374" spans="1:11">
      <c r="A374" s="17">
        <v>284.5</v>
      </c>
      <c r="B374" s="38">
        <v>1769</v>
      </c>
      <c r="C374" s="40">
        <v>3</v>
      </c>
      <c r="D374" s="40">
        <v>2</v>
      </c>
      <c r="K374">
        <f>INDEX(OutputValues,370,$J$4)</f>
        <v>1769</v>
      </c>
    </row>
    <row r="375" spans="1:11">
      <c r="A375" s="17">
        <v>285</v>
      </c>
      <c r="B375" s="38">
        <v>1770</v>
      </c>
      <c r="C375" s="40">
        <v>3</v>
      </c>
      <c r="D375" s="40">
        <v>2</v>
      </c>
      <c r="K375">
        <f>INDEX(OutputValues,371,$J$4)</f>
        <v>1770</v>
      </c>
    </row>
    <row r="376" spans="1:11">
      <c r="A376" s="17">
        <v>285.5</v>
      </c>
      <c r="B376" s="38">
        <v>1771</v>
      </c>
      <c r="C376" s="40">
        <v>3</v>
      </c>
      <c r="D376" s="40">
        <v>2</v>
      </c>
      <c r="K376">
        <f>INDEX(OutputValues,372,$J$4)</f>
        <v>1771</v>
      </c>
    </row>
    <row r="377" spans="1:11">
      <c r="A377" s="17">
        <v>286</v>
      </c>
      <c r="B377" s="38">
        <v>1772</v>
      </c>
      <c r="C377" s="40">
        <v>3</v>
      </c>
      <c r="D377" s="40">
        <v>2</v>
      </c>
      <c r="K377">
        <f>INDEX(OutputValues,373,$J$4)</f>
        <v>1772</v>
      </c>
    </row>
    <row r="378" spans="1:11">
      <c r="A378" s="17">
        <v>286.5</v>
      </c>
      <c r="B378" s="38">
        <v>1773</v>
      </c>
      <c r="C378" s="40">
        <v>3</v>
      </c>
      <c r="D378" s="40">
        <v>2</v>
      </c>
      <c r="K378">
        <f>INDEX(OutputValues,374,$J$4)</f>
        <v>1773</v>
      </c>
    </row>
    <row r="379" spans="1:11">
      <c r="A379" s="17">
        <v>287</v>
      </c>
      <c r="B379" s="38">
        <v>1774</v>
      </c>
      <c r="C379" s="40">
        <v>3</v>
      </c>
      <c r="D379" s="40">
        <v>2</v>
      </c>
      <c r="K379">
        <f>INDEX(OutputValues,375,$J$4)</f>
        <v>1774</v>
      </c>
    </row>
    <row r="380" spans="1:11">
      <c r="A380" s="17">
        <v>287.5</v>
      </c>
      <c r="B380" s="38">
        <v>1775</v>
      </c>
      <c r="C380" s="40">
        <v>3</v>
      </c>
      <c r="D380" s="40">
        <v>2</v>
      </c>
      <c r="K380">
        <f>INDEX(OutputValues,376,$J$4)</f>
        <v>1775</v>
      </c>
    </row>
    <row r="381" spans="1:11">
      <c r="A381" s="17">
        <v>288</v>
      </c>
      <c r="B381" s="38">
        <v>1776</v>
      </c>
      <c r="C381" s="40">
        <v>3</v>
      </c>
      <c r="D381" s="40">
        <v>2</v>
      </c>
      <c r="K381">
        <f>INDEX(OutputValues,377,$J$4)</f>
        <v>1776</v>
      </c>
    </row>
    <row r="382" spans="1:11">
      <c r="A382" s="17">
        <v>288.5</v>
      </c>
      <c r="B382" s="38">
        <v>1777</v>
      </c>
      <c r="C382" s="40">
        <v>3</v>
      </c>
      <c r="D382" s="40">
        <v>2</v>
      </c>
      <c r="K382">
        <f>INDEX(OutputValues,378,$J$4)</f>
        <v>1777</v>
      </c>
    </row>
    <row r="383" spans="1:11">
      <c r="A383" s="17">
        <v>289</v>
      </c>
      <c r="B383" s="38">
        <v>1778</v>
      </c>
      <c r="C383" s="40">
        <v>3</v>
      </c>
      <c r="D383" s="40">
        <v>2</v>
      </c>
      <c r="K383">
        <f>INDEX(OutputValues,379,$J$4)</f>
        <v>1778</v>
      </c>
    </row>
    <row r="384" spans="1:11">
      <c r="A384" s="17">
        <v>289.5</v>
      </c>
      <c r="B384" s="38">
        <v>1779</v>
      </c>
      <c r="C384" s="40">
        <v>3</v>
      </c>
      <c r="D384" s="40">
        <v>2</v>
      </c>
      <c r="K384">
        <f>INDEX(OutputValues,380,$J$4)</f>
        <v>1779</v>
      </c>
    </row>
    <row r="385" spans="1:11">
      <c r="A385" s="17">
        <v>290</v>
      </c>
      <c r="B385" s="38">
        <v>1780</v>
      </c>
      <c r="C385" s="40">
        <v>3</v>
      </c>
      <c r="D385" s="40">
        <v>2</v>
      </c>
      <c r="K385">
        <f>INDEX(OutputValues,381,$J$4)</f>
        <v>1780</v>
      </c>
    </row>
    <row r="386" spans="1:11">
      <c r="A386" s="17">
        <v>290.5</v>
      </c>
      <c r="B386" s="38">
        <v>1781</v>
      </c>
      <c r="C386" s="40">
        <v>3</v>
      </c>
      <c r="D386" s="40">
        <v>2</v>
      </c>
      <c r="K386">
        <f>INDEX(OutputValues,382,$J$4)</f>
        <v>1781</v>
      </c>
    </row>
    <row r="387" spans="1:11">
      <c r="A387" s="17">
        <v>291</v>
      </c>
      <c r="B387" s="38">
        <v>1782</v>
      </c>
      <c r="C387" s="40">
        <v>3</v>
      </c>
      <c r="D387" s="40">
        <v>2</v>
      </c>
      <c r="K387">
        <f>INDEX(OutputValues,383,$J$4)</f>
        <v>1782</v>
      </c>
    </row>
    <row r="388" spans="1:11">
      <c r="A388" s="17">
        <v>291.5</v>
      </c>
      <c r="B388" s="38">
        <v>1783</v>
      </c>
      <c r="C388" s="40">
        <v>3</v>
      </c>
      <c r="D388" s="40">
        <v>2</v>
      </c>
      <c r="K388">
        <f>INDEX(OutputValues,384,$J$4)</f>
        <v>1783</v>
      </c>
    </row>
    <row r="389" spans="1:11">
      <c r="A389" s="17">
        <v>292</v>
      </c>
      <c r="B389" s="38">
        <v>1784</v>
      </c>
      <c r="C389" s="40">
        <v>3</v>
      </c>
      <c r="D389" s="40">
        <v>2</v>
      </c>
      <c r="K389">
        <f>INDEX(OutputValues,385,$J$4)</f>
        <v>1784</v>
      </c>
    </row>
    <row r="390" spans="1:11">
      <c r="A390" s="17">
        <v>292.5</v>
      </c>
      <c r="B390" s="38">
        <v>1785</v>
      </c>
      <c r="C390" s="40">
        <v>3</v>
      </c>
      <c r="D390" s="40">
        <v>2</v>
      </c>
      <c r="K390">
        <f>INDEX(OutputValues,386,$J$4)</f>
        <v>1785</v>
      </c>
    </row>
    <row r="391" spans="1:11">
      <c r="A391" s="17">
        <v>293</v>
      </c>
      <c r="B391" s="38">
        <v>1786</v>
      </c>
      <c r="C391" s="40">
        <v>3</v>
      </c>
      <c r="D391" s="40">
        <v>2</v>
      </c>
      <c r="K391">
        <f>INDEX(OutputValues,387,$J$4)</f>
        <v>1786</v>
      </c>
    </row>
    <row r="392" spans="1:11">
      <c r="A392" s="17">
        <v>293.5</v>
      </c>
      <c r="B392" s="38">
        <v>1787</v>
      </c>
      <c r="C392" s="40">
        <v>3</v>
      </c>
      <c r="D392" s="40">
        <v>2</v>
      </c>
      <c r="K392">
        <f>INDEX(OutputValues,388,$J$4)</f>
        <v>1787</v>
      </c>
    </row>
    <row r="393" spans="1:11">
      <c r="A393" s="17">
        <v>294</v>
      </c>
      <c r="B393" s="38">
        <v>1788</v>
      </c>
      <c r="C393" s="40">
        <v>3</v>
      </c>
      <c r="D393" s="40">
        <v>2</v>
      </c>
      <c r="K393">
        <f>INDEX(OutputValues,389,$J$4)</f>
        <v>1788</v>
      </c>
    </row>
    <row r="394" spans="1:11">
      <c r="A394" s="17">
        <v>294.5</v>
      </c>
      <c r="B394" s="38">
        <v>1789</v>
      </c>
      <c r="C394" s="40">
        <v>3</v>
      </c>
      <c r="D394" s="40">
        <v>2</v>
      </c>
      <c r="K394">
        <f>INDEX(OutputValues,390,$J$4)</f>
        <v>1789</v>
      </c>
    </row>
    <row r="395" spans="1:11">
      <c r="A395" s="17">
        <v>295</v>
      </c>
      <c r="B395" s="38">
        <v>1790</v>
      </c>
      <c r="C395" s="40">
        <v>3</v>
      </c>
      <c r="D395" s="40">
        <v>2</v>
      </c>
      <c r="K395">
        <f>INDEX(OutputValues,391,$J$4)</f>
        <v>1790</v>
      </c>
    </row>
    <row r="396" spans="1:11">
      <c r="A396" s="17">
        <v>295.5</v>
      </c>
      <c r="B396" s="38">
        <v>1791</v>
      </c>
      <c r="C396" s="40">
        <v>3</v>
      </c>
      <c r="D396" s="40">
        <v>2</v>
      </c>
      <c r="K396">
        <f>INDEX(OutputValues,392,$J$4)</f>
        <v>1791</v>
      </c>
    </row>
    <row r="397" spans="1:11">
      <c r="A397" s="17">
        <v>296</v>
      </c>
      <c r="B397" s="38">
        <v>1792</v>
      </c>
      <c r="C397" s="40">
        <v>3</v>
      </c>
      <c r="D397" s="40">
        <v>2</v>
      </c>
      <c r="K397">
        <f>INDEX(OutputValues,393,$J$4)</f>
        <v>1792</v>
      </c>
    </row>
    <row r="398" spans="1:11">
      <c r="A398" s="17">
        <v>296.5</v>
      </c>
      <c r="B398" s="38">
        <v>1793</v>
      </c>
      <c r="C398" s="40">
        <v>3</v>
      </c>
      <c r="D398" s="40">
        <v>2</v>
      </c>
      <c r="K398">
        <f>INDEX(OutputValues,394,$J$4)</f>
        <v>1793</v>
      </c>
    </row>
    <row r="399" spans="1:11">
      <c r="A399" s="17">
        <v>297</v>
      </c>
      <c r="B399" s="38">
        <v>1794</v>
      </c>
      <c r="C399" s="40">
        <v>3</v>
      </c>
      <c r="D399" s="40">
        <v>2</v>
      </c>
      <c r="K399">
        <f>INDEX(OutputValues,395,$J$4)</f>
        <v>1794</v>
      </c>
    </row>
    <row r="400" spans="1:11">
      <c r="A400" s="17">
        <v>297.5</v>
      </c>
      <c r="B400" s="38">
        <v>1795</v>
      </c>
      <c r="C400" s="40">
        <v>3</v>
      </c>
      <c r="D400" s="40">
        <v>2</v>
      </c>
      <c r="K400">
        <f>INDEX(OutputValues,396,$J$4)</f>
        <v>1795</v>
      </c>
    </row>
    <row r="401" spans="1:11">
      <c r="A401" s="17">
        <v>298</v>
      </c>
      <c r="B401" s="38">
        <v>1796</v>
      </c>
      <c r="C401" s="40">
        <v>3</v>
      </c>
      <c r="D401" s="40">
        <v>2</v>
      </c>
      <c r="K401">
        <f>INDEX(OutputValues,397,$J$4)</f>
        <v>1796</v>
      </c>
    </row>
    <row r="402" spans="1:11">
      <c r="A402" s="17">
        <v>298.5</v>
      </c>
      <c r="B402" s="38">
        <v>1797</v>
      </c>
      <c r="C402" s="40">
        <v>3</v>
      </c>
      <c r="D402" s="40">
        <v>2</v>
      </c>
      <c r="K402">
        <f>INDEX(OutputValues,398,$J$4)</f>
        <v>1797</v>
      </c>
    </row>
    <row r="403" spans="1:11">
      <c r="A403" s="17">
        <v>299</v>
      </c>
      <c r="B403" s="38">
        <v>1798</v>
      </c>
      <c r="C403" s="40">
        <v>3</v>
      </c>
      <c r="D403" s="40">
        <v>2</v>
      </c>
      <c r="K403">
        <f>INDEX(OutputValues,399,$J$4)</f>
        <v>1798</v>
      </c>
    </row>
    <row r="404" spans="1:11">
      <c r="A404" s="17">
        <v>299.5</v>
      </c>
      <c r="B404" s="38">
        <v>1799</v>
      </c>
      <c r="C404" s="40">
        <v>3</v>
      </c>
      <c r="D404" s="40">
        <v>2</v>
      </c>
      <c r="K404">
        <f>INDEX(OutputValues,400,$J$4)</f>
        <v>1799</v>
      </c>
    </row>
    <row r="405" spans="1:11">
      <c r="A405" s="17">
        <v>300</v>
      </c>
      <c r="B405" s="38">
        <v>1800</v>
      </c>
      <c r="C405" s="40">
        <v>3</v>
      </c>
      <c r="D405" s="40">
        <v>2</v>
      </c>
      <c r="K405">
        <f>INDEX(OutputValues,401,$J$4)</f>
        <v>1800</v>
      </c>
    </row>
    <row r="406" spans="1:11">
      <c r="A406" s="17">
        <v>300.5</v>
      </c>
      <c r="B406" s="38">
        <v>1801</v>
      </c>
      <c r="C406" s="40">
        <v>3</v>
      </c>
      <c r="D406" s="40">
        <v>2</v>
      </c>
      <c r="K406">
        <f>INDEX(OutputValues,402,$J$4)</f>
        <v>1801</v>
      </c>
    </row>
    <row r="407" spans="1:11">
      <c r="A407" s="17">
        <v>301</v>
      </c>
      <c r="B407" s="38">
        <v>1802</v>
      </c>
      <c r="C407" s="40">
        <v>3</v>
      </c>
      <c r="D407" s="40">
        <v>2</v>
      </c>
      <c r="K407">
        <f>INDEX(OutputValues,403,$J$4)</f>
        <v>1802</v>
      </c>
    </row>
    <row r="408" spans="1:11">
      <c r="A408" s="17">
        <v>301.5</v>
      </c>
      <c r="B408" s="38">
        <v>1803</v>
      </c>
      <c r="C408" s="40">
        <v>3</v>
      </c>
      <c r="D408" s="40">
        <v>2</v>
      </c>
      <c r="K408">
        <f>INDEX(OutputValues,404,$J$4)</f>
        <v>1803</v>
      </c>
    </row>
    <row r="409" spans="1:11">
      <c r="A409" s="17">
        <v>302</v>
      </c>
      <c r="B409" s="38">
        <v>1804</v>
      </c>
      <c r="C409" s="40">
        <v>3</v>
      </c>
      <c r="D409" s="40">
        <v>2</v>
      </c>
      <c r="K409">
        <f>INDEX(OutputValues,405,$J$4)</f>
        <v>1804</v>
      </c>
    </row>
    <row r="410" spans="1:11">
      <c r="A410" s="17">
        <v>302.5</v>
      </c>
      <c r="B410" s="38">
        <v>1805</v>
      </c>
      <c r="C410" s="40">
        <v>3</v>
      </c>
      <c r="D410" s="40">
        <v>2</v>
      </c>
      <c r="K410">
        <f>INDEX(OutputValues,406,$J$4)</f>
        <v>1805</v>
      </c>
    </row>
    <row r="411" spans="1:11">
      <c r="A411" s="17">
        <v>303</v>
      </c>
      <c r="B411" s="38">
        <v>1806</v>
      </c>
      <c r="C411" s="40">
        <v>3</v>
      </c>
      <c r="D411" s="40">
        <v>2</v>
      </c>
      <c r="K411">
        <f>INDEX(OutputValues,407,$J$4)</f>
        <v>1806</v>
      </c>
    </row>
    <row r="412" spans="1:11">
      <c r="A412" s="17">
        <v>303.5</v>
      </c>
      <c r="B412" s="38">
        <v>1807</v>
      </c>
      <c r="C412" s="40">
        <v>3</v>
      </c>
      <c r="D412" s="40">
        <v>2</v>
      </c>
      <c r="K412">
        <f>INDEX(OutputValues,408,$J$4)</f>
        <v>1807</v>
      </c>
    </row>
    <row r="413" spans="1:11">
      <c r="A413" s="17">
        <v>304</v>
      </c>
      <c r="B413" s="38">
        <v>1808</v>
      </c>
      <c r="C413" s="40">
        <v>3</v>
      </c>
      <c r="D413" s="40">
        <v>2</v>
      </c>
      <c r="K413">
        <f>INDEX(OutputValues,409,$J$4)</f>
        <v>1808</v>
      </c>
    </row>
    <row r="414" spans="1:11">
      <c r="A414" s="17">
        <v>304.5</v>
      </c>
      <c r="B414" s="38">
        <v>1809</v>
      </c>
      <c r="C414" s="40">
        <v>3</v>
      </c>
      <c r="D414" s="40">
        <v>2</v>
      </c>
      <c r="K414">
        <f>INDEX(OutputValues,410,$J$4)</f>
        <v>1809</v>
      </c>
    </row>
    <row r="415" spans="1:11">
      <c r="A415" s="17">
        <v>305</v>
      </c>
      <c r="B415" s="38">
        <v>1810</v>
      </c>
      <c r="C415" s="40">
        <v>3</v>
      </c>
      <c r="D415" s="40">
        <v>2</v>
      </c>
      <c r="K415">
        <f>INDEX(OutputValues,411,$J$4)</f>
        <v>1810</v>
      </c>
    </row>
    <row r="416" spans="1:11">
      <c r="A416" s="17">
        <v>305.5</v>
      </c>
      <c r="B416" s="38">
        <v>1811</v>
      </c>
      <c r="C416" s="40">
        <v>3</v>
      </c>
      <c r="D416" s="40">
        <v>2</v>
      </c>
      <c r="K416">
        <f>INDEX(OutputValues,412,$J$4)</f>
        <v>1811</v>
      </c>
    </row>
    <row r="417" spans="1:11">
      <c r="A417" s="17">
        <v>306</v>
      </c>
      <c r="B417" s="38">
        <v>1812</v>
      </c>
      <c r="C417" s="40">
        <v>3</v>
      </c>
      <c r="D417" s="40">
        <v>2</v>
      </c>
      <c r="K417">
        <f>INDEX(OutputValues,413,$J$4)</f>
        <v>1812</v>
      </c>
    </row>
    <row r="418" spans="1:11">
      <c r="A418" s="17">
        <v>306.5</v>
      </c>
      <c r="B418" s="38">
        <v>1813</v>
      </c>
      <c r="C418" s="40">
        <v>3</v>
      </c>
      <c r="D418" s="40">
        <v>2</v>
      </c>
      <c r="K418">
        <f>INDEX(OutputValues,414,$J$4)</f>
        <v>1813</v>
      </c>
    </row>
    <row r="419" spans="1:11">
      <c r="A419" s="17">
        <v>307</v>
      </c>
      <c r="B419" s="38">
        <v>1814</v>
      </c>
      <c r="C419" s="40">
        <v>3</v>
      </c>
      <c r="D419" s="40">
        <v>2</v>
      </c>
      <c r="K419">
        <f>INDEX(OutputValues,415,$J$4)</f>
        <v>1814</v>
      </c>
    </row>
    <row r="420" spans="1:11">
      <c r="A420" s="17">
        <v>307.5</v>
      </c>
      <c r="B420" s="38">
        <v>1815</v>
      </c>
      <c r="C420" s="40">
        <v>3</v>
      </c>
      <c r="D420" s="40">
        <v>2</v>
      </c>
      <c r="K420">
        <f>INDEX(OutputValues,416,$J$4)</f>
        <v>1815</v>
      </c>
    </row>
    <row r="421" spans="1:11">
      <c r="A421" s="17">
        <v>308</v>
      </c>
      <c r="B421" s="38">
        <v>1816</v>
      </c>
      <c r="C421" s="40">
        <v>3</v>
      </c>
      <c r="D421" s="40">
        <v>2</v>
      </c>
      <c r="K421">
        <f>INDEX(OutputValues,417,$J$4)</f>
        <v>1816</v>
      </c>
    </row>
    <row r="422" spans="1:11">
      <c r="A422" s="17">
        <v>308.5</v>
      </c>
      <c r="B422" s="38">
        <v>1817</v>
      </c>
      <c r="C422" s="40">
        <v>3</v>
      </c>
      <c r="D422" s="40">
        <v>2</v>
      </c>
      <c r="K422">
        <f>INDEX(OutputValues,418,$J$4)</f>
        <v>1817</v>
      </c>
    </row>
    <row r="423" spans="1:11">
      <c r="A423" s="17">
        <v>309</v>
      </c>
      <c r="B423" s="38">
        <v>1818</v>
      </c>
      <c r="C423" s="40">
        <v>3</v>
      </c>
      <c r="D423" s="40">
        <v>2</v>
      </c>
      <c r="K423">
        <f>INDEX(OutputValues,419,$J$4)</f>
        <v>1818</v>
      </c>
    </row>
    <row r="424" spans="1:11">
      <c r="A424" s="17">
        <v>309.5</v>
      </c>
      <c r="B424" s="38">
        <v>1819</v>
      </c>
      <c r="C424" s="40">
        <v>3</v>
      </c>
      <c r="D424" s="40">
        <v>2</v>
      </c>
      <c r="K424">
        <f>INDEX(OutputValues,420,$J$4)</f>
        <v>1819</v>
      </c>
    </row>
    <row r="425" spans="1:11">
      <c r="A425" s="17">
        <v>310</v>
      </c>
      <c r="B425" s="38">
        <v>1820</v>
      </c>
      <c r="C425" s="40">
        <v>3</v>
      </c>
      <c r="D425" s="40">
        <v>2</v>
      </c>
      <c r="K425">
        <f>INDEX(OutputValues,421,$J$4)</f>
        <v>1820</v>
      </c>
    </row>
    <row r="426" spans="1:11">
      <c r="A426" s="17">
        <v>310.5</v>
      </c>
      <c r="B426" s="38">
        <v>1821</v>
      </c>
      <c r="C426" s="40">
        <v>3</v>
      </c>
      <c r="D426" s="40">
        <v>2</v>
      </c>
      <c r="K426">
        <f>INDEX(OutputValues,422,$J$4)</f>
        <v>1821</v>
      </c>
    </row>
    <row r="427" spans="1:11">
      <c r="A427" s="17">
        <v>311</v>
      </c>
      <c r="B427" s="38">
        <v>1822</v>
      </c>
      <c r="C427" s="40">
        <v>3</v>
      </c>
      <c r="D427" s="40">
        <v>2</v>
      </c>
      <c r="K427">
        <f>INDEX(OutputValues,423,$J$4)</f>
        <v>1822</v>
      </c>
    </row>
    <row r="428" spans="1:11">
      <c r="A428" s="17">
        <v>311.5</v>
      </c>
      <c r="B428" s="38">
        <v>1823</v>
      </c>
      <c r="C428" s="40">
        <v>3</v>
      </c>
      <c r="D428" s="40">
        <v>2</v>
      </c>
      <c r="K428">
        <f>INDEX(OutputValues,424,$J$4)</f>
        <v>1823</v>
      </c>
    </row>
    <row r="429" spans="1:11">
      <c r="A429" s="17">
        <v>312</v>
      </c>
      <c r="B429" s="38">
        <v>1824</v>
      </c>
      <c r="C429" s="40">
        <v>3</v>
      </c>
      <c r="D429" s="40">
        <v>2</v>
      </c>
      <c r="K429">
        <f>INDEX(OutputValues,425,$J$4)</f>
        <v>1824</v>
      </c>
    </row>
    <row r="430" spans="1:11">
      <c r="A430" s="17">
        <v>312.5</v>
      </c>
      <c r="B430" s="38">
        <v>1825</v>
      </c>
      <c r="C430" s="40">
        <v>3</v>
      </c>
      <c r="D430" s="40">
        <v>2</v>
      </c>
      <c r="K430">
        <f>INDEX(OutputValues,426,$J$4)</f>
        <v>1825</v>
      </c>
    </row>
    <row r="431" spans="1:11">
      <c r="A431" s="17">
        <v>313</v>
      </c>
      <c r="B431" s="38">
        <v>1826</v>
      </c>
      <c r="C431" s="40">
        <v>3</v>
      </c>
      <c r="D431" s="40">
        <v>2</v>
      </c>
      <c r="K431">
        <f>INDEX(OutputValues,427,$J$4)</f>
        <v>1826</v>
      </c>
    </row>
    <row r="432" spans="1:11">
      <c r="A432" s="17">
        <v>313.5</v>
      </c>
      <c r="B432" s="38">
        <v>1827</v>
      </c>
      <c r="C432" s="40">
        <v>3</v>
      </c>
      <c r="D432" s="40">
        <v>2</v>
      </c>
      <c r="K432">
        <f>INDEX(OutputValues,428,$J$4)</f>
        <v>1827</v>
      </c>
    </row>
    <row r="433" spans="1:11">
      <c r="A433" s="17">
        <v>314</v>
      </c>
      <c r="B433" s="38">
        <v>1828</v>
      </c>
      <c r="C433" s="40">
        <v>3</v>
      </c>
      <c r="D433" s="40">
        <v>2</v>
      </c>
      <c r="K433">
        <f>INDEX(OutputValues,429,$J$4)</f>
        <v>1828</v>
      </c>
    </row>
    <row r="434" spans="1:11">
      <c r="A434" s="17">
        <v>314.5</v>
      </c>
      <c r="B434" s="38">
        <v>1829</v>
      </c>
      <c r="C434" s="40">
        <v>3</v>
      </c>
      <c r="D434" s="40">
        <v>2</v>
      </c>
      <c r="K434">
        <f>INDEX(OutputValues,430,$J$4)</f>
        <v>1829</v>
      </c>
    </row>
    <row r="435" spans="1:11">
      <c r="A435" s="17">
        <v>315</v>
      </c>
      <c r="B435" s="38">
        <v>1830</v>
      </c>
      <c r="C435" s="40">
        <v>3</v>
      </c>
      <c r="D435" s="40">
        <v>2</v>
      </c>
      <c r="K435">
        <f>INDEX(OutputValues,431,$J$4)</f>
        <v>1830</v>
      </c>
    </row>
    <row r="436" spans="1:11">
      <c r="A436" s="17">
        <v>315.5</v>
      </c>
      <c r="B436" s="38">
        <v>1831</v>
      </c>
      <c r="C436" s="40">
        <v>3</v>
      </c>
      <c r="D436" s="40">
        <v>2</v>
      </c>
      <c r="K436">
        <f>INDEX(OutputValues,432,$J$4)</f>
        <v>1831</v>
      </c>
    </row>
    <row r="437" spans="1:11">
      <c r="A437" s="17">
        <v>316</v>
      </c>
      <c r="B437" s="38">
        <v>1832</v>
      </c>
      <c r="C437" s="40">
        <v>3</v>
      </c>
      <c r="D437" s="40">
        <v>2</v>
      </c>
      <c r="K437">
        <f>INDEX(OutputValues,433,$J$4)</f>
        <v>1832</v>
      </c>
    </row>
    <row r="438" spans="1:11">
      <c r="A438" s="17">
        <v>316.5</v>
      </c>
      <c r="B438" s="38">
        <v>1833</v>
      </c>
      <c r="C438" s="40">
        <v>3</v>
      </c>
      <c r="D438" s="40">
        <v>2</v>
      </c>
      <c r="K438">
        <f>INDEX(OutputValues,434,$J$4)</f>
        <v>1833</v>
      </c>
    </row>
    <row r="439" spans="1:11">
      <c r="A439" s="17">
        <v>317</v>
      </c>
      <c r="B439" s="38">
        <v>1834</v>
      </c>
      <c r="C439" s="40">
        <v>3</v>
      </c>
      <c r="D439" s="40">
        <v>2</v>
      </c>
      <c r="K439">
        <f>INDEX(OutputValues,435,$J$4)</f>
        <v>1834</v>
      </c>
    </row>
    <row r="440" spans="1:11">
      <c r="A440" s="17">
        <v>317.5</v>
      </c>
      <c r="B440" s="38">
        <v>1835</v>
      </c>
      <c r="C440" s="40">
        <v>3</v>
      </c>
      <c r="D440" s="40">
        <v>2</v>
      </c>
      <c r="K440">
        <f>INDEX(OutputValues,436,$J$4)</f>
        <v>1835</v>
      </c>
    </row>
    <row r="441" spans="1:11">
      <c r="A441" s="17">
        <v>318</v>
      </c>
      <c r="B441" s="38">
        <v>1836</v>
      </c>
      <c r="C441" s="40">
        <v>3</v>
      </c>
      <c r="D441" s="40">
        <v>2</v>
      </c>
      <c r="K441">
        <f>INDEX(OutputValues,437,$J$4)</f>
        <v>1836</v>
      </c>
    </row>
    <row r="442" spans="1:11">
      <c r="A442" s="17">
        <v>318.5</v>
      </c>
      <c r="B442" s="38">
        <v>1837</v>
      </c>
      <c r="C442" s="40">
        <v>3</v>
      </c>
      <c r="D442" s="40">
        <v>2</v>
      </c>
      <c r="K442">
        <f>INDEX(OutputValues,438,$J$4)</f>
        <v>1837</v>
      </c>
    </row>
    <row r="443" spans="1:11">
      <c r="A443" s="17">
        <v>319</v>
      </c>
      <c r="B443" s="38">
        <v>1838</v>
      </c>
      <c r="C443" s="40">
        <v>3</v>
      </c>
      <c r="D443" s="40">
        <v>2</v>
      </c>
      <c r="K443">
        <f>INDEX(OutputValues,439,$J$4)</f>
        <v>1838</v>
      </c>
    </row>
    <row r="444" spans="1:11">
      <c r="A444" s="17">
        <v>319.5</v>
      </c>
      <c r="B444" s="38">
        <v>1839</v>
      </c>
      <c r="C444" s="40">
        <v>3</v>
      </c>
      <c r="D444" s="40">
        <v>2</v>
      </c>
      <c r="K444">
        <f>INDEX(OutputValues,440,$J$4)</f>
        <v>1839</v>
      </c>
    </row>
    <row r="445" spans="1:11">
      <c r="A445" s="17">
        <v>320</v>
      </c>
      <c r="B445" s="38">
        <v>1840</v>
      </c>
      <c r="C445" s="40">
        <v>3</v>
      </c>
      <c r="D445" s="40">
        <v>2</v>
      </c>
      <c r="K445">
        <f>INDEX(OutputValues,441,$J$4)</f>
        <v>1840</v>
      </c>
    </row>
    <row r="446" spans="1:11">
      <c r="A446" s="17">
        <v>320.5</v>
      </c>
      <c r="B446" s="38">
        <v>1841</v>
      </c>
      <c r="C446" s="40">
        <v>3</v>
      </c>
      <c r="D446" s="40">
        <v>2</v>
      </c>
      <c r="K446">
        <f>INDEX(OutputValues,442,$J$4)</f>
        <v>1841</v>
      </c>
    </row>
    <row r="447" spans="1:11">
      <c r="A447" s="17">
        <v>321</v>
      </c>
      <c r="B447" s="38">
        <v>1842</v>
      </c>
      <c r="C447" s="40">
        <v>3</v>
      </c>
      <c r="D447" s="40">
        <v>2</v>
      </c>
      <c r="K447">
        <f>INDEX(OutputValues,443,$J$4)</f>
        <v>1842</v>
      </c>
    </row>
    <row r="448" spans="1:11">
      <c r="A448" s="17">
        <v>321.5</v>
      </c>
      <c r="B448" s="38">
        <v>1843</v>
      </c>
      <c r="C448" s="40">
        <v>3</v>
      </c>
      <c r="D448" s="40">
        <v>2</v>
      </c>
      <c r="K448">
        <f>INDEX(OutputValues,444,$J$4)</f>
        <v>1843</v>
      </c>
    </row>
    <row r="449" spans="1:11">
      <c r="A449" s="17">
        <v>322</v>
      </c>
      <c r="B449" s="38">
        <v>1844</v>
      </c>
      <c r="C449" s="40">
        <v>3</v>
      </c>
      <c r="D449" s="40">
        <v>2</v>
      </c>
      <c r="K449">
        <f>INDEX(OutputValues,445,$J$4)</f>
        <v>1844</v>
      </c>
    </row>
    <row r="450" spans="1:11">
      <c r="A450" s="17">
        <v>322.5</v>
      </c>
      <c r="B450" s="38">
        <v>1845</v>
      </c>
      <c r="C450" s="40">
        <v>3</v>
      </c>
      <c r="D450" s="40">
        <v>2</v>
      </c>
      <c r="K450">
        <f>INDEX(OutputValues,446,$J$4)</f>
        <v>1845</v>
      </c>
    </row>
    <row r="451" spans="1:11">
      <c r="A451" s="17">
        <v>323</v>
      </c>
      <c r="B451" s="38">
        <v>1846</v>
      </c>
      <c r="C451" s="40">
        <v>3</v>
      </c>
      <c r="D451" s="40">
        <v>2</v>
      </c>
      <c r="K451">
        <f>INDEX(OutputValues,447,$J$4)</f>
        <v>1846</v>
      </c>
    </row>
    <row r="452" spans="1:11">
      <c r="A452" s="17">
        <v>323.5</v>
      </c>
      <c r="B452" s="38">
        <v>1847</v>
      </c>
      <c r="C452" s="40">
        <v>3</v>
      </c>
      <c r="D452" s="40">
        <v>2</v>
      </c>
      <c r="K452">
        <f>INDEX(OutputValues,448,$J$4)</f>
        <v>1847</v>
      </c>
    </row>
    <row r="453" spans="1:11">
      <c r="A453" s="17">
        <v>324</v>
      </c>
      <c r="B453" s="38">
        <v>1848</v>
      </c>
      <c r="C453" s="40">
        <v>3</v>
      </c>
      <c r="D453" s="40">
        <v>2</v>
      </c>
      <c r="K453">
        <f>INDEX(OutputValues,449,$J$4)</f>
        <v>1848</v>
      </c>
    </row>
    <row r="454" spans="1:11">
      <c r="A454" s="17">
        <v>324.5</v>
      </c>
      <c r="B454" s="38">
        <v>1849</v>
      </c>
      <c r="C454" s="40">
        <v>3</v>
      </c>
      <c r="D454" s="40">
        <v>2</v>
      </c>
      <c r="K454">
        <f>INDEX(OutputValues,450,$J$4)</f>
        <v>1849</v>
      </c>
    </row>
    <row r="455" spans="1:11">
      <c r="A455" s="17">
        <v>325</v>
      </c>
      <c r="B455" s="38">
        <v>1850</v>
      </c>
      <c r="C455" s="40">
        <v>3</v>
      </c>
      <c r="D455" s="40">
        <v>2</v>
      </c>
      <c r="K455">
        <f>INDEX(OutputValues,451,$J$4)</f>
        <v>1850</v>
      </c>
    </row>
    <row r="456" spans="1:11">
      <c r="A456" s="17">
        <v>325.5</v>
      </c>
      <c r="B456" s="38">
        <v>1851</v>
      </c>
      <c r="C456" s="40">
        <v>3</v>
      </c>
      <c r="D456" s="40">
        <v>2</v>
      </c>
      <c r="K456">
        <f>INDEX(OutputValues,452,$J$4)</f>
        <v>1851</v>
      </c>
    </row>
    <row r="457" spans="1:11">
      <c r="A457" s="17">
        <v>326</v>
      </c>
      <c r="B457" s="38">
        <v>1852</v>
      </c>
      <c r="C457" s="40">
        <v>3</v>
      </c>
      <c r="D457" s="40">
        <v>2</v>
      </c>
      <c r="K457">
        <f>INDEX(OutputValues,453,$J$4)</f>
        <v>1852</v>
      </c>
    </row>
    <row r="458" spans="1:11">
      <c r="A458" s="17">
        <v>326.5</v>
      </c>
      <c r="B458" s="38">
        <v>1853</v>
      </c>
      <c r="C458" s="40">
        <v>3</v>
      </c>
      <c r="D458" s="40">
        <v>2</v>
      </c>
      <c r="K458">
        <f>INDEX(OutputValues,454,$J$4)</f>
        <v>1853</v>
      </c>
    </row>
    <row r="459" spans="1:11">
      <c r="A459" s="17">
        <v>327</v>
      </c>
      <c r="B459" s="38">
        <v>1854</v>
      </c>
      <c r="C459" s="40">
        <v>3</v>
      </c>
      <c r="D459" s="40">
        <v>2</v>
      </c>
      <c r="K459">
        <f>INDEX(OutputValues,455,$J$4)</f>
        <v>1854</v>
      </c>
    </row>
    <row r="460" spans="1:11">
      <c r="A460" s="17">
        <v>327.5</v>
      </c>
      <c r="B460" s="38">
        <v>1855</v>
      </c>
      <c r="C460" s="40">
        <v>3</v>
      </c>
      <c r="D460" s="40">
        <v>2</v>
      </c>
      <c r="K460">
        <f>INDEX(OutputValues,456,$J$4)</f>
        <v>1855</v>
      </c>
    </row>
    <row r="461" spans="1:11">
      <c r="A461" s="17">
        <v>328</v>
      </c>
      <c r="B461" s="38">
        <v>1856</v>
      </c>
      <c r="C461" s="40">
        <v>3</v>
      </c>
      <c r="D461" s="40">
        <v>2</v>
      </c>
      <c r="K461">
        <f>INDEX(OutputValues,457,$J$4)</f>
        <v>1856</v>
      </c>
    </row>
    <row r="462" spans="1:11">
      <c r="A462" s="17">
        <v>328.5</v>
      </c>
      <c r="B462" s="38">
        <v>1857</v>
      </c>
      <c r="C462" s="40">
        <v>3</v>
      </c>
      <c r="D462" s="40">
        <v>2</v>
      </c>
      <c r="K462">
        <f>INDEX(OutputValues,458,$J$4)</f>
        <v>1857</v>
      </c>
    </row>
    <row r="463" spans="1:11">
      <c r="A463" s="17">
        <v>329</v>
      </c>
      <c r="B463" s="38">
        <v>1858</v>
      </c>
      <c r="C463" s="40">
        <v>3</v>
      </c>
      <c r="D463" s="40">
        <v>2</v>
      </c>
      <c r="K463">
        <f>INDEX(OutputValues,459,$J$4)</f>
        <v>1858</v>
      </c>
    </row>
    <row r="464" spans="1:11">
      <c r="A464" s="17">
        <v>329.5</v>
      </c>
      <c r="B464" s="38">
        <v>1859</v>
      </c>
      <c r="C464" s="40">
        <v>3</v>
      </c>
      <c r="D464" s="40">
        <v>2</v>
      </c>
      <c r="K464">
        <f>INDEX(OutputValues,460,$J$4)</f>
        <v>1859</v>
      </c>
    </row>
    <row r="465" spans="1:11">
      <c r="A465" s="17">
        <v>330</v>
      </c>
      <c r="B465" s="38">
        <v>1860</v>
      </c>
      <c r="C465" s="40">
        <v>3</v>
      </c>
      <c r="D465" s="40">
        <v>2</v>
      </c>
      <c r="K465">
        <f>INDEX(OutputValues,461,$J$4)</f>
        <v>1860</v>
      </c>
    </row>
    <row r="466" spans="1:11">
      <c r="A466" s="17">
        <v>330.5</v>
      </c>
      <c r="B466" s="38">
        <v>1861</v>
      </c>
      <c r="C466" s="40">
        <v>3</v>
      </c>
      <c r="D466" s="40">
        <v>2</v>
      </c>
      <c r="K466">
        <f>INDEX(OutputValues,462,$J$4)</f>
        <v>1861</v>
      </c>
    </row>
    <row r="467" spans="1:11">
      <c r="A467" s="17">
        <v>331</v>
      </c>
      <c r="B467" s="38">
        <v>1862</v>
      </c>
      <c r="C467" s="40">
        <v>3</v>
      </c>
      <c r="D467" s="40">
        <v>2</v>
      </c>
      <c r="K467">
        <f>INDEX(OutputValues,463,$J$4)</f>
        <v>1862</v>
      </c>
    </row>
    <row r="468" spans="1:11">
      <c r="A468" s="17">
        <v>331.5</v>
      </c>
      <c r="B468" s="38">
        <v>1863</v>
      </c>
      <c r="C468" s="40">
        <v>3</v>
      </c>
      <c r="D468" s="40">
        <v>2</v>
      </c>
      <c r="K468">
        <f>INDEX(OutputValues,464,$J$4)</f>
        <v>1863</v>
      </c>
    </row>
    <row r="469" spans="1:11">
      <c r="A469" s="17">
        <v>332</v>
      </c>
      <c r="B469" s="38">
        <v>1864</v>
      </c>
      <c r="C469" s="40">
        <v>3</v>
      </c>
      <c r="D469" s="40">
        <v>2</v>
      </c>
      <c r="K469">
        <f>INDEX(OutputValues,465,$J$4)</f>
        <v>1864</v>
      </c>
    </row>
    <row r="470" spans="1:11">
      <c r="A470" s="17">
        <v>332.5</v>
      </c>
      <c r="B470" s="38">
        <v>1865</v>
      </c>
      <c r="C470" s="40">
        <v>3</v>
      </c>
      <c r="D470" s="40">
        <v>2</v>
      </c>
      <c r="K470">
        <f>INDEX(OutputValues,466,$J$4)</f>
        <v>1865</v>
      </c>
    </row>
    <row r="471" spans="1:11">
      <c r="A471" s="17">
        <v>333</v>
      </c>
      <c r="B471" s="38">
        <v>1866</v>
      </c>
      <c r="C471" s="40">
        <v>3</v>
      </c>
      <c r="D471" s="40">
        <v>2</v>
      </c>
      <c r="K471">
        <f>INDEX(OutputValues,467,$J$4)</f>
        <v>1866</v>
      </c>
    </row>
    <row r="472" spans="1:11">
      <c r="A472" s="17">
        <v>333.5</v>
      </c>
      <c r="B472" s="38">
        <v>1867</v>
      </c>
      <c r="C472" s="40">
        <v>3</v>
      </c>
      <c r="D472" s="40">
        <v>2</v>
      </c>
      <c r="K472">
        <f>INDEX(OutputValues,468,$J$4)</f>
        <v>1867</v>
      </c>
    </row>
    <row r="473" spans="1:11">
      <c r="A473" s="17">
        <v>334</v>
      </c>
      <c r="B473" s="38">
        <v>1868</v>
      </c>
      <c r="C473" s="40">
        <v>3</v>
      </c>
      <c r="D473" s="40">
        <v>2</v>
      </c>
      <c r="K473">
        <f>INDEX(OutputValues,469,$J$4)</f>
        <v>1868</v>
      </c>
    </row>
    <row r="474" spans="1:11">
      <c r="A474" s="17">
        <v>334.5</v>
      </c>
      <c r="B474" s="38">
        <v>1869</v>
      </c>
      <c r="C474" s="40">
        <v>3</v>
      </c>
      <c r="D474" s="40">
        <v>2</v>
      </c>
      <c r="K474">
        <f>INDEX(OutputValues,470,$J$4)</f>
        <v>1869</v>
      </c>
    </row>
    <row r="475" spans="1:11">
      <c r="A475" s="17">
        <v>335</v>
      </c>
      <c r="B475" s="38">
        <v>1870</v>
      </c>
      <c r="C475" s="40">
        <v>3</v>
      </c>
      <c r="D475" s="40">
        <v>2</v>
      </c>
      <c r="K475">
        <f>INDEX(OutputValues,471,$J$4)</f>
        <v>1870</v>
      </c>
    </row>
    <row r="476" spans="1:11">
      <c r="A476" s="17">
        <v>335.5</v>
      </c>
      <c r="B476" s="38">
        <v>1871</v>
      </c>
      <c r="C476" s="40">
        <v>3</v>
      </c>
      <c r="D476" s="40">
        <v>2</v>
      </c>
      <c r="K476">
        <f>INDEX(OutputValues,472,$J$4)</f>
        <v>1871</v>
      </c>
    </row>
    <row r="477" spans="1:11">
      <c r="A477" s="17">
        <v>336</v>
      </c>
      <c r="B477" s="38">
        <v>1872</v>
      </c>
      <c r="C477" s="40">
        <v>3</v>
      </c>
      <c r="D477" s="40">
        <v>2</v>
      </c>
      <c r="K477">
        <f>INDEX(OutputValues,473,$J$4)</f>
        <v>1872</v>
      </c>
    </row>
    <row r="478" spans="1:11">
      <c r="A478" s="17">
        <v>336.5</v>
      </c>
      <c r="B478" s="38">
        <v>1873</v>
      </c>
      <c r="C478" s="40">
        <v>3</v>
      </c>
      <c r="D478" s="40">
        <v>2</v>
      </c>
      <c r="K478">
        <f>INDEX(OutputValues,474,$J$4)</f>
        <v>1873</v>
      </c>
    </row>
    <row r="479" spans="1:11">
      <c r="A479" s="17">
        <v>337</v>
      </c>
      <c r="B479" s="38">
        <v>1874</v>
      </c>
      <c r="C479" s="40">
        <v>3</v>
      </c>
      <c r="D479" s="40">
        <v>2</v>
      </c>
      <c r="K479">
        <f>INDEX(OutputValues,475,$J$4)</f>
        <v>1874</v>
      </c>
    </row>
    <row r="480" spans="1:11">
      <c r="A480" s="17">
        <v>337.5</v>
      </c>
      <c r="B480" s="38">
        <v>1875</v>
      </c>
      <c r="C480" s="40">
        <v>3</v>
      </c>
      <c r="D480" s="40">
        <v>2</v>
      </c>
      <c r="K480">
        <f>INDEX(OutputValues,476,$J$4)</f>
        <v>1875</v>
      </c>
    </row>
    <row r="481" spans="1:11">
      <c r="A481" s="17">
        <v>338</v>
      </c>
      <c r="B481" s="38">
        <v>1876</v>
      </c>
      <c r="C481" s="40">
        <v>3</v>
      </c>
      <c r="D481" s="40">
        <v>2</v>
      </c>
      <c r="K481">
        <f>INDEX(OutputValues,477,$J$4)</f>
        <v>1876</v>
      </c>
    </row>
    <row r="482" spans="1:11">
      <c r="A482" s="17">
        <v>338.5</v>
      </c>
      <c r="B482" s="38">
        <v>1877</v>
      </c>
      <c r="C482" s="40">
        <v>3</v>
      </c>
      <c r="D482" s="40">
        <v>2</v>
      </c>
      <c r="K482">
        <f>INDEX(OutputValues,478,$J$4)</f>
        <v>1877</v>
      </c>
    </row>
    <row r="483" spans="1:11">
      <c r="A483" s="17">
        <v>339</v>
      </c>
      <c r="B483" s="38">
        <v>1878</v>
      </c>
      <c r="C483" s="40">
        <v>3</v>
      </c>
      <c r="D483" s="40">
        <v>2</v>
      </c>
      <c r="K483">
        <f>INDEX(OutputValues,479,$J$4)</f>
        <v>1878</v>
      </c>
    </row>
    <row r="484" spans="1:11">
      <c r="A484" s="17">
        <v>339.5</v>
      </c>
      <c r="B484" s="38">
        <v>1879</v>
      </c>
      <c r="C484" s="40">
        <v>3</v>
      </c>
      <c r="D484" s="40">
        <v>2</v>
      </c>
      <c r="K484">
        <f>INDEX(OutputValues,480,$J$4)</f>
        <v>1879</v>
      </c>
    </row>
    <row r="485" spans="1:11">
      <c r="A485" s="17">
        <v>340</v>
      </c>
      <c r="B485" s="38">
        <v>1880</v>
      </c>
      <c r="C485" s="40">
        <v>3</v>
      </c>
      <c r="D485" s="40">
        <v>2</v>
      </c>
      <c r="K485">
        <f>INDEX(OutputValues,481,$J$4)</f>
        <v>1880</v>
      </c>
    </row>
    <row r="486" spans="1:11">
      <c r="A486" s="17">
        <v>340.5</v>
      </c>
      <c r="B486" s="38">
        <v>1881</v>
      </c>
      <c r="C486" s="40">
        <v>3</v>
      </c>
      <c r="D486" s="40">
        <v>2</v>
      </c>
      <c r="K486">
        <f>INDEX(OutputValues,482,$J$4)</f>
        <v>1881</v>
      </c>
    </row>
    <row r="487" spans="1:11">
      <c r="A487" s="17">
        <v>341</v>
      </c>
      <c r="B487" s="38">
        <v>1882</v>
      </c>
      <c r="C487" s="40">
        <v>3</v>
      </c>
      <c r="D487" s="40">
        <v>2</v>
      </c>
      <c r="K487">
        <f>INDEX(OutputValues,483,$J$4)</f>
        <v>1882</v>
      </c>
    </row>
    <row r="488" spans="1:11">
      <c r="A488" s="17">
        <v>341.5</v>
      </c>
      <c r="B488" s="38">
        <v>1883</v>
      </c>
      <c r="C488" s="40">
        <v>3</v>
      </c>
      <c r="D488" s="40">
        <v>2</v>
      </c>
      <c r="K488">
        <f>INDEX(OutputValues,484,$J$4)</f>
        <v>1883</v>
      </c>
    </row>
    <row r="489" spans="1:11">
      <c r="A489" s="17">
        <v>342</v>
      </c>
      <c r="B489" s="38">
        <v>1884</v>
      </c>
      <c r="C489" s="40">
        <v>3</v>
      </c>
      <c r="D489" s="40">
        <v>2</v>
      </c>
      <c r="K489">
        <f>INDEX(OutputValues,485,$J$4)</f>
        <v>1884</v>
      </c>
    </row>
    <row r="490" spans="1:11">
      <c r="A490" s="17">
        <v>342.5</v>
      </c>
      <c r="B490" s="38">
        <v>1885</v>
      </c>
      <c r="C490" s="40">
        <v>3</v>
      </c>
      <c r="D490" s="40">
        <v>2</v>
      </c>
      <c r="K490">
        <f>INDEX(OutputValues,486,$J$4)</f>
        <v>1885</v>
      </c>
    </row>
    <row r="491" spans="1:11">
      <c r="A491" s="17">
        <v>343</v>
      </c>
      <c r="B491" s="38">
        <v>1886</v>
      </c>
      <c r="C491" s="40">
        <v>3</v>
      </c>
      <c r="D491" s="40">
        <v>2</v>
      </c>
      <c r="K491">
        <f>INDEX(OutputValues,487,$J$4)</f>
        <v>1886</v>
      </c>
    </row>
    <row r="492" spans="1:11">
      <c r="A492" s="17">
        <v>343.5</v>
      </c>
      <c r="B492" s="38">
        <v>1887</v>
      </c>
      <c r="C492" s="40">
        <v>3</v>
      </c>
      <c r="D492" s="40">
        <v>2</v>
      </c>
      <c r="K492">
        <f>INDEX(OutputValues,488,$J$4)</f>
        <v>1887</v>
      </c>
    </row>
    <row r="493" spans="1:11">
      <c r="A493" s="17">
        <v>344</v>
      </c>
      <c r="B493" s="38">
        <v>1888</v>
      </c>
      <c r="C493" s="40">
        <v>3</v>
      </c>
      <c r="D493" s="40">
        <v>2</v>
      </c>
      <c r="K493">
        <f>INDEX(OutputValues,489,$J$4)</f>
        <v>1888</v>
      </c>
    </row>
    <row r="494" spans="1:11">
      <c r="A494" s="17">
        <v>344.5</v>
      </c>
      <c r="B494" s="38">
        <v>1889</v>
      </c>
      <c r="C494" s="40">
        <v>3</v>
      </c>
      <c r="D494" s="40">
        <v>2</v>
      </c>
      <c r="K494">
        <f>INDEX(OutputValues,490,$J$4)</f>
        <v>1889</v>
      </c>
    </row>
    <row r="495" spans="1:11">
      <c r="A495" s="17">
        <v>345</v>
      </c>
      <c r="B495" s="38">
        <v>1890</v>
      </c>
      <c r="C495" s="40">
        <v>3</v>
      </c>
      <c r="D495" s="40">
        <v>2</v>
      </c>
      <c r="K495">
        <f>INDEX(OutputValues,491,$J$4)</f>
        <v>1890</v>
      </c>
    </row>
    <row r="496" spans="1:11">
      <c r="A496" s="17">
        <v>345.5</v>
      </c>
      <c r="B496" s="38">
        <v>1891</v>
      </c>
      <c r="C496" s="40">
        <v>3</v>
      </c>
      <c r="D496" s="40">
        <v>2</v>
      </c>
      <c r="K496">
        <f>INDEX(OutputValues,492,$J$4)</f>
        <v>1891</v>
      </c>
    </row>
    <row r="497" spans="1:11">
      <c r="A497" s="17">
        <v>346</v>
      </c>
      <c r="B497" s="38">
        <v>1892</v>
      </c>
      <c r="C497" s="40">
        <v>3</v>
      </c>
      <c r="D497" s="40">
        <v>2</v>
      </c>
      <c r="K497">
        <f>INDEX(OutputValues,493,$J$4)</f>
        <v>1892</v>
      </c>
    </row>
    <row r="498" spans="1:11">
      <c r="A498" s="17">
        <v>346.5</v>
      </c>
      <c r="B498" s="38">
        <v>1893</v>
      </c>
      <c r="C498" s="40">
        <v>3</v>
      </c>
      <c r="D498" s="40">
        <v>2</v>
      </c>
      <c r="K498">
        <f>INDEX(OutputValues,494,$J$4)</f>
        <v>1893</v>
      </c>
    </row>
    <row r="499" spans="1:11">
      <c r="A499" s="17">
        <v>347</v>
      </c>
      <c r="B499" s="38">
        <v>1894</v>
      </c>
      <c r="C499" s="40">
        <v>3</v>
      </c>
      <c r="D499" s="40">
        <v>2</v>
      </c>
      <c r="K499">
        <f>INDEX(OutputValues,495,$J$4)</f>
        <v>1894</v>
      </c>
    </row>
    <row r="500" spans="1:11">
      <c r="A500" s="17">
        <v>347.5</v>
      </c>
      <c r="B500" s="38">
        <v>1895</v>
      </c>
      <c r="C500" s="40">
        <v>3</v>
      </c>
      <c r="D500" s="40">
        <v>2</v>
      </c>
      <c r="K500">
        <f>INDEX(OutputValues,496,$J$4)</f>
        <v>1895</v>
      </c>
    </row>
    <row r="501" spans="1:11">
      <c r="A501" s="17">
        <v>348</v>
      </c>
      <c r="B501" s="38">
        <v>1896</v>
      </c>
      <c r="C501" s="40">
        <v>3</v>
      </c>
      <c r="D501" s="40">
        <v>2</v>
      </c>
      <c r="K501">
        <f>INDEX(OutputValues,497,$J$4)</f>
        <v>1896</v>
      </c>
    </row>
    <row r="502" spans="1:11">
      <c r="A502" s="17">
        <v>348.5</v>
      </c>
      <c r="B502" s="38">
        <v>1897</v>
      </c>
      <c r="C502" s="40">
        <v>3</v>
      </c>
      <c r="D502" s="40">
        <v>2</v>
      </c>
      <c r="K502">
        <f>INDEX(OutputValues,498,$J$4)</f>
        <v>1897</v>
      </c>
    </row>
    <row r="503" spans="1:11">
      <c r="A503" s="17">
        <v>349</v>
      </c>
      <c r="B503" s="38">
        <v>1898</v>
      </c>
      <c r="C503" s="40">
        <v>3</v>
      </c>
      <c r="D503" s="40">
        <v>2</v>
      </c>
      <c r="K503">
        <f>INDEX(OutputValues,499,$J$4)</f>
        <v>1898</v>
      </c>
    </row>
    <row r="504" spans="1:11">
      <c r="A504" s="17">
        <v>349.5</v>
      </c>
      <c r="B504" s="38">
        <v>1899</v>
      </c>
      <c r="C504" s="40">
        <v>3</v>
      </c>
      <c r="D504" s="40">
        <v>2</v>
      </c>
      <c r="K504">
        <f>INDEX(OutputValues,500,$J$4)</f>
        <v>1899</v>
      </c>
    </row>
    <row r="505" spans="1:11">
      <c r="A505" s="17">
        <v>350</v>
      </c>
      <c r="B505" s="38">
        <v>1900</v>
      </c>
      <c r="C505" s="40">
        <v>3</v>
      </c>
      <c r="D505" s="40">
        <v>2</v>
      </c>
      <c r="K505">
        <f>INDEX(OutputValues,501,$J$4)</f>
        <v>1900</v>
      </c>
    </row>
    <row r="506" spans="1:11">
      <c r="A506" s="17">
        <v>350.5</v>
      </c>
      <c r="B506" s="38">
        <v>1901</v>
      </c>
      <c r="C506" s="40">
        <v>3</v>
      </c>
      <c r="D506" s="40">
        <v>2</v>
      </c>
      <c r="K506">
        <f>INDEX(OutputValues,502,$J$4)</f>
        <v>1901</v>
      </c>
    </row>
    <row r="507" spans="1:11">
      <c r="A507" s="17">
        <v>351</v>
      </c>
      <c r="B507" s="38">
        <v>1902</v>
      </c>
      <c r="C507" s="40">
        <v>3</v>
      </c>
      <c r="D507" s="40">
        <v>2</v>
      </c>
      <c r="K507">
        <f>INDEX(OutputValues,503,$J$4)</f>
        <v>1902</v>
      </c>
    </row>
    <row r="508" spans="1:11">
      <c r="A508" s="17">
        <v>351.5</v>
      </c>
      <c r="B508" s="38">
        <v>1903</v>
      </c>
      <c r="C508" s="40">
        <v>3</v>
      </c>
      <c r="D508" s="40">
        <v>2</v>
      </c>
      <c r="K508">
        <f>INDEX(OutputValues,504,$J$4)</f>
        <v>1903</v>
      </c>
    </row>
    <row r="509" spans="1:11">
      <c r="A509" s="17">
        <v>352</v>
      </c>
      <c r="B509" s="38">
        <v>1904</v>
      </c>
      <c r="C509" s="40">
        <v>3</v>
      </c>
      <c r="D509" s="40">
        <v>2</v>
      </c>
      <c r="K509">
        <f>INDEX(OutputValues,505,$J$4)</f>
        <v>1904</v>
      </c>
    </row>
    <row r="510" spans="1:11">
      <c r="A510" s="17">
        <v>352.5</v>
      </c>
      <c r="B510" s="38">
        <v>1905</v>
      </c>
      <c r="C510" s="40">
        <v>3</v>
      </c>
      <c r="D510" s="40">
        <v>2</v>
      </c>
      <c r="K510">
        <f>INDEX(OutputValues,506,$J$4)</f>
        <v>1905</v>
      </c>
    </row>
    <row r="511" spans="1:11">
      <c r="A511" s="17">
        <v>353</v>
      </c>
      <c r="B511" s="38">
        <v>1906</v>
      </c>
      <c r="C511" s="40">
        <v>3</v>
      </c>
      <c r="D511" s="40">
        <v>2</v>
      </c>
      <c r="K511">
        <f>INDEX(OutputValues,507,$J$4)</f>
        <v>1906</v>
      </c>
    </row>
    <row r="512" spans="1:11">
      <c r="A512" s="17">
        <v>353.5</v>
      </c>
      <c r="B512" s="38">
        <v>1907</v>
      </c>
      <c r="C512" s="40">
        <v>3</v>
      </c>
      <c r="D512" s="40">
        <v>2</v>
      </c>
      <c r="K512">
        <f>INDEX(OutputValues,508,$J$4)</f>
        <v>1907</v>
      </c>
    </row>
    <row r="513" spans="1:11">
      <c r="A513" s="17">
        <v>354</v>
      </c>
      <c r="B513" s="38">
        <v>1908</v>
      </c>
      <c r="C513" s="40">
        <v>3</v>
      </c>
      <c r="D513" s="40">
        <v>2</v>
      </c>
      <c r="K513">
        <f>INDEX(OutputValues,509,$J$4)</f>
        <v>1908</v>
      </c>
    </row>
    <row r="514" spans="1:11">
      <c r="A514" s="17">
        <v>354.5</v>
      </c>
      <c r="B514" s="38">
        <v>1909</v>
      </c>
      <c r="C514" s="40">
        <v>3</v>
      </c>
      <c r="D514" s="40">
        <v>2</v>
      </c>
      <c r="K514">
        <f>INDEX(OutputValues,510,$J$4)</f>
        <v>1909</v>
      </c>
    </row>
    <row r="515" spans="1:11">
      <c r="A515" s="17">
        <v>355</v>
      </c>
      <c r="B515" s="38">
        <v>1910</v>
      </c>
      <c r="C515" s="40">
        <v>3</v>
      </c>
      <c r="D515" s="40">
        <v>2</v>
      </c>
      <c r="K515">
        <f>INDEX(OutputValues,511,$J$4)</f>
        <v>1910</v>
      </c>
    </row>
    <row r="516" spans="1:11">
      <c r="A516" s="17">
        <v>355.5</v>
      </c>
      <c r="B516" s="38">
        <v>1911</v>
      </c>
      <c r="C516" s="40">
        <v>3</v>
      </c>
      <c r="D516" s="40">
        <v>2</v>
      </c>
      <c r="K516">
        <f>INDEX(OutputValues,512,$J$4)</f>
        <v>1911</v>
      </c>
    </row>
    <row r="517" spans="1:11">
      <c r="A517" s="17">
        <v>356</v>
      </c>
      <c r="B517" s="38">
        <v>1912</v>
      </c>
      <c r="C517" s="40">
        <v>3</v>
      </c>
      <c r="D517" s="40">
        <v>2</v>
      </c>
      <c r="K517">
        <f>INDEX(OutputValues,513,$J$4)</f>
        <v>1912</v>
      </c>
    </row>
    <row r="518" spans="1:11">
      <c r="A518" s="17">
        <v>356.5</v>
      </c>
      <c r="B518" s="38">
        <v>1913</v>
      </c>
      <c r="C518" s="40">
        <v>3</v>
      </c>
      <c r="D518" s="40">
        <v>2</v>
      </c>
      <c r="K518">
        <f>INDEX(OutputValues,514,$J$4)</f>
        <v>1913</v>
      </c>
    </row>
    <row r="519" spans="1:11">
      <c r="A519" s="17">
        <v>357</v>
      </c>
      <c r="B519" s="38">
        <v>1914</v>
      </c>
      <c r="C519" s="40">
        <v>3</v>
      </c>
      <c r="D519" s="40">
        <v>2</v>
      </c>
      <c r="K519">
        <f>INDEX(OutputValues,515,$J$4)</f>
        <v>1914</v>
      </c>
    </row>
    <row r="520" spans="1:11">
      <c r="A520" s="17">
        <v>357.5</v>
      </c>
      <c r="B520" s="38">
        <v>1915</v>
      </c>
      <c r="C520" s="40">
        <v>3</v>
      </c>
      <c r="D520" s="40">
        <v>2</v>
      </c>
      <c r="K520">
        <f>INDEX(OutputValues,516,$J$4)</f>
        <v>1915</v>
      </c>
    </row>
    <row r="521" spans="1:11">
      <c r="A521" s="17">
        <v>358</v>
      </c>
      <c r="B521" s="38">
        <v>1916</v>
      </c>
      <c r="C521" s="40">
        <v>3</v>
      </c>
      <c r="D521" s="40">
        <v>2</v>
      </c>
      <c r="K521">
        <f>INDEX(OutputValues,517,$J$4)</f>
        <v>1916</v>
      </c>
    </row>
    <row r="522" spans="1:11">
      <c r="A522" s="17">
        <v>358.5</v>
      </c>
      <c r="B522" s="38">
        <v>1917</v>
      </c>
      <c r="C522" s="40">
        <v>3</v>
      </c>
      <c r="D522" s="40">
        <v>2</v>
      </c>
      <c r="K522">
        <f>INDEX(OutputValues,518,$J$4)</f>
        <v>1917</v>
      </c>
    </row>
    <row r="523" spans="1:11">
      <c r="A523" s="17">
        <v>359</v>
      </c>
      <c r="B523" s="38">
        <v>1918</v>
      </c>
      <c r="C523" s="40">
        <v>3</v>
      </c>
      <c r="D523" s="40">
        <v>2</v>
      </c>
      <c r="K523">
        <f>INDEX(OutputValues,519,$J$4)</f>
        <v>1918</v>
      </c>
    </row>
    <row r="524" spans="1:11">
      <c r="A524" s="17">
        <v>359.5</v>
      </c>
      <c r="B524" s="38">
        <v>1919</v>
      </c>
      <c r="C524" s="40">
        <v>3</v>
      </c>
      <c r="D524" s="40">
        <v>2</v>
      </c>
      <c r="K524">
        <f>INDEX(OutputValues,520,$J$4)</f>
        <v>1919</v>
      </c>
    </row>
    <row r="525" spans="1:11">
      <c r="A525" s="17">
        <v>360</v>
      </c>
      <c r="B525" s="38">
        <v>1920</v>
      </c>
      <c r="C525" s="40">
        <v>3</v>
      </c>
      <c r="D525" s="40">
        <v>2</v>
      </c>
      <c r="K525">
        <f>INDEX(OutputValues,521,$J$4)</f>
        <v>1920</v>
      </c>
    </row>
    <row r="526" spans="1:11">
      <c r="A526" s="17">
        <v>360.5</v>
      </c>
      <c r="B526" s="38">
        <v>1921</v>
      </c>
      <c r="C526" s="40">
        <v>3</v>
      </c>
      <c r="D526" s="40">
        <v>2</v>
      </c>
      <c r="K526">
        <f>INDEX(OutputValues,522,$J$4)</f>
        <v>1921</v>
      </c>
    </row>
    <row r="527" spans="1:11">
      <c r="A527" s="17">
        <v>361</v>
      </c>
      <c r="B527" s="38">
        <v>1922</v>
      </c>
      <c r="C527" s="40">
        <v>3</v>
      </c>
      <c r="D527" s="40">
        <v>2</v>
      </c>
      <c r="K527">
        <f>INDEX(OutputValues,523,$J$4)</f>
        <v>1922</v>
      </c>
    </row>
    <row r="528" spans="1:11">
      <c r="A528" s="17">
        <v>361.5</v>
      </c>
      <c r="B528" s="38">
        <v>1923</v>
      </c>
      <c r="C528" s="40">
        <v>3</v>
      </c>
      <c r="D528" s="40">
        <v>2</v>
      </c>
      <c r="K528">
        <f>INDEX(OutputValues,524,$J$4)</f>
        <v>1923</v>
      </c>
    </row>
    <row r="529" spans="1:11">
      <c r="A529" s="17">
        <v>362</v>
      </c>
      <c r="B529" s="38">
        <v>1924</v>
      </c>
      <c r="C529" s="40">
        <v>3</v>
      </c>
      <c r="D529" s="40">
        <v>2</v>
      </c>
      <c r="K529">
        <f>INDEX(OutputValues,525,$J$4)</f>
        <v>1924</v>
      </c>
    </row>
    <row r="530" spans="1:11">
      <c r="A530" s="17">
        <v>362.5</v>
      </c>
      <c r="B530" s="38">
        <v>1925</v>
      </c>
      <c r="C530" s="40">
        <v>3</v>
      </c>
      <c r="D530" s="40">
        <v>2</v>
      </c>
      <c r="K530">
        <f>INDEX(OutputValues,526,$J$4)</f>
        <v>1925</v>
      </c>
    </row>
    <row r="531" spans="1:11">
      <c r="A531" s="17">
        <v>363</v>
      </c>
      <c r="B531" s="38">
        <v>1926</v>
      </c>
      <c r="C531" s="40">
        <v>3</v>
      </c>
      <c r="D531" s="40">
        <v>2</v>
      </c>
      <c r="K531">
        <f>INDEX(OutputValues,527,$J$4)</f>
        <v>1926</v>
      </c>
    </row>
    <row r="532" spans="1:11">
      <c r="A532" s="17">
        <v>363.5</v>
      </c>
      <c r="B532" s="38">
        <v>1927</v>
      </c>
      <c r="C532" s="40">
        <v>3</v>
      </c>
      <c r="D532" s="40">
        <v>2</v>
      </c>
      <c r="K532">
        <f>INDEX(OutputValues,528,$J$4)</f>
        <v>1927</v>
      </c>
    </row>
    <row r="533" spans="1:11">
      <c r="A533" s="17">
        <v>364</v>
      </c>
      <c r="B533" s="38">
        <v>1928</v>
      </c>
      <c r="C533" s="40">
        <v>3</v>
      </c>
      <c r="D533" s="40">
        <v>2</v>
      </c>
      <c r="K533">
        <f>INDEX(OutputValues,529,$J$4)</f>
        <v>1928</v>
      </c>
    </row>
    <row r="534" spans="1:11">
      <c r="A534" s="17">
        <v>364.5</v>
      </c>
      <c r="B534" s="38">
        <v>1929</v>
      </c>
      <c r="C534" s="40">
        <v>3</v>
      </c>
      <c r="D534" s="40">
        <v>2</v>
      </c>
      <c r="K534">
        <f>INDEX(OutputValues,530,$J$4)</f>
        <v>1929</v>
      </c>
    </row>
    <row r="535" spans="1:11">
      <c r="A535" s="17">
        <v>365</v>
      </c>
      <c r="B535" s="38">
        <v>1930</v>
      </c>
      <c r="C535" s="40">
        <v>3</v>
      </c>
      <c r="D535" s="40">
        <v>2</v>
      </c>
      <c r="K535">
        <f>INDEX(OutputValues,531,$J$4)</f>
        <v>1930</v>
      </c>
    </row>
    <row r="536" spans="1:11">
      <c r="A536" s="17">
        <v>365.5</v>
      </c>
      <c r="B536" s="38">
        <v>1931</v>
      </c>
      <c r="C536" s="40">
        <v>3</v>
      </c>
      <c r="D536" s="40">
        <v>2</v>
      </c>
      <c r="K536">
        <f>INDEX(OutputValues,532,$J$4)</f>
        <v>1931</v>
      </c>
    </row>
    <row r="537" spans="1:11">
      <c r="A537" s="17">
        <v>366</v>
      </c>
      <c r="B537" s="38">
        <v>1932</v>
      </c>
      <c r="C537" s="40">
        <v>3</v>
      </c>
      <c r="D537" s="40">
        <v>2</v>
      </c>
      <c r="K537">
        <f>INDEX(OutputValues,533,$J$4)</f>
        <v>1932</v>
      </c>
    </row>
    <row r="538" spans="1:11">
      <c r="A538" s="17">
        <v>366.5</v>
      </c>
      <c r="B538" s="38">
        <v>1933</v>
      </c>
      <c r="C538" s="40">
        <v>3</v>
      </c>
      <c r="D538" s="40">
        <v>2</v>
      </c>
      <c r="K538">
        <f>INDEX(OutputValues,534,$J$4)</f>
        <v>1933</v>
      </c>
    </row>
    <row r="539" spans="1:11">
      <c r="A539" s="17">
        <v>367</v>
      </c>
      <c r="B539" s="38">
        <v>1934</v>
      </c>
      <c r="C539" s="40">
        <v>3</v>
      </c>
      <c r="D539" s="40">
        <v>2</v>
      </c>
      <c r="K539">
        <f>INDEX(OutputValues,535,$J$4)</f>
        <v>1934</v>
      </c>
    </row>
    <row r="540" spans="1:11">
      <c r="A540" s="17">
        <v>367.5</v>
      </c>
      <c r="B540" s="38">
        <v>1935</v>
      </c>
      <c r="C540" s="40">
        <v>3</v>
      </c>
      <c r="D540" s="40">
        <v>2</v>
      </c>
      <c r="K540">
        <f>INDEX(OutputValues,536,$J$4)</f>
        <v>1935</v>
      </c>
    </row>
    <row r="541" spans="1:11">
      <c r="A541" s="17">
        <v>368</v>
      </c>
      <c r="B541" s="38">
        <v>1936</v>
      </c>
      <c r="C541" s="40">
        <v>3</v>
      </c>
      <c r="D541" s="40">
        <v>2</v>
      </c>
      <c r="K541">
        <f>INDEX(OutputValues,537,$J$4)</f>
        <v>1936</v>
      </c>
    </row>
    <row r="542" spans="1:11">
      <c r="A542" s="17">
        <v>368.5</v>
      </c>
      <c r="B542" s="38">
        <v>1937</v>
      </c>
      <c r="C542" s="40">
        <v>3</v>
      </c>
      <c r="D542" s="40">
        <v>2</v>
      </c>
      <c r="K542">
        <f>INDEX(OutputValues,538,$J$4)</f>
        <v>1937</v>
      </c>
    </row>
    <row r="543" spans="1:11">
      <c r="A543" s="17">
        <v>369</v>
      </c>
      <c r="B543" s="38">
        <v>1938</v>
      </c>
      <c r="C543" s="40">
        <v>3</v>
      </c>
      <c r="D543" s="40">
        <v>2</v>
      </c>
      <c r="K543">
        <f>INDEX(OutputValues,539,$J$4)</f>
        <v>1938</v>
      </c>
    </row>
    <row r="544" spans="1:11">
      <c r="A544" s="17">
        <v>369.5</v>
      </c>
      <c r="B544" s="38">
        <v>1939</v>
      </c>
      <c r="C544" s="40">
        <v>3</v>
      </c>
      <c r="D544" s="40">
        <v>2</v>
      </c>
      <c r="K544">
        <f>INDEX(OutputValues,540,$J$4)</f>
        <v>1939</v>
      </c>
    </row>
    <row r="545" spans="1:11">
      <c r="A545" s="17">
        <v>370</v>
      </c>
      <c r="B545" s="38">
        <v>1940</v>
      </c>
      <c r="C545" s="40">
        <v>3</v>
      </c>
      <c r="D545" s="40">
        <v>2</v>
      </c>
      <c r="K545">
        <f>INDEX(OutputValues,541,$J$4)</f>
        <v>1940</v>
      </c>
    </row>
    <row r="546" spans="1:11">
      <c r="A546" s="17">
        <v>370.5</v>
      </c>
      <c r="B546" s="38">
        <v>1941</v>
      </c>
      <c r="C546" s="40">
        <v>3</v>
      </c>
      <c r="D546" s="40">
        <v>2</v>
      </c>
      <c r="K546">
        <f>INDEX(OutputValues,542,$J$4)</f>
        <v>1941</v>
      </c>
    </row>
    <row r="547" spans="1:11">
      <c r="A547" s="17">
        <v>371</v>
      </c>
      <c r="B547" s="38">
        <v>1942</v>
      </c>
      <c r="C547" s="40">
        <v>3</v>
      </c>
      <c r="D547" s="40">
        <v>2</v>
      </c>
      <c r="K547">
        <f>INDEX(OutputValues,543,$J$4)</f>
        <v>1942</v>
      </c>
    </row>
    <row r="548" spans="1:11">
      <c r="A548" s="17">
        <v>371.5</v>
      </c>
      <c r="B548" s="38">
        <v>1943</v>
      </c>
      <c r="C548" s="40">
        <v>3</v>
      </c>
      <c r="D548" s="40">
        <v>2</v>
      </c>
      <c r="K548">
        <f>INDEX(OutputValues,544,$J$4)</f>
        <v>1943</v>
      </c>
    </row>
    <row r="549" spans="1:11">
      <c r="A549" s="17">
        <v>372</v>
      </c>
      <c r="B549" s="38">
        <v>1944</v>
      </c>
      <c r="C549" s="40">
        <v>3</v>
      </c>
      <c r="D549" s="40">
        <v>2</v>
      </c>
      <c r="K549">
        <f>INDEX(OutputValues,545,$J$4)</f>
        <v>1944</v>
      </c>
    </row>
    <row r="550" spans="1:11">
      <c r="A550" s="17">
        <v>372.5</v>
      </c>
      <c r="B550" s="38">
        <v>1945</v>
      </c>
      <c r="C550" s="40">
        <v>3</v>
      </c>
      <c r="D550" s="40">
        <v>2</v>
      </c>
      <c r="K550">
        <f>INDEX(OutputValues,546,$J$4)</f>
        <v>1945</v>
      </c>
    </row>
    <row r="551" spans="1:11">
      <c r="A551" s="17">
        <v>373</v>
      </c>
      <c r="B551" s="38">
        <v>1946</v>
      </c>
      <c r="C551" s="40">
        <v>3</v>
      </c>
      <c r="D551" s="40">
        <v>2</v>
      </c>
      <c r="K551">
        <f>INDEX(OutputValues,547,$J$4)</f>
        <v>1946</v>
      </c>
    </row>
    <row r="552" spans="1:11">
      <c r="A552" s="17">
        <v>373.5</v>
      </c>
      <c r="B552" s="38">
        <v>1947</v>
      </c>
      <c r="C552" s="40">
        <v>3</v>
      </c>
      <c r="D552" s="40">
        <v>2</v>
      </c>
      <c r="K552">
        <f>INDEX(OutputValues,548,$J$4)</f>
        <v>1947</v>
      </c>
    </row>
    <row r="553" spans="1:11">
      <c r="A553" s="17">
        <v>374</v>
      </c>
      <c r="B553" s="38">
        <v>1948</v>
      </c>
      <c r="C553" s="40">
        <v>3</v>
      </c>
      <c r="D553" s="40">
        <v>2</v>
      </c>
      <c r="K553">
        <f>INDEX(OutputValues,549,$J$4)</f>
        <v>1948</v>
      </c>
    </row>
    <row r="554" spans="1:11">
      <c r="A554" s="17">
        <v>374.5</v>
      </c>
      <c r="B554" s="38">
        <v>1949</v>
      </c>
      <c r="C554" s="40">
        <v>3</v>
      </c>
      <c r="D554" s="40">
        <v>2</v>
      </c>
      <c r="K554">
        <f>INDEX(OutputValues,550,$J$4)</f>
        <v>1949</v>
      </c>
    </row>
    <row r="555" spans="1:11">
      <c r="A555" s="17">
        <v>375</v>
      </c>
      <c r="B555" s="38">
        <v>1950</v>
      </c>
      <c r="C555" s="40">
        <v>3</v>
      </c>
      <c r="D555" s="40">
        <v>2</v>
      </c>
      <c r="K555">
        <f>INDEX(OutputValues,551,$J$4)</f>
        <v>1950</v>
      </c>
    </row>
    <row r="556" spans="1:11">
      <c r="A556" s="17">
        <v>375.5</v>
      </c>
      <c r="B556" s="38">
        <v>1951</v>
      </c>
      <c r="C556" s="40">
        <v>3</v>
      </c>
      <c r="D556" s="40">
        <v>2</v>
      </c>
      <c r="K556">
        <f>INDEX(OutputValues,552,$J$4)</f>
        <v>1951</v>
      </c>
    </row>
    <row r="557" spans="1:11">
      <c r="A557" s="17">
        <v>376</v>
      </c>
      <c r="B557" s="38">
        <v>1952</v>
      </c>
      <c r="C557" s="40">
        <v>3</v>
      </c>
      <c r="D557" s="40">
        <v>2</v>
      </c>
      <c r="K557">
        <f>INDEX(OutputValues,553,$J$4)</f>
        <v>1952</v>
      </c>
    </row>
    <row r="558" spans="1:11">
      <c r="A558" s="17">
        <v>376.5</v>
      </c>
      <c r="B558" s="38">
        <v>1953</v>
      </c>
      <c r="C558" s="40">
        <v>3</v>
      </c>
      <c r="D558" s="40">
        <v>2</v>
      </c>
      <c r="K558">
        <f>INDEX(OutputValues,554,$J$4)</f>
        <v>1953</v>
      </c>
    </row>
    <row r="559" spans="1:11">
      <c r="A559" s="17">
        <v>377</v>
      </c>
      <c r="B559" s="38">
        <v>1954</v>
      </c>
      <c r="C559" s="40">
        <v>3</v>
      </c>
      <c r="D559" s="40">
        <v>2</v>
      </c>
      <c r="K559">
        <f>INDEX(OutputValues,555,$J$4)</f>
        <v>1954</v>
      </c>
    </row>
    <row r="560" spans="1:11">
      <c r="A560" s="17">
        <v>377.5</v>
      </c>
      <c r="B560" s="38">
        <v>1955</v>
      </c>
      <c r="C560" s="40">
        <v>3</v>
      </c>
      <c r="D560" s="40">
        <v>2</v>
      </c>
      <c r="K560">
        <f>INDEX(OutputValues,556,$J$4)</f>
        <v>1955</v>
      </c>
    </row>
    <row r="561" spans="1:11">
      <c r="A561" s="17">
        <v>378</v>
      </c>
      <c r="B561" s="38">
        <v>1956</v>
      </c>
      <c r="C561" s="40">
        <v>3</v>
      </c>
      <c r="D561" s="40">
        <v>2</v>
      </c>
      <c r="K561">
        <f>INDEX(OutputValues,557,$J$4)</f>
        <v>1956</v>
      </c>
    </row>
    <row r="562" spans="1:11">
      <c r="A562" s="17">
        <v>378.5</v>
      </c>
      <c r="B562" s="38">
        <v>1957</v>
      </c>
      <c r="C562" s="40">
        <v>3</v>
      </c>
      <c r="D562" s="40">
        <v>2</v>
      </c>
      <c r="K562">
        <f>INDEX(OutputValues,558,$J$4)</f>
        <v>1957</v>
      </c>
    </row>
    <row r="563" spans="1:11">
      <c r="A563" s="17">
        <v>379</v>
      </c>
      <c r="B563" s="38">
        <v>1958</v>
      </c>
      <c r="C563" s="40">
        <v>3</v>
      </c>
      <c r="D563" s="40">
        <v>2</v>
      </c>
      <c r="K563">
        <f>INDEX(OutputValues,559,$J$4)</f>
        <v>1958</v>
      </c>
    </row>
    <row r="564" spans="1:11">
      <c r="A564" s="17">
        <v>379.5</v>
      </c>
      <c r="B564" s="38">
        <v>1959</v>
      </c>
      <c r="C564" s="40">
        <v>3</v>
      </c>
      <c r="D564" s="40">
        <v>2</v>
      </c>
      <c r="K564">
        <f>INDEX(OutputValues,560,$J$4)</f>
        <v>1959</v>
      </c>
    </row>
    <row r="565" spans="1:11">
      <c r="A565" s="17">
        <v>380</v>
      </c>
      <c r="B565" s="38">
        <v>1960</v>
      </c>
      <c r="C565" s="40">
        <v>3</v>
      </c>
      <c r="D565" s="40">
        <v>2</v>
      </c>
      <c r="K565">
        <f>INDEX(OutputValues,561,$J$4)</f>
        <v>1960</v>
      </c>
    </row>
    <row r="566" spans="1:11">
      <c r="A566" s="17">
        <v>380.5</v>
      </c>
      <c r="B566" s="38">
        <v>1961</v>
      </c>
      <c r="C566" s="40">
        <v>3</v>
      </c>
      <c r="D566" s="40">
        <v>2</v>
      </c>
      <c r="K566">
        <f>INDEX(OutputValues,562,$J$4)</f>
        <v>1961</v>
      </c>
    </row>
    <row r="567" spans="1:11">
      <c r="A567" s="17">
        <v>381</v>
      </c>
      <c r="B567" s="38">
        <v>1962</v>
      </c>
      <c r="C567" s="40">
        <v>3</v>
      </c>
      <c r="D567" s="40">
        <v>2</v>
      </c>
      <c r="K567">
        <f>INDEX(OutputValues,563,$J$4)</f>
        <v>1962</v>
      </c>
    </row>
    <row r="568" spans="1:11">
      <c r="A568" s="17">
        <v>381.5</v>
      </c>
      <c r="B568" s="38">
        <v>1963</v>
      </c>
      <c r="C568" s="40">
        <v>3</v>
      </c>
      <c r="D568" s="40">
        <v>2</v>
      </c>
      <c r="K568">
        <f>INDEX(OutputValues,564,$J$4)</f>
        <v>1963</v>
      </c>
    </row>
    <row r="569" spans="1:11">
      <c r="A569" s="17">
        <v>382</v>
      </c>
      <c r="B569" s="38">
        <v>1964</v>
      </c>
      <c r="C569" s="40">
        <v>3</v>
      </c>
      <c r="D569" s="40">
        <v>2</v>
      </c>
      <c r="K569">
        <f>INDEX(OutputValues,565,$J$4)</f>
        <v>1964</v>
      </c>
    </row>
    <row r="570" spans="1:11">
      <c r="A570" s="17">
        <v>382.5</v>
      </c>
      <c r="B570" s="38">
        <v>1965</v>
      </c>
      <c r="C570" s="40">
        <v>3</v>
      </c>
      <c r="D570" s="40">
        <v>2</v>
      </c>
      <c r="K570">
        <f>INDEX(OutputValues,566,$J$4)</f>
        <v>1965</v>
      </c>
    </row>
    <row r="571" spans="1:11">
      <c r="A571" s="17">
        <v>383</v>
      </c>
      <c r="B571" s="38">
        <v>1966</v>
      </c>
      <c r="C571" s="40">
        <v>3</v>
      </c>
      <c r="D571" s="40">
        <v>2</v>
      </c>
      <c r="K571">
        <f>INDEX(OutputValues,567,$J$4)</f>
        <v>1966</v>
      </c>
    </row>
    <row r="572" spans="1:11">
      <c r="A572" s="17">
        <v>383.5</v>
      </c>
      <c r="B572" s="38">
        <v>1967</v>
      </c>
      <c r="C572" s="40">
        <v>3</v>
      </c>
      <c r="D572" s="40">
        <v>2</v>
      </c>
      <c r="K572">
        <f>INDEX(OutputValues,568,$J$4)</f>
        <v>1967</v>
      </c>
    </row>
    <row r="573" spans="1:11">
      <c r="A573" s="17">
        <v>384</v>
      </c>
      <c r="B573" s="38">
        <v>1968</v>
      </c>
      <c r="C573" s="40">
        <v>3</v>
      </c>
      <c r="D573" s="40">
        <v>2</v>
      </c>
      <c r="K573">
        <f>INDEX(OutputValues,569,$J$4)</f>
        <v>1968</v>
      </c>
    </row>
    <row r="574" spans="1:11">
      <c r="A574" s="17">
        <v>384.5</v>
      </c>
      <c r="B574" s="38">
        <v>1969</v>
      </c>
      <c r="C574" s="40">
        <v>3</v>
      </c>
      <c r="D574" s="40">
        <v>2</v>
      </c>
      <c r="K574">
        <f>INDEX(OutputValues,570,$J$4)</f>
        <v>1969</v>
      </c>
    </row>
    <row r="575" spans="1:11">
      <c r="A575" s="17">
        <v>385</v>
      </c>
      <c r="B575" s="38">
        <v>1970</v>
      </c>
      <c r="C575" s="40">
        <v>3</v>
      </c>
      <c r="D575" s="40">
        <v>2</v>
      </c>
      <c r="K575">
        <f>INDEX(OutputValues,571,$J$4)</f>
        <v>1970</v>
      </c>
    </row>
    <row r="576" spans="1:11">
      <c r="A576" s="17">
        <v>385.5</v>
      </c>
      <c r="B576" s="38">
        <v>1971</v>
      </c>
      <c r="C576" s="40">
        <v>3</v>
      </c>
      <c r="D576" s="40">
        <v>2</v>
      </c>
      <c r="K576">
        <f>INDEX(OutputValues,572,$J$4)</f>
        <v>1971</v>
      </c>
    </row>
    <row r="577" spans="1:11">
      <c r="A577" s="17">
        <v>386</v>
      </c>
      <c r="B577" s="38">
        <v>1972</v>
      </c>
      <c r="C577" s="40">
        <v>3</v>
      </c>
      <c r="D577" s="40">
        <v>2</v>
      </c>
      <c r="K577">
        <f>INDEX(OutputValues,573,$J$4)</f>
        <v>1972</v>
      </c>
    </row>
    <row r="578" spans="1:11">
      <c r="A578" s="17">
        <v>386.5</v>
      </c>
      <c r="B578" s="38">
        <v>1973</v>
      </c>
      <c r="C578" s="40">
        <v>3</v>
      </c>
      <c r="D578" s="40">
        <v>2</v>
      </c>
      <c r="K578">
        <f>INDEX(OutputValues,574,$J$4)</f>
        <v>1973</v>
      </c>
    </row>
    <row r="579" spans="1:11">
      <c r="A579" s="17">
        <v>387</v>
      </c>
      <c r="B579" s="38">
        <v>1974</v>
      </c>
      <c r="C579" s="40">
        <v>3</v>
      </c>
      <c r="D579" s="40">
        <v>2</v>
      </c>
      <c r="K579">
        <f>INDEX(OutputValues,575,$J$4)</f>
        <v>1974</v>
      </c>
    </row>
    <row r="580" spans="1:11">
      <c r="A580" s="17">
        <v>387.5</v>
      </c>
      <c r="B580" s="38">
        <v>1975</v>
      </c>
      <c r="C580" s="40">
        <v>3</v>
      </c>
      <c r="D580" s="40">
        <v>2</v>
      </c>
      <c r="K580">
        <f>INDEX(OutputValues,576,$J$4)</f>
        <v>1975</v>
      </c>
    </row>
    <row r="581" spans="1:11">
      <c r="A581" s="17">
        <v>388</v>
      </c>
      <c r="B581" s="38">
        <v>1976</v>
      </c>
      <c r="C581" s="40">
        <v>3</v>
      </c>
      <c r="D581" s="40">
        <v>2</v>
      </c>
      <c r="K581">
        <f>INDEX(OutputValues,577,$J$4)</f>
        <v>1976</v>
      </c>
    </row>
    <row r="582" spans="1:11">
      <c r="A582" s="17">
        <v>388.5</v>
      </c>
      <c r="B582" s="38">
        <v>1977</v>
      </c>
      <c r="C582" s="40">
        <v>3</v>
      </c>
      <c r="D582" s="40">
        <v>2</v>
      </c>
      <c r="K582">
        <f>INDEX(OutputValues,578,$J$4)</f>
        <v>1977</v>
      </c>
    </row>
    <row r="583" spans="1:11">
      <c r="A583" s="17">
        <v>389</v>
      </c>
      <c r="B583" s="38">
        <v>1978</v>
      </c>
      <c r="C583" s="40">
        <v>3</v>
      </c>
      <c r="D583" s="40">
        <v>2</v>
      </c>
      <c r="K583">
        <f>INDEX(OutputValues,579,$J$4)</f>
        <v>1978</v>
      </c>
    </row>
    <row r="584" spans="1:11">
      <c r="A584" s="17">
        <v>389.5</v>
      </c>
      <c r="B584" s="38">
        <v>1979</v>
      </c>
      <c r="C584" s="40">
        <v>3</v>
      </c>
      <c r="D584" s="40">
        <v>2</v>
      </c>
      <c r="K584">
        <f>INDEX(OutputValues,580,$J$4)</f>
        <v>1979</v>
      </c>
    </row>
    <row r="585" spans="1:11">
      <c r="A585" s="17">
        <v>390</v>
      </c>
      <c r="B585" s="38">
        <v>1980</v>
      </c>
      <c r="C585" s="40">
        <v>3</v>
      </c>
      <c r="D585" s="40">
        <v>2</v>
      </c>
      <c r="K585">
        <f>INDEX(OutputValues,581,$J$4)</f>
        <v>1980</v>
      </c>
    </row>
    <row r="586" spans="1:11">
      <c r="A586" s="17">
        <v>390.5</v>
      </c>
      <c r="B586" s="38">
        <v>1981</v>
      </c>
      <c r="C586" s="40">
        <v>3</v>
      </c>
      <c r="D586" s="40">
        <v>2</v>
      </c>
      <c r="K586">
        <f>INDEX(OutputValues,582,$J$4)</f>
        <v>1981</v>
      </c>
    </row>
    <row r="587" spans="1:11">
      <c r="A587" s="17">
        <v>391</v>
      </c>
      <c r="B587" s="38">
        <v>1982</v>
      </c>
      <c r="C587" s="40">
        <v>3</v>
      </c>
      <c r="D587" s="40">
        <v>2</v>
      </c>
      <c r="K587">
        <f>INDEX(OutputValues,583,$J$4)</f>
        <v>1982</v>
      </c>
    </row>
    <row r="588" spans="1:11">
      <c r="A588" s="17">
        <v>391.5</v>
      </c>
      <c r="B588" s="38">
        <v>1983</v>
      </c>
      <c r="C588" s="40">
        <v>3</v>
      </c>
      <c r="D588" s="40">
        <v>2</v>
      </c>
      <c r="K588">
        <f>INDEX(OutputValues,584,$J$4)</f>
        <v>1983</v>
      </c>
    </row>
    <row r="589" spans="1:11">
      <c r="A589" s="17">
        <v>392</v>
      </c>
      <c r="B589" s="38">
        <v>1984</v>
      </c>
      <c r="C589" s="40">
        <v>3</v>
      </c>
      <c r="D589" s="40">
        <v>2</v>
      </c>
      <c r="K589">
        <f>INDEX(OutputValues,585,$J$4)</f>
        <v>1984</v>
      </c>
    </row>
    <row r="590" spans="1:11">
      <c r="A590" s="17">
        <v>392.5</v>
      </c>
      <c r="B590" s="38">
        <v>1985</v>
      </c>
      <c r="C590" s="40">
        <v>3</v>
      </c>
      <c r="D590" s="40">
        <v>2</v>
      </c>
      <c r="K590">
        <f>INDEX(OutputValues,586,$J$4)</f>
        <v>1985</v>
      </c>
    </row>
    <row r="591" spans="1:11">
      <c r="A591" s="17">
        <v>393</v>
      </c>
      <c r="B591" s="38">
        <v>1986</v>
      </c>
      <c r="C591" s="40">
        <v>3</v>
      </c>
      <c r="D591" s="40">
        <v>2</v>
      </c>
      <c r="K591">
        <f>INDEX(OutputValues,587,$J$4)</f>
        <v>1986</v>
      </c>
    </row>
    <row r="592" spans="1:11">
      <c r="A592" s="17">
        <v>393.5</v>
      </c>
      <c r="B592" s="38">
        <v>1987</v>
      </c>
      <c r="C592" s="40">
        <v>3</v>
      </c>
      <c r="D592" s="40">
        <v>2</v>
      </c>
      <c r="K592">
        <f>INDEX(OutputValues,588,$J$4)</f>
        <v>1987</v>
      </c>
    </row>
    <row r="593" spans="1:11">
      <c r="A593" s="17">
        <v>394</v>
      </c>
      <c r="B593" s="38">
        <v>1988</v>
      </c>
      <c r="C593" s="40">
        <v>3</v>
      </c>
      <c r="D593" s="40">
        <v>2</v>
      </c>
      <c r="K593">
        <f>INDEX(OutputValues,589,$J$4)</f>
        <v>1988</v>
      </c>
    </row>
    <row r="594" spans="1:11">
      <c r="A594" s="17">
        <v>394.5</v>
      </c>
      <c r="B594" s="38">
        <v>1989</v>
      </c>
      <c r="C594" s="40">
        <v>3</v>
      </c>
      <c r="D594" s="40">
        <v>2</v>
      </c>
      <c r="K594">
        <f>INDEX(OutputValues,590,$J$4)</f>
        <v>1989</v>
      </c>
    </row>
    <row r="595" spans="1:11">
      <c r="A595" s="17">
        <v>395</v>
      </c>
      <c r="B595" s="38">
        <v>1990</v>
      </c>
      <c r="C595" s="40">
        <v>3</v>
      </c>
      <c r="D595" s="40">
        <v>2</v>
      </c>
      <c r="K595">
        <f>INDEX(OutputValues,591,$J$4)</f>
        <v>1990</v>
      </c>
    </row>
    <row r="596" spans="1:11">
      <c r="A596" s="17">
        <v>395.5</v>
      </c>
      <c r="B596" s="38">
        <v>1991</v>
      </c>
      <c r="C596" s="40">
        <v>3</v>
      </c>
      <c r="D596" s="40">
        <v>2</v>
      </c>
      <c r="K596">
        <f>INDEX(OutputValues,592,$J$4)</f>
        <v>1991</v>
      </c>
    </row>
    <row r="597" spans="1:11">
      <c r="A597" s="17">
        <v>396</v>
      </c>
      <c r="B597" s="38">
        <v>1992</v>
      </c>
      <c r="C597" s="40">
        <v>3</v>
      </c>
      <c r="D597" s="40">
        <v>2</v>
      </c>
      <c r="K597">
        <f>INDEX(OutputValues,593,$J$4)</f>
        <v>1992</v>
      </c>
    </row>
    <row r="598" spans="1:11">
      <c r="A598" s="17">
        <v>396.5</v>
      </c>
      <c r="B598" s="38">
        <v>1993</v>
      </c>
      <c r="C598" s="40">
        <v>3</v>
      </c>
      <c r="D598" s="40">
        <v>2</v>
      </c>
      <c r="K598">
        <f>INDEX(OutputValues,594,$J$4)</f>
        <v>1993</v>
      </c>
    </row>
    <row r="599" spans="1:11">
      <c r="A599" s="17">
        <v>397</v>
      </c>
      <c r="B599" s="38">
        <v>1994</v>
      </c>
      <c r="C599" s="40">
        <v>3</v>
      </c>
      <c r="D599" s="40">
        <v>2</v>
      </c>
      <c r="K599">
        <f>INDEX(OutputValues,595,$J$4)</f>
        <v>1994</v>
      </c>
    </row>
    <row r="600" spans="1:11">
      <c r="A600" s="17">
        <v>397.5</v>
      </c>
      <c r="B600" s="38">
        <v>1995</v>
      </c>
      <c r="C600" s="40">
        <v>3</v>
      </c>
      <c r="D600" s="40">
        <v>2</v>
      </c>
      <c r="K600">
        <f>INDEX(OutputValues,596,$J$4)</f>
        <v>1995</v>
      </c>
    </row>
    <row r="601" spans="1:11">
      <c r="A601" s="17">
        <v>398</v>
      </c>
      <c r="B601" s="38">
        <v>1996</v>
      </c>
      <c r="C601" s="40">
        <v>3</v>
      </c>
      <c r="D601" s="40">
        <v>2</v>
      </c>
      <c r="K601">
        <f>INDEX(OutputValues,597,$J$4)</f>
        <v>1996</v>
      </c>
    </row>
    <row r="602" spans="1:11">
      <c r="A602" s="17">
        <v>398.5</v>
      </c>
      <c r="B602" s="38">
        <v>1997</v>
      </c>
      <c r="C602" s="40">
        <v>3</v>
      </c>
      <c r="D602" s="40">
        <v>2</v>
      </c>
      <c r="K602">
        <f>INDEX(OutputValues,598,$J$4)</f>
        <v>1997</v>
      </c>
    </row>
    <row r="603" spans="1:11">
      <c r="A603" s="17">
        <v>399</v>
      </c>
      <c r="B603" s="38">
        <v>1998</v>
      </c>
      <c r="C603" s="40">
        <v>3</v>
      </c>
      <c r="D603" s="40">
        <v>2</v>
      </c>
      <c r="K603">
        <f>INDEX(OutputValues,599,$J$4)</f>
        <v>1998</v>
      </c>
    </row>
    <row r="604" spans="1:11">
      <c r="A604" s="17">
        <v>399.5</v>
      </c>
      <c r="B604" s="38">
        <v>1999</v>
      </c>
      <c r="C604" s="40">
        <v>3</v>
      </c>
      <c r="D604" s="40">
        <v>2</v>
      </c>
      <c r="K604">
        <f>INDEX(OutputValues,600,$J$4)</f>
        <v>1999</v>
      </c>
    </row>
    <row r="605" spans="1:11">
      <c r="A605" s="17">
        <v>400</v>
      </c>
      <c r="B605" s="38">
        <v>2000</v>
      </c>
      <c r="C605" s="40">
        <v>3</v>
      </c>
      <c r="D605" s="40">
        <v>2</v>
      </c>
      <c r="K605">
        <f>INDEX(OutputValues,601,$J$4)</f>
        <v>2000</v>
      </c>
    </row>
    <row r="606" spans="1:11">
      <c r="A606" s="17">
        <v>400.5</v>
      </c>
      <c r="B606" s="38">
        <v>2000</v>
      </c>
      <c r="C606" s="40">
        <v>5</v>
      </c>
      <c r="D606" s="40">
        <v>0</v>
      </c>
      <c r="K606">
        <f>INDEX(OutputValues,602,$J$4)</f>
        <v>2000</v>
      </c>
    </row>
    <row r="607" spans="1:11">
      <c r="A607" s="17">
        <v>401</v>
      </c>
      <c r="B607" s="38">
        <v>2000</v>
      </c>
      <c r="C607" s="40">
        <v>5</v>
      </c>
      <c r="D607" s="40">
        <v>0</v>
      </c>
      <c r="K607">
        <f>INDEX(OutputValues,603,$J$4)</f>
        <v>2000</v>
      </c>
    </row>
    <row r="608" spans="1:11">
      <c r="A608" s="17">
        <v>401.5</v>
      </c>
      <c r="B608" s="38">
        <v>2000</v>
      </c>
      <c r="C608" s="40">
        <v>5</v>
      </c>
      <c r="D608" s="40">
        <v>0</v>
      </c>
      <c r="K608">
        <f>INDEX(OutputValues,604,$J$4)</f>
        <v>2000</v>
      </c>
    </row>
    <row r="609" spans="1:11">
      <c r="A609" s="17">
        <v>402</v>
      </c>
      <c r="B609" s="38">
        <v>2000</v>
      </c>
      <c r="C609" s="40">
        <v>5</v>
      </c>
      <c r="D609" s="40">
        <v>0</v>
      </c>
      <c r="K609">
        <f>INDEX(OutputValues,605,$J$4)</f>
        <v>2000</v>
      </c>
    </row>
    <row r="610" spans="1:11">
      <c r="A610" s="17">
        <v>402.5</v>
      </c>
      <c r="B610" s="38">
        <v>2000</v>
      </c>
      <c r="C610" s="40">
        <v>5</v>
      </c>
      <c r="D610" s="40">
        <v>0</v>
      </c>
      <c r="K610">
        <f>INDEX(OutputValues,606,$J$4)</f>
        <v>2000</v>
      </c>
    </row>
    <row r="611" spans="1:11">
      <c r="A611" s="17">
        <v>403</v>
      </c>
      <c r="B611" s="38">
        <v>2000</v>
      </c>
      <c r="C611" s="40">
        <v>5</v>
      </c>
      <c r="D611" s="40">
        <v>0</v>
      </c>
      <c r="K611">
        <f>INDEX(OutputValues,607,$J$4)</f>
        <v>2000</v>
      </c>
    </row>
    <row r="612" spans="1:11">
      <c r="A612" s="17">
        <v>403.5</v>
      </c>
      <c r="B612" s="38">
        <v>2000</v>
      </c>
      <c r="C612" s="40">
        <v>5</v>
      </c>
      <c r="D612" s="40">
        <v>0</v>
      </c>
      <c r="K612">
        <f>INDEX(OutputValues,608,$J$4)</f>
        <v>2000</v>
      </c>
    </row>
    <row r="613" spans="1:11">
      <c r="A613" s="17">
        <v>404</v>
      </c>
      <c r="B613" s="38">
        <v>2000</v>
      </c>
      <c r="C613" s="40">
        <v>5</v>
      </c>
      <c r="D613" s="40">
        <v>0</v>
      </c>
      <c r="K613">
        <f>INDEX(OutputValues,609,$J$4)</f>
        <v>2000</v>
      </c>
    </row>
    <row r="614" spans="1:11">
      <c r="A614" s="17">
        <v>404.5</v>
      </c>
      <c r="B614" s="38">
        <v>2000</v>
      </c>
      <c r="C614" s="40">
        <v>5</v>
      </c>
      <c r="D614" s="40">
        <v>0</v>
      </c>
      <c r="K614">
        <f>INDEX(OutputValues,610,$J$4)</f>
        <v>2000</v>
      </c>
    </row>
    <row r="615" spans="1:11">
      <c r="A615" s="17">
        <v>405</v>
      </c>
      <c r="B615" s="38">
        <v>2000</v>
      </c>
      <c r="C615" s="40">
        <v>5</v>
      </c>
      <c r="D615" s="40">
        <v>0</v>
      </c>
      <c r="K615">
        <f>INDEX(OutputValues,611,$J$4)</f>
        <v>2000</v>
      </c>
    </row>
    <row r="616" spans="1:11">
      <c r="A616" s="17">
        <v>405.5</v>
      </c>
      <c r="B616" s="38">
        <v>2000</v>
      </c>
      <c r="C616" s="40">
        <v>5</v>
      </c>
      <c r="D616" s="40">
        <v>0</v>
      </c>
      <c r="K616">
        <f>INDEX(OutputValues,612,$J$4)</f>
        <v>2000</v>
      </c>
    </row>
    <row r="617" spans="1:11">
      <c r="A617" s="17">
        <v>406</v>
      </c>
      <c r="B617" s="38">
        <v>2000</v>
      </c>
      <c r="C617" s="40">
        <v>5</v>
      </c>
      <c r="D617" s="40">
        <v>0</v>
      </c>
      <c r="K617">
        <f>INDEX(OutputValues,613,$J$4)</f>
        <v>2000</v>
      </c>
    </row>
    <row r="618" spans="1:11">
      <c r="A618" s="17">
        <v>406.5</v>
      </c>
      <c r="B618" s="38">
        <v>2000</v>
      </c>
      <c r="C618" s="40">
        <v>5</v>
      </c>
      <c r="D618" s="40">
        <v>0</v>
      </c>
      <c r="K618">
        <f>INDEX(OutputValues,614,$J$4)</f>
        <v>2000</v>
      </c>
    </row>
    <row r="619" spans="1:11">
      <c r="A619" s="17">
        <v>407</v>
      </c>
      <c r="B619" s="38">
        <v>2000</v>
      </c>
      <c r="C619" s="40">
        <v>5</v>
      </c>
      <c r="D619" s="40">
        <v>0</v>
      </c>
      <c r="K619">
        <f>INDEX(OutputValues,615,$J$4)</f>
        <v>2000</v>
      </c>
    </row>
    <row r="620" spans="1:11">
      <c r="A620" s="17">
        <v>407.5</v>
      </c>
      <c r="B620" s="38">
        <v>2000</v>
      </c>
      <c r="C620" s="40">
        <v>5</v>
      </c>
      <c r="D620" s="40">
        <v>0</v>
      </c>
      <c r="K620">
        <f>INDEX(OutputValues,616,$J$4)</f>
        <v>2000</v>
      </c>
    </row>
    <row r="621" spans="1:11">
      <c r="A621" s="17">
        <v>408</v>
      </c>
      <c r="B621" s="38">
        <v>2000</v>
      </c>
      <c r="C621" s="40">
        <v>5</v>
      </c>
      <c r="D621" s="40">
        <v>0</v>
      </c>
      <c r="K621">
        <f>INDEX(OutputValues,617,$J$4)</f>
        <v>2000</v>
      </c>
    </row>
    <row r="622" spans="1:11">
      <c r="A622" s="17">
        <v>408.5</v>
      </c>
      <c r="B622" s="38">
        <v>2000</v>
      </c>
      <c r="C622" s="40">
        <v>5</v>
      </c>
      <c r="D622" s="40">
        <v>0</v>
      </c>
      <c r="K622">
        <f>INDEX(OutputValues,618,$J$4)</f>
        <v>2000</v>
      </c>
    </row>
    <row r="623" spans="1:11">
      <c r="A623" s="17">
        <v>409</v>
      </c>
      <c r="B623" s="38">
        <v>2000</v>
      </c>
      <c r="C623" s="40">
        <v>5</v>
      </c>
      <c r="D623" s="40">
        <v>0</v>
      </c>
      <c r="K623">
        <f>INDEX(OutputValues,619,$J$4)</f>
        <v>2000</v>
      </c>
    </row>
    <row r="624" spans="1:11">
      <c r="A624" s="17">
        <v>409.5</v>
      </c>
      <c r="B624" s="38">
        <v>2000</v>
      </c>
      <c r="C624" s="40">
        <v>5</v>
      </c>
      <c r="D624" s="40">
        <v>0</v>
      </c>
      <c r="K624">
        <f>INDEX(OutputValues,620,$J$4)</f>
        <v>2000</v>
      </c>
    </row>
    <row r="625" spans="1:11">
      <c r="A625" s="17">
        <v>410</v>
      </c>
      <c r="B625" s="38">
        <v>2000</v>
      </c>
      <c r="C625" s="40">
        <v>5</v>
      </c>
      <c r="D625" s="40">
        <v>0</v>
      </c>
      <c r="K625">
        <f>INDEX(OutputValues,621,$J$4)</f>
        <v>2000</v>
      </c>
    </row>
    <row r="626" spans="1:11">
      <c r="A626" s="17">
        <v>410.5</v>
      </c>
      <c r="B626" s="38">
        <v>2000</v>
      </c>
      <c r="C626" s="40">
        <v>5</v>
      </c>
      <c r="D626" s="40">
        <v>0</v>
      </c>
      <c r="K626">
        <f>INDEX(OutputValues,622,$J$4)</f>
        <v>2000</v>
      </c>
    </row>
    <row r="627" spans="1:11">
      <c r="A627" s="17">
        <v>411</v>
      </c>
      <c r="B627" s="38">
        <v>2000</v>
      </c>
      <c r="C627" s="40">
        <v>5</v>
      </c>
      <c r="D627" s="40">
        <v>0</v>
      </c>
      <c r="K627">
        <f>INDEX(OutputValues,623,$J$4)</f>
        <v>2000</v>
      </c>
    </row>
    <row r="628" spans="1:11">
      <c r="A628" s="17">
        <v>411.5</v>
      </c>
      <c r="B628" s="38">
        <v>2000</v>
      </c>
      <c r="C628" s="40">
        <v>5</v>
      </c>
      <c r="D628" s="40">
        <v>0</v>
      </c>
      <c r="K628">
        <f>INDEX(OutputValues,624,$J$4)</f>
        <v>2000</v>
      </c>
    </row>
    <row r="629" spans="1:11">
      <c r="A629" s="17">
        <v>412</v>
      </c>
      <c r="B629" s="38">
        <v>2000</v>
      </c>
      <c r="C629" s="40">
        <v>5</v>
      </c>
      <c r="D629" s="40">
        <v>0</v>
      </c>
      <c r="K629">
        <f>INDEX(OutputValues,625,$J$4)</f>
        <v>2000</v>
      </c>
    </row>
    <row r="630" spans="1:11">
      <c r="A630" s="17">
        <v>412.5</v>
      </c>
      <c r="B630" s="38">
        <v>2000</v>
      </c>
      <c r="C630" s="40">
        <v>5</v>
      </c>
      <c r="D630" s="40">
        <v>0</v>
      </c>
      <c r="K630">
        <f>INDEX(OutputValues,626,$J$4)</f>
        <v>2000</v>
      </c>
    </row>
    <row r="631" spans="1:11">
      <c r="A631" s="17">
        <v>413</v>
      </c>
      <c r="B631" s="38">
        <v>2000</v>
      </c>
      <c r="C631" s="40">
        <v>5</v>
      </c>
      <c r="D631" s="40">
        <v>0</v>
      </c>
      <c r="K631">
        <f>INDEX(OutputValues,627,$J$4)</f>
        <v>2000</v>
      </c>
    </row>
    <row r="632" spans="1:11">
      <c r="A632" s="17">
        <v>413.5</v>
      </c>
      <c r="B632" s="38">
        <v>2000</v>
      </c>
      <c r="C632" s="40">
        <v>5</v>
      </c>
      <c r="D632" s="40">
        <v>0</v>
      </c>
      <c r="K632">
        <f>INDEX(OutputValues,628,$J$4)</f>
        <v>2000</v>
      </c>
    </row>
    <row r="633" spans="1:11">
      <c r="A633" s="17">
        <v>414</v>
      </c>
      <c r="B633" s="38">
        <v>2000</v>
      </c>
      <c r="C633" s="40">
        <v>5</v>
      </c>
      <c r="D633" s="40">
        <v>0</v>
      </c>
      <c r="K633">
        <f>INDEX(OutputValues,629,$J$4)</f>
        <v>2000</v>
      </c>
    </row>
    <row r="634" spans="1:11">
      <c r="A634" s="17">
        <v>414.5</v>
      </c>
      <c r="B634" s="38">
        <v>2000</v>
      </c>
      <c r="C634" s="40">
        <v>5</v>
      </c>
      <c r="D634" s="40">
        <v>0</v>
      </c>
      <c r="K634">
        <f>INDEX(OutputValues,630,$J$4)</f>
        <v>2000</v>
      </c>
    </row>
    <row r="635" spans="1:11">
      <c r="A635" s="17">
        <v>415</v>
      </c>
      <c r="B635" s="38">
        <v>2000</v>
      </c>
      <c r="C635" s="40">
        <v>5</v>
      </c>
      <c r="D635" s="40">
        <v>0</v>
      </c>
      <c r="K635">
        <f>INDEX(OutputValues,631,$J$4)</f>
        <v>2000</v>
      </c>
    </row>
    <row r="636" spans="1:11">
      <c r="A636" s="17">
        <v>415.5</v>
      </c>
      <c r="B636" s="38">
        <v>2000</v>
      </c>
      <c r="C636" s="40">
        <v>5</v>
      </c>
      <c r="D636" s="40">
        <v>0</v>
      </c>
      <c r="K636">
        <f>INDEX(OutputValues,632,$J$4)</f>
        <v>2000</v>
      </c>
    </row>
    <row r="637" spans="1:11">
      <c r="A637" s="17">
        <v>416</v>
      </c>
      <c r="B637" s="38">
        <v>2000</v>
      </c>
      <c r="C637" s="40">
        <v>5</v>
      </c>
      <c r="D637" s="40">
        <v>0</v>
      </c>
      <c r="K637">
        <f>INDEX(OutputValues,633,$J$4)</f>
        <v>2000</v>
      </c>
    </row>
    <row r="638" spans="1:11">
      <c r="A638" s="17">
        <v>416.5</v>
      </c>
      <c r="B638" s="38">
        <v>2000</v>
      </c>
      <c r="C638" s="40">
        <v>5</v>
      </c>
      <c r="D638" s="40">
        <v>0</v>
      </c>
      <c r="K638">
        <f>INDEX(OutputValues,634,$J$4)</f>
        <v>2000</v>
      </c>
    </row>
    <row r="639" spans="1:11">
      <c r="A639" s="17">
        <v>417</v>
      </c>
      <c r="B639" s="38">
        <v>2000</v>
      </c>
      <c r="C639" s="40">
        <v>5</v>
      </c>
      <c r="D639" s="40">
        <v>0</v>
      </c>
      <c r="K639">
        <f>INDEX(OutputValues,635,$J$4)</f>
        <v>2000</v>
      </c>
    </row>
    <row r="640" spans="1:11">
      <c r="A640" s="17">
        <v>417.5</v>
      </c>
      <c r="B640" s="38">
        <v>2000</v>
      </c>
      <c r="C640" s="40">
        <v>5</v>
      </c>
      <c r="D640" s="40">
        <v>0</v>
      </c>
      <c r="K640">
        <f>INDEX(OutputValues,636,$J$4)</f>
        <v>2000</v>
      </c>
    </row>
    <row r="641" spans="1:11">
      <c r="A641" s="17">
        <v>418</v>
      </c>
      <c r="B641" s="38">
        <v>2000</v>
      </c>
      <c r="C641" s="40">
        <v>5</v>
      </c>
      <c r="D641" s="40">
        <v>0</v>
      </c>
      <c r="K641">
        <f>INDEX(OutputValues,637,$J$4)</f>
        <v>2000</v>
      </c>
    </row>
    <row r="642" spans="1:11">
      <c r="A642" s="17">
        <v>418.5</v>
      </c>
      <c r="B642" s="38">
        <v>2000</v>
      </c>
      <c r="C642" s="40">
        <v>5</v>
      </c>
      <c r="D642" s="40">
        <v>0</v>
      </c>
      <c r="K642">
        <f>INDEX(OutputValues,638,$J$4)</f>
        <v>2000</v>
      </c>
    </row>
    <row r="643" spans="1:11">
      <c r="A643" s="17">
        <v>419</v>
      </c>
      <c r="B643" s="38">
        <v>2000</v>
      </c>
      <c r="C643" s="40">
        <v>5</v>
      </c>
      <c r="D643" s="40">
        <v>0</v>
      </c>
      <c r="K643">
        <f>INDEX(OutputValues,639,$J$4)</f>
        <v>2000</v>
      </c>
    </row>
    <row r="644" spans="1:11">
      <c r="A644" s="17">
        <v>419.5</v>
      </c>
      <c r="B644" s="38">
        <v>2000</v>
      </c>
      <c r="C644" s="40">
        <v>5</v>
      </c>
      <c r="D644" s="40">
        <v>0</v>
      </c>
      <c r="K644">
        <f>INDEX(OutputValues,640,$J$4)</f>
        <v>2000</v>
      </c>
    </row>
    <row r="645" spans="1:11">
      <c r="A645" s="17">
        <v>420</v>
      </c>
      <c r="B645" s="38">
        <v>2000</v>
      </c>
      <c r="C645" s="40">
        <v>5</v>
      </c>
      <c r="D645" s="40">
        <v>0</v>
      </c>
      <c r="K645">
        <f>INDEX(OutputValues,641,$J$4)</f>
        <v>2000</v>
      </c>
    </row>
    <row r="646" spans="1:11">
      <c r="A646" s="17">
        <v>420.5</v>
      </c>
      <c r="B646" s="38">
        <v>2000</v>
      </c>
      <c r="C646" s="40">
        <v>5</v>
      </c>
      <c r="D646" s="40">
        <v>0</v>
      </c>
      <c r="K646">
        <f>INDEX(OutputValues,642,$J$4)</f>
        <v>2000</v>
      </c>
    </row>
    <row r="647" spans="1:11">
      <c r="A647" s="17">
        <v>421</v>
      </c>
      <c r="B647" s="38">
        <v>2000</v>
      </c>
      <c r="C647" s="40">
        <v>5</v>
      </c>
      <c r="D647" s="40">
        <v>0</v>
      </c>
      <c r="K647">
        <f>INDEX(OutputValues,643,$J$4)</f>
        <v>2000</v>
      </c>
    </row>
    <row r="648" spans="1:11">
      <c r="A648" s="17">
        <v>421.5</v>
      </c>
      <c r="B648" s="38">
        <v>2000</v>
      </c>
      <c r="C648" s="40">
        <v>5</v>
      </c>
      <c r="D648" s="40">
        <v>0</v>
      </c>
      <c r="K648">
        <f>INDEX(OutputValues,644,$J$4)</f>
        <v>2000</v>
      </c>
    </row>
    <row r="649" spans="1:11">
      <c r="A649" s="17">
        <v>422</v>
      </c>
      <c r="B649" s="38">
        <v>2000</v>
      </c>
      <c r="C649" s="40">
        <v>5</v>
      </c>
      <c r="D649" s="40">
        <v>0</v>
      </c>
      <c r="K649">
        <f>INDEX(OutputValues,645,$J$4)</f>
        <v>2000</v>
      </c>
    </row>
    <row r="650" spans="1:11">
      <c r="A650" s="17">
        <v>422.5</v>
      </c>
      <c r="B650" s="38">
        <v>2000</v>
      </c>
      <c r="C650" s="40">
        <v>5</v>
      </c>
      <c r="D650" s="40">
        <v>0</v>
      </c>
      <c r="K650">
        <f>INDEX(OutputValues,646,$J$4)</f>
        <v>2000</v>
      </c>
    </row>
    <row r="651" spans="1:11">
      <c r="A651" s="17">
        <v>423</v>
      </c>
      <c r="B651" s="38">
        <v>2000</v>
      </c>
      <c r="C651" s="40">
        <v>5</v>
      </c>
      <c r="D651" s="40">
        <v>0</v>
      </c>
      <c r="K651">
        <f>INDEX(OutputValues,647,$J$4)</f>
        <v>2000</v>
      </c>
    </row>
    <row r="652" spans="1:11">
      <c r="A652" s="17">
        <v>423.5</v>
      </c>
      <c r="B652" s="38">
        <v>2000</v>
      </c>
      <c r="C652" s="40">
        <v>5</v>
      </c>
      <c r="D652" s="40">
        <v>0</v>
      </c>
      <c r="K652">
        <f>INDEX(OutputValues,648,$J$4)</f>
        <v>2000</v>
      </c>
    </row>
    <row r="653" spans="1:11">
      <c r="A653" s="17">
        <v>424</v>
      </c>
      <c r="B653" s="38">
        <v>2000</v>
      </c>
      <c r="C653" s="40">
        <v>5</v>
      </c>
      <c r="D653" s="40">
        <v>0</v>
      </c>
      <c r="K653">
        <f>INDEX(OutputValues,649,$J$4)</f>
        <v>2000</v>
      </c>
    </row>
    <row r="654" spans="1:11">
      <c r="A654" s="17">
        <v>424.5</v>
      </c>
      <c r="B654" s="38">
        <v>2000</v>
      </c>
      <c r="C654" s="40">
        <v>5</v>
      </c>
      <c r="D654" s="40">
        <v>0</v>
      </c>
      <c r="K654">
        <f>INDEX(OutputValues,650,$J$4)</f>
        <v>2000</v>
      </c>
    </row>
    <row r="655" spans="1:11">
      <c r="A655" s="17">
        <v>425</v>
      </c>
      <c r="B655" s="38">
        <v>2000</v>
      </c>
      <c r="C655" s="40">
        <v>5</v>
      </c>
      <c r="D655" s="40">
        <v>0</v>
      </c>
      <c r="K655">
        <f>INDEX(OutputValues,651,$J$4)</f>
        <v>2000</v>
      </c>
    </row>
    <row r="656" spans="1:11">
      <c r="A656" s="17">
        <v>425.5</v>
      </c>
      <c r="B656" s="38">
        <v>2000</v>
      </c>
      <c r="C656" s="40">
        <v>5</v>
      </c>
      <c r="D656" s="40">
        <v>0</v>
      </c>
      <c r="K656">
        <f>INDEX(OutputValues,652,$J$4)</f>
        <v>2000</v>
      </c>
    </row>
    <row r="657" spans="1:11">
      <c r="A657" s="17">
        <v>426</v>
      </c>
      <c r="B657" s="38">
        <v>2000</v>
      </c>
      <c r="C657" s="40">
        <v>5</v>
      </c>
      <c r="D657" s="40">
        <v>0</v>
      </c>
      <c r="K657">
        <f>INDEX(OutputValues,653,$J$4)</f>
        <v>2000</v>
      </c>
    </row>
    <row r="658" spans="1:11">
      <c r="A658" s="17">
        <v>426.5</v>
      </c>
      <c r="B658" s="38">
        <v>2000</v>
      </c>
      <c r="C658" s="40">
        <v>5</v>
      </c>
      <c r="D658" s="40">
        <v>0</v>
      </c>
      <c r="K658">
        <f>INDEX(OutputValues,654,$J$4)</f>
        <v>2000</v>
      </c>
    </row>
    <row r="659" spans="1:11">
      <c r="A659" s="17">
        <v>427</v>
      </c>
      <c r="B659" s="38">
        <v>2000</v>
      </c>
      <c r="C659" s="40">
        <v>5</v>
      </c>
      <c r="D659" s="40">
        <v>0</v>
      </c>
      <c r="K659">
        <f>INDEX(OutputValues,655,$J$4)</f>
        <v>2000</v>
      </c>
    </row>
    <row r="660" spans="1:11">
      <c r="A660" s="17">
        <v>427.5</v>
      </c>
      <c r="B660" s="38">
        <v>2000</v>
      </c>
      <c r="C660" s="40">
        <v>5</v>
      </c>
      <c r="D660" s="40">
        <v>0</v>
      </c>
      <c r="K660">
        <f>INDEX(OutputValues,656,$J$4)</f>
        <v>2000</v>
      </c>
    </row>
    <row r="661" spans="1:11">
      <c r="A661" s="17">
        <v>428</v>
      </c>
      <c r="B661" s="38">
        <v>2000</v>
      </c>
      <c r="C661" s="40">
        <v>5</v>
      </c>
      <c r="D661" s="40">
        <v>0</v>
      </c>
      <c r="K661">
        <f>INDEX(OutputValues,657,$J$4)</f>
        <v>2000</v>
      </c>
    </row>
    <row r="662" spans="1:11">
      <c r="A662" s="17">
        <v>428.5</v>
      </c>
      <c r="B662" s="38">
        <v>2000</v>
      </c>
      <c r="C662" s="40">
        <v>5</v>
      </c>
      <c r="D662" s="40">
        <v>0</v>
      </c>
      <c r="K662">
        <f>INDEX(OutputValues,658,$J$4)</f>
        <v>2000</v>
      </c>
    </row>
    <row r="663" spans="1:11">
      <c r="A663" s="17">
        <v>429</v>
      </c>
      <c r="B663" s="38">
        <v>2000</v>
      </c>
      <c r="C663" s="40">
        <v>5</v>
      </c>
      <c r="D663" s="40">
        <v>0</v>
      </c>
      <c r="K663">
        <f>INDEX(OutputValues,659,$J$4)</f>
        <v>2000</v>
      </c>
    </row>
    <row r="664" spans="1:11">
      <c r="A664" s="17">
        <v>429.5</v>
      </c>
      <c r="B664" s="38">
        <v>2000</v>
      </c>
      <c r="C664" s="40">
        <v>5</v>
      </c>
      <c r="D664" s="40">
        <v>0</v>
      </c>
      <c r="K664">
        <f>INDEX(OutputValues,660,$J$4)</f>
        <v>2000</v>
      </c>
    </row>
    <row r="665" spans="1:11">
      <c r="A665" s="17">
        <v>430</v>
      </c>
      <c r="B665" s="38">
        <v>2000</v>
      </c>
      <c r="C665" s="40">
        <v>5</v>
      </c>
      <c r="D665" s="40">
        <v>0</v>
      </c>
      <c r="K665">
        <f>INDEX(OutputValues,661,$J$4)</f>
        <v>2000</v>
      </c>
    </row>
    <row r="666" spans="1:11">
      <c r="A666" s="17">
        <v>430.5</v>
      </c>
      <c r="B666" s="38">
        <v>2000</v>
      </c>
      <c r="C666" s="40">
        <v>5</v>
      </c>
      <c r="D666" s="40">
        <v>0</v>
      </c>
      <c r="K666">
        <f>INDEX(OutputValues,662,$J$4)</f>
        <v>2000</v>
      </c>
    </row>
    <row r="667" spans="1:11">
      <c r="A667" s="17">
        <v>431</v>
      </c>
      <c r="B667" s="38">
        <v>2000</v>
      </c>
      <c r="C667" s="40">
        <v>5</v>
      </c>
      <c r="D667" s="40">
        <v>0</v>
      </c>
      <c r="K667">
        <f>INDEX(OutputValues,663,$J$4)</f>
        <v>2000</v>
      </c>
    </row>
    <row r="668" spans="1:11">
      <c r="A668" s="17">
        <v>431.5</v>
      </c>
      <c r="B668" s="38">
        <v>2000</v>
      </c>
      <c r="C668" s="40">
        <v>5</v>
      </c>
      <c r="D668" s="40">
        <v>0</v>
      </c>
      <c r="K668">
        <f>INDEX(OutputValues,664,$J$4)</f>
        <v>2000</v>
      </c>
    </row>
    <row r="669" spans="1:11">
      <c r="A669" s="17">
        <v>432</v>
      </c>
      <c r="B669" s="38">
        <v>2000</v>
      </c>
      <c r="C669" s="40">
        <v>5</v>
      </c>
      <c r="D669" s="40">
        <v>0</v>
      </c>
      <c r="K669">
        <f>INDEX(OutputValues,665,$J$4)</f>
        <v>2000</v>
      </c>
    </row>
    <row r="670" spans="1:11">
      <c r="A670" s="17">
        <v>432.5</v>
      </c>
      <c r="B670" s="38">
        <v>2000</v>
      </c>
      <c r="C670" s="40">
        <v>5</v>
      </c>
      <c r="D670" s="40">
        <v>0</v>
      </c>
      <c r="K670">
        <f>INDEX(OutputValues,666,$J$4)</f>
        <v>2000</v>
      </c>
    </row>
    <row r="671" spans="1:11">
      <c r="A671" s="17">
        <v>433</v>
      </c>
      <c r="B671" s="38">
        <v>2000</v>
      </c>
      <c r="C671" s="40">
        <v>5</v>
      </c>
      <c r="D671" s="40">
        <v>0</v>
      </c>
      <c r="K671">
        <f>INDEX(OutputValues,667,$J$4)</f>
        <v>2000</v>
      </c>
    </row>
    <row r="672" spans="1:11">
      <c r="A672" s="17">
        <v>433.5</v>
      </c>
      <c r="B672" s="38">
        <v>2000</v>
      </c>
      <c r="C672" s="40">
        <v>5</v>
      </c>
      <c r="D672" s="40">
        <v>0</v>
      </c>
      <c r="K672">
        <f>INDEX(OutputValues,668,$J$4)</f>
        <v>2000</v>
      </c>
    </row>
    <row r="673" spans="1:11">
      <c r="A673" s="17">
        <v>434</v>
      </c>
      <c r="B673" s="38">
        <v>2000</v>
      </c>
      <c r="C673" s="40">
        <v>5</v>
      </c>
      <c r="D673" s="40">
        <v>0</v>
      </c>
      <c r="K673">
        <f>INDEX(OutputValues,669,$J$4)</f>
        <v>2000</v>
      </c>
    </row>
    <row r="674" spans="1:11">
      <c r="A674" s="17">
        <v>434.5</v>
      </c>
      <c r="B674" s="38">
        <v>2000</v>
      </c>
      <c r="C674" s="40">
        <v>5</v>
      </c>
      <c r="D674" s="40">
        <v>0</v>
      </c>
      <c r="K674">
        <f>INDEX(OutputValues,670,$J$4)</f>
        <v>2000</v>
      </c>
    </row>
    <row r="675" spans="1:11">
      <c r="A675" s="17">
        <v>435</v>
      </c>
      <c r="B675" s="38">
        <v>2000</v>
      </c>
      <c r="C675" s="40">
        <v>5</v>
      </c>
      <c r="D675" s="40">
        <v>0</v>
      </c>
      <c r="K675">
        <f>INDEX(OutputValues,671,$J$4)</f>
        <v>2000</v>
      </c>
    </row>
    <row r="676" spans="1:11">
      <c r="A676" s="17">
        <v>435.5</v>
      </c>
      <c r="B676" s="38">
        <v>2000</v>
      </c>
      <c r="C676" s="40">
        <v>5</v>
      </c>
      <c r="D676" s="40">
        <v>0</v>
      </c>
      <c r="K676">
        <f>INDEX(OutputValues,672,$J$4)</f>
        <v>2000</v>
      </c>
    </row>
    <row r="677" spans="1:11">
      <c r="A677" s="17">
        <v>436</v>
      </c>
      <c r="B677" s="38">
        <v>2000</v>
      </c>
      <c r="C677" s="40">
        <v>5</v>
      </c>
      <c r="D677" s="40">
        <v>0</v>
      </c>
      <c r="K677">
        <f>INDEX(OutputValues,673,$J$4)</f>
        <v>2000</v>
      </c>
    </row>
    <row r="678" spans="1:11">
      <c r="A678" s="17">
        <v>436.5</v>
      </c>
      <c r="B678" s="38">
        <v>2000</v>
      </c>
      <c r="C678" s="40">
        <v>5</v>
      </c>
      <c r="D678" s="40">
        <v>0</v>
      </c>
      <c r="K678">
        <f>INDEX(OutputValues,674,$J$4)</f>
        <v>2000</v>
      </c>
    </row>
    <row r="679" spans="1:11">
      <c r="A679" s="17">
        <v>437</v>
      </c>
      <c r="B679" s="38">
        <v>2000</v>
      </c>
      <c r="C679" s="40">
        <v>5</v>
      </c>
      <c r="D679" s="40">
        <v>0</v>
      </c>
      <c r="K679">
        <f>INDEX(OutputValues,675,$J$4)</f>
        <v>2000</v>
      </c>
    </row>
    <row r="680" spans="1:11">
      <c r="A680" s="17">
        <v>437.5</v>
      </c>
      <c r="B680" s="38">
        <v>2000</v>
      </c>
      <c r="C680" s="40">
        <v>5</v>
      </c>
      <c r="D680" s="40">
        <v>0</v>
      </c>
      <c r="K680">
        <f>INDEX(OutputValues,676,$J$4)</f>
        <v>2000</v>
      </c>
    </row>
    <row r="681" spans="1:11">
      <c r="A681" s="17">
        <v>438</v>
      </c>
      <c r="B681" s="38">
        <v>2000</v>
      </c>
      <c r="C681" s="40">
        <v>5</v>
      </c>
      <c r="D681" s="40">
        <v>0</v>
      </c>
      <c r="K681">
        <f>INDEX(OutputValues,677,$J$4)</f>
        <v>2000</v>
      </c>
    </row>
    <row r="682" spans="1:11">
      <c r="A682" s="17">
        <v>438.5</v>
      </c>
      <c r="B682" s="38">
        <v>2000</v>
      </c>
      <c r="C682" s="40">
        <v>5</v>
      </c>
      <c r="D682" s="40">
        <v>0</v>
      </c>
      <c r="K682">
        <f>INDEX(OutputValues,678,$J$4)</f>
        <v>2000</v>
      </c>
    </row>
    <row r="683" spans="1:11">
      <c r="A683" s="17">
        <v>439</v>
      </c>
      <c r="B683" s="38">
        <v>2000</v>
      </c>
      <c r="C683" s="40">
        <v>5</v>
      </c>
      <c r="D683" s="40">
        <v>0</v>
      </c>
      <c r="K683">
        <f>INDEX(OutputValues,679,$J$4)</f>
        <v>2000</v>
      </c>
    </row>
    <row r="684" spans="1:11">
      <c r="A684" s="17">
        <v>439.5</v>
      </c>
      <c r="B684" s="38">
        <v>2000</v>
      </c>
      <c r="C684" s="40">
        <v>5</v>
      </c>
      <c r="D684" s="40">
        <v>0</v>
      </c>
      <c r="K684">
        <f>INDEX(OutputValues,680,$J$4)</f>
        <v>2000</v>
      </c>
    </row>
    <row r="685" spans="1:11">
      <c r="A685" s="17">
        <v>440</v>
      </c>
      <c r="B685" s="38">
        <v>2000</v>
      </c>
      <c r="C685" s="40">
        <v>5</v>
      </c>
      <c r="D685" s="40">
        <v>0</v>
      </c>
      <c r="K685">
        <f>INDEX(OutputValues,681,$J$4)</f>
        <v>2000</v>
      </c>
    </row>
    <row r="686" spans="1:11">
      <c r="A686" s="17">
        <v>440.5</v>
      </c>
      <c r="B686" s="38">
        <v>2000</v>
      </c>
      <c r="C686" s="40">
        <v>5</v>
      </c>
      <c r="D686" s="40">
        <v>0</v>
      </c>
      <c r="K686">
        <f>INDEX(OutputValues,682,$J$4)</f>
        <v>2000</v>
      </c>
    </row>
    <row r="687" spans="1:11">
      <c r="A687" s="17">
        <v>441</v>
      </c>
      <c r="B687" s="38">
        <v>2000</v>
      </c>
      <c r="C687" s="40">
        <v>5</v>
      </c>
      <c r="D687" s="40">
        <v>0</v>
      </c>
      <c r="K687">
        <f>INDEX(OutputValues,683,$J$4)</f>
        <v>2000</v>
      </c>
    </row>
    <row r="688" spans="1:11">
      <c r="A688" s="17">
        <v>441.5</v>
      </c>
      <c r="B688" s="38">
        <v>2000</v>
      </c>
      <c r="C688" s="40">
        <v>5</v>
      </c>
      <c r="D688" s="40">
        <v>0</v>
      </c>
      <c r="K688">
        <f>INDEX(OutputValues,684,$J$4)</f>
        <v>2000</v>
      </c>
    </row>
    <row r="689" spans="1:11">
      <c r="A689" s="17">
        <v>442</v>
      </c>
      <c r="B689" s="38">
        <v>2000</v>
      </c>
      <c r="C689" s="40">
        <v>5</v>
      </c>
      <c r="D689" s="40">
        <v>0</v>
      </c>
      <c r="K689">
        <f>INDEX(OutputValues,685,$J$4)</f>
        <v>2000</v>
      </c>
    </row>
    <row r="690" spans="1:11">
      <c r="A690" s="17">
        <v>442.5</v>
      </c>
      <c r="B690" s="38">
        <v>2000</v>
      </c>
      <c r="C690" s="40">
        <v>5</v>
      </c>
      <c r="D690" s="40">
        <v>0</v>
      </c>
      <c r="K690">
        <f>INDEX(OutputValues,686,$J$4)</f>
        <v>2000</v>
      </c>
    </row>
    <row r="691" spans="1:11">
      <c r="A691" s="17">
        <v>443</v>
      </c>
      <c r="B691" s="38">
        <v>2000</v>
      </c>
      <c r="C691" s="40">
        <v>5</v>
      </c>
      <c r="D691" s="40">
        <v>0</v>
      </c>
      <c r="K691">
        <f>INDEX(OutputValues,687,$J$4)</f>
        <v>2000</v>
      </c>
    </row>
    <row r="692" spans="1:11">
      <c r="A692" s="17">
        <v>443.5</v>
      </c>
      <c r="B692" s="38">
        <v>2000</v>
      </c>
      <c r="C692" s="40">
        <v>5</v>
      </c>
      <c r="D692" s="40">
        <v>0</v>
      </c>
      <c r="K692">
        <f>INDEX(OutputValues,688,$J$4)</f>
        <v>2000</v>
      </c>
    </row>
    <row r="693" spans="1:11">
      <c r="A693" s="17">
        <v>444</v>
      </c>
      <c r="B693" s="38">
        <v>2000</v>
      </c>
      <c r="C693" s="40">
        <v>5</v>
      </c>
      <c r="D693" s="40">
        <v>0</v>
      </c>
      <c r="K693">
        <f>INDEX(OutputValues,689,$J$4)</f>
        <v>2000</v>
      </c>
    </row>
    <row r="694" spans="1:11">
      <c r="A694" s="17">
        <v>444.5</v>
      </c>
      <c r="B694" s="38">
        <v>2000</v>
      </c>
      <c r="C694" s="40">
        <v>5</v>
      </c>
      <c r="D694" s="40">
        <v>0</v>
      </c>
      <c r="K694">
        <f>INDEX(OutputValues,690,$J$4)</f>
        <v>2000</v>
      </c>
    </row>
    <row r="695" spans="1:11">
      <c r="A695" s="17">
        <v>445</v>
      </c>
      <c r="B695" s="38">
        <v>2000</v>
      </c>
      <c r="C695" s="40">
        <v>5</v>
      </c>
      <c r="D695" s="40">
        <v>0</v>
      </c>
      <c r="K695">
        <f>INDEX(OutputValues,691,$J$4)</f>
        <v>2000</v>
      </c>
    </row>
    <row r="696" spans="1:11">
      <c r="A696" s="17">
        <v>445.5</v>
      </c>
      <c r="B696" s="38">
        <v>2000</v>
      </c>
      <c r="C696" s="40">
        <v>5</v>
      </c>
      <c r="D696" s="40">
        <v>0</v>
      </c>
      <c r="K696">
        <f>INDEX(OutputValues,692,$J$4)</f>
        <v>2000</v>
      </c>
    </row>
    <row r="697" spans="1:11">
      <c r="A697" s="17">
        <v>446</v>
      </c>
      <c r="B697" s="38">
        <v>2000</v>
      </c>
      <c r="C697" s="40">
        <v>5</v>
      </c>
      <c r="D697" s="40">
        <v>0</v>
      </c>
      <c r="K697">
        <f>INDEX(OutputValues,693,$J$4)</f>
        <v>2000</v>
      </c>
    </row>
    <row r="698" spans="1:11">
      <c r="A698" s="17">
        <v>446.5</v>
      </c>
      <c r="B698" s="38">
        <v>2000</v>
      </c>
      <c r="C698" s="40">
        <v>5</v>
      </c>
      <c r="D698" s="40">
        <v>0</v>
      </c>
      <c r="K698">
        <f>INDEX(OutputValues,694,$J$4)</f>
        <v>2000</v>
      </c>
    </row>
    <row r="699" spans="1:11">
      <c r="A699" s="17">
        <v>447</v>
      </c>
      <c r="B699" s="38">
        <v>2000</v>
      </c>
      <c r="C699" s="40">
        <v>5</v>
      </c>
      <c r="D699" s="40">
        <v>0</v>
      </c>
      <c r="K699">
        <f>INDEX(OutputValues,695,$J$4)</f>
        <v>2000</v>
      </c>
    </row>
    <row r="700" spans="1:11">
      <c r="A700" s="17">
        <v>447.5</v>
      </c>
      <c r="B700" s="38">
        <v>2000</v>
      </c>
      <c r="C700" s="40">
        <v>5</v>
      </c>
      <c r="D700" s="40">
        <v>0</v>
      </c>
      <c r="K700">
        <f>INDEX(OutputValues,696,$J$4)</f>
        <v>2000</v>
      </c>
    </row>
    <row r="701" spans="1:11">
      <c r="A701" s="17">
        <v>448</v>
      </c>
      <c r="B701" s="38">
        <v>2000</v>
      </c>
      <c r="C701" s="40">
        <v>5</v>
      </c>
      <c r="D701" s="40">
        <v>0</v>
      </c>
      <c r="K701">
        <f>INDEX(OutputValues,697,$J$4)</f>
        <v>2000</v>
      </c>
    </row>
    <row r="702" spans="1:11">
      <c r="A702" s="17">
        <v>448.5</v>
      </c>
      <c r="B702" s="38">
        <v>2000</v>
      </c>
      <c r="C702" s="40">
        <v>5</v>
      </c>
      <c r="D702" s="40">
        <v>0</v>
      </c>
      <c r="K702">
        <f>INDEX(OutputValues,698,$J$4)</f>
        <v>2000</v>
      </c>
    </row>
    <row r="703" spans="1:11">
      <c r="A703" s="17">
        <v>449</v>
      </c>
      <c r="B703" s="38">
        <v>2000</v>
      </c>
      <c r="C703" s="40">
        <v>5</v>
      </c>
      <c r="D703" s="40">
        <v>0</v>
      </c>
      <c r="K703">
        <f>INDEX(OutputValues,699,$J$4)</f>
        <v>2000</v>
      </c>
    </row>
    <row r="704" spans="1:11">
      <c r="A704" s="17">
        <v>449.5</v>
      </c>
      <c r="B704" s="38">
        <v>2000</v>
      </c>
      <c r="C704" s="40">
        <v>5</v>
      </c>
      <c r="D704" s="40">
        <v>0</v>
      </c>
      <c r="K704">
        <f>INDEX(OutputValues,700,$J$4)</f>
        <v>2000</v>
      </c>
    </row>
    <row r="705" spans="1:11">
      <c r="A705" s="17">
        <v>450</v>
      </c>
      <c r="B705" s="38">
        <v>2000</v>
      </c>
      <c r="C705" s="40">
        <v>5</v>
      </c>
      <c r="D705" s="40">
        <v>0</v>
      </c>
      <c r="K705">
        <f>INDEX(OutputValues,701,$J$4)</f>
        <v>2000</v>
      </c>
    </row>
    <row r="706" spans="1:11">
      <c r="A706" s="17">
        <v>450.5</v>
      </c>
      <c r="B706" s="38">
        <v>2000</v>
      </c>
      <c r="C706" s="40">
        <v>5</v>
      </c>
      <c r="D706" s="40">
        <v>0</v>
      </c>
      <c r="K706">
        <f>INDEX(OutputValues,702,$J$4)</f>
        <v>2000</v>
      </c>
    </row>
    <row r="707" spans="1:11">
      <c r="A707" s="17">
        <v>451</v>
      </c>
      <c r="B707" s="38">
        <v>2000</v>
      </c>
      <c r="C707" s="40">
        <v>5</v>
      </c>
      <c r="D707" s="40">
        <v>0</v>
      </c>
      <c r="K707">
        <f>INDEX(OutputValues,703,$J$4)</f>
        <v>2000</v>
      </c>
    </row>
    <row r="708" spans="1:11">
      <c r="A708" s="17">
        <v>451.5</v>
      </c>
      <c r="B708" s="38">
        <v>2000</v>
      </c>
      <c r="C708" s="40">
        <v>5</v>
      </c>
      <c r="D708" s="40">
        <v>0</v>
      </c>
      <c r="K708">
        <f>INDEX(OutputValues,704,$J$4)</f>
        <v>2000</v>
      </c>
    </row>
    <row r="709" spans="1:11">
      <c r="A709" s="17">
        <v>452</v>
      </c>
      <c r="B709" s="38">
        <v>2000</v>
      </c>
      <c r="C709" s="40">
        <v>5</v>
      </c>
      <c r="D709" s="40">
        <v>0</v>
      </c>
      <c r="K709">
        <f>INDEX(OutputValues,705,$J$4)</f>
        <v>2000</v>
      </c>
    </row>
    <row r="710" spans="1:11">
      <c r="A710" s="17">
        <v>452.5</v>
      </c>
      <c r="B710" s="38">
        <v>2000</v>
      </c>
      <c r="C710" s="40">
        <v>5</v>
      </c>
      <c r="D710" s="40">
        <v>0</v>
      </c>
      <c r="K710">
        <f>INDEX(OutputValues,706,$J$4)</f>
        <v>2000</v>
      </c>
    </row>
    <row r="711" spans="1:11">
      <c r="A711" s="17">
        <v>453</v>
      </c>
      <c r="B711" s="38">
        <v>2000</v>
      </c>
      <c r="C711" s="40">
        <v>5</v>
      </c>
      <c r="D711" s="40">
        <v>0</v>
      </c>
      <c r="K711">
        <f>INDEX(OutputValues,707,$J$4)</f>
        <v>2000</v>
      </c>
    </row>
    <row r="712" spans="1:11">
      <c r="A712" s="17">
        <v>453.5</v>
      </c>
      <c r="B712" s="38">
        <v>2000</v>
      </c>
      <c r="C712" s="40">
        <v>5</v>
      </c>
      <c r="D712" s="40">
        <v>0</v>
      </c>
      <c r="K712">
        <f>INDEX(OutputValues,708,$J$4)</f>
        <v>2000</v>
      </c>
    </row>
    <row r="713" spans="1:11">
      <c r="A713" s="17">
        <v>454</v>
      </c>
      <c r="B713" s="38">
        <v>2000</v>
      </c>
      <c r="C713" s="40">
        <v>5</v>
      </c>
      <c r="D713" s="40">
        <v>0</v>
      </c>
      <c r="K713">
        <f>INDEX(OutputValues,709,$J$4)</f>
        <v>2000</v>
      </c>
    </row>
    <row r="714" spans="1:11">
      <c r="A714" s="17">
        <v>454.5</v>
      </c>
      <c r="B714" s="38">
        <v>2000</v>
      </c>
      <c r="C714" s="40">
        <v>5</v>
      </c>
      <c r="D714" s="40">
        <v>0</v>
      </c>
      <c r="K714">
        <f>INDEX(OutputValues,710,$J$4)</f>
        <v>2000</v>
      </c>
    </row>
    <row r="715" spans="1:11">
      <c r="A715" s="17">
        <v>455</v>
      </c>
      <c r="B715" s="38">
        <v>2000</v>
      </c>
      <c r="C715" s="40">
        <v>5</v>
      </c>
      <c r="D715" s="40">
        <v>0</v>
      </c>
      <c r="K715">
        <f>INDEX(OutputValues,711,$J$4)</f>
        <v>2000</v>
      </c>
    </row>
    <row r="716" spans="1:11">
      <c r="A716" s="17">
        <v>455.5</v>
      </c>
      <c r="B716" s="38">
        <v>2000</v>
      </c>
      <c r="C716" s="40">
        <v>5</v>
      </c>
      <c r="D716" s="40">
        <v>0</v>
      </c>
      <c r="K716">
        <f>INDEX(OutputValues,712,$J$4)</f>
        <v>2000</v>
      </c>
    </row>
    <row r="717" spans="1:11">
      <c r="A717" s="17">
        <v>456</v>
      </c>
      <c r="B717" s="38">
        <v>2000</v>
      </c>
      <c r="C717" s="40">
        <v>5</v>
      </c>
      <c r="D717" s="40">
        <v>0</v>
      </c>
      <c r="K717">
        <f>INDEX(OutputValues,713,$J$4)</f>
        <v>2000</v>
      </c>
    </row>
    <row r="718" spans="1:11">
      <c r="A718" s="17">
        <v>456.5</v>
      </c>
      <c r="B718" s="38">
        <v>2000</v>
      </c>
      <c r="C718" s="40">
        <v>5</v>
      </c>
      <c r="D718" s="40">
        <v>0</v>
      </c>
      <c r="K718">
        <f>INDEX(OutputValues,714,$J$4)</f>
        <v>2000</v>
      </c>
    </row>
    <row r="719" spans="1:11">
      <c r="A719" s="17">
        <v>457</v>
      </c>
      <c r="B719" s="38">
        <v>2000</v>
      </c>
      <c r="C719" s="40">
        <v>5</v>
      </c>
      <c r="D719" s="40">
        <v>0</v>
      </c>
      <c r="K719">
        <f>INDEX(OutputValues,715,$J$4)</f>
        <v>2000</v>
      </c>
    </row>
    <row r="720" spans="1:11">
      <c r="A720" s="17">
        <v>457.5</v>
      </c>
      <c r="B720" s="38">
        <v>2000</v>
      </c>
      <c r="C720" s="40">
        <v>5</v>
      </c>
      <c r="D720" s="40">
        <v>0</v>
      </c>
      <c r="K720">
        <f>INDEX(OutputValues,716,$J$4)</f>
        <v>2000</v>
      </c>
    </row>
    <row r="721" spans="1:11">
      <c r="A721" s="17">
        <v>458</v>
      </c>
      <c r="B721" s="38">
        <v>2000</v>
      </c>
      <c r="C721" s="40">
        <v>5</v>
      </c>
      <c r="D721" s="40">
        <v>0</v>
      </c>
      <c r="K721">
        <f>INDEX(OutputValues,717,$J$4)</f>
        <v>2000</v>
      </c>
    </row>
    <row r="722" spans="1:11">
      <c r="A722" s="17">
        <v>458.5</v>
      </c>
      <c r="B722" s="38">
        <v>2000</v>
      </c>
      <c r="C722" s="40">
        <v>5</v>
      </c>
      <c r="D722" s="40">
        <v>0</v>
      </c>
      <c r="K722">
        <f>INDEX(OutputValues,718,$J$4)</f>
        <v>2000</v>
      </c>
    </row>
    <row r="723" spans="1:11">
      <c r="A723" s="17">
        <v>459</v>
      </c>
      <c r="B723" s="38">
        <v>2000</v>
      </c>
      <c r="C723" s="40">
        <v>5</v>
      </c>
      <c r="D723" s="40">
        <v>0</v>
      </c>
      <c r="K723">
        <f>INDEX(OutputValues,719,$J$4)</f>
        <v>2000</v>
      </c>
    </row>
    <row r="724" spans="1:11">
      <c r="A724" s="17">
        <v>459.5</v>
      </c>
      <c r="B724" s="38">
        <v>2000</v>
      </c>
      <c r="C724" s="40">
        <v>5</v>
      </c>
      <c r="D724" s="40">
        <v>0</v>
      </c>
      <c r="K724">
        <f>INDEX(OutputValues,720,$J$4)</f>
        <v>2000</v>
      </c>
    </row>
    <row r="725" spans="1:11">
      <c r="A725" s="17">
        <v>460</v>
      </c>
      <c r="B725" s="38">
        <v>2000</v>
      </c>
      <c r="C725" s="40">
        <v>5</v>
      </c>
      <c r="D725" s="40">
        <v>0</v>
      </c>
      <c r="K725">
        <f>INDEX(OutputValues,721,$J$4)</f>
        <v>2000</v>
      </c>
    </row>
    <row r="726" spans="1:11">
      <c r="A726" s="17">
        <v>460.5</v>
      </c>
      <c r="B726" s="38">
        <v>2000</v>
      </c>
      <c r="C726" s="40">
        <v>5</v>
      </c>
      <c r="D726" s="40">
        <v>0</v>
      </c>
      <c r="K726">
        <f>INDEX(OutputValues,722,$J$4)</f>
        <v>2000</v>
      </c>
    </row>
    <row r="727" spans="1:11">
      <c r="A727" s="17">
        <v>461</v>
      </c>
      <c r="B727" s="38">
        <v>2000</v>
      </c>
      <c r="C727" s="40">
        <v>5</v>
      </c>
      <c r="D727" s="40">
        <v>0</v>
      </c>
      <c r="K727">
        <f>INDEX(OutputValues,723,$J$4)</f>
        <v>2000</v>
      </c>
    </row>
    <row r="728" spans="1:11">
      <c r="A728" s="17">
        <v>461.5</v>
      </c>
      <c r="B728" s="38">
        <v>2000</v>
      </c>
      <c r="C728" s="40">
        <v>5</v>
      </c>
      <c r="D728" s="40">
        <v>0</v>
      </c>
      <c r="K728">
        <f>INDEX(OutputValues,724,$J$4)</f>
        <v>2000</v>
      </c>
    </row>
    <row r="729" spans="1:11">
      <c r="A729" s="17">
        <v>462</v>
      </c>
      <c r="B729" s="38">
        <v>2000</v>
      </c>
      <c r="C729" s="40">
        <v>5</v>
      </c>
      <c r="D729" s="40">
        <v>0</v>
      </c>
      <c r="K729">
        <f>INDEX(OutputValues,725,$J$4)</f>
        <v>2000</v>
      </c>
    </row>
    <row r="730" spans="1:11">
      <c r="A730" s="17">
        <v>462.5</v>
      </c>
      <c r="B730" s="38">
        <v>2000</v>
      </c>
      <c r="C730" s="40">
        <v>5</v>
      </c>
      <c r="D730" s="40">
        <v>0</v>
      </c>
      <c r="K730">
        <f>INDEX(OutputValues,726,$J$4)</f>
        <v>2000</v>
      </c>
    </row>
    <row r="731" spans="1:11">
      <c r="A731" s="17">
        <v>463</v>
      </c>
      <c r="B731" s="38">
        <v>2000</v>
      </c>
      <c r="C731" s="40">
        <v>5</v>
      </c>
      <c r="D731" s="40">
        <v>0</v>
      </c>
      <c r="K731">
        <f>INDEX(OutputValues,727,$J$4)</f>
        <v>2000</v>
      </c>
    </row>
    <row r="732" spans="1:11">
      <c r="A732" s="17">
        <v>463.5</v>
      </c>
      <c r="B732" s="38">
        <v>2000</v>
      </c>
      <c r="C732" s="40">
        <v>5</v>
      </c>
      <c r="D732" s="40">
        <v>0</v>
      </c>
      <c r="K732">
        <f>INDEX(OutputValues,728,$J$4)</f>
        <v>2000</v>
      </c>
    </row>
    <row r="733" spans="1:11">
      <c r="A733" s="17">
        <v>464</v>
      </c>
      <c r="B733" s="38">
        <v>2000</v>
      </c>
      <c r="C733" s="40">
        <v>5</v>
      </c>
      <c r="D733" s="40">
        <v>0</v>
      </c>
      <c r="K733">
        <f>INDEX(OutputValues,729,$J$4)</f>
        <v>2000</v>
      </c>
    </row>
    <row r="734" spans="1:11">
      <c r="A734" s="17">
        <v>464.5</v>
      </c>
      <c r="B734" s="38">
        <v>2000</v>
      </c>
      <c r="C734" s="40">
        <v>5</v>
      </c>
      <c r="D734" s="40">
        <v>0</v>
      </c>
      <c r="K734">
        <f>INDEX(OutputValues,730,$J$4)</f>
        <v>2000</v>
      </c>
    </row>
    <row r="735" spans="1:11">
      <c r="A735" s="17">
        <v>465</v>
      </c>
      <c r="B735" s="38">
        <v>2000</v>
      </c>
      <c r="C735" s="40">
        <v>5</v>
      </c>
      <c r="D735" s="40">
        <v>0</v>
      </c>
      <c r="K735">
        <f>INDEX(OutputValues,731,$J$4)</f>
        <v>2000</v>
      </c>
    </row>
    <row r="736" spans="1:11">
      <c r="A736" s="17">
        <v>465.5</v>
      </c>
      <c r="B736" s="38">
        <v>2000</v>
      </c>
      <c r="C736" s="40">
        <v>5</v>
      </c>
      <c r="D736" s="40">
        <v>0</v>
      </c>
      <c r="K736">
        <f>INDEX(OutputValues,732,$J$4)</f>
        <v>2000</v>
      </c>
    </row>
    <row r="737" spans="1:11">
      <c r="A737" s="17">
        <v>466</v>
      </c>
      <c r="B737" s="38">
        <v>2000</v>
      </c>
      <c r="C737" s="40">
        <v>5</v>
      </c>
      <c r="D737" s="40">
        <v>0</v>
      </c>
      <c r="K737">
        <f>INDEX(OutputValues,733,$J$4)</f>
        <v>2000</v>
      </c>
    </row>
    <row r="738" spans="1:11">
      <c r="A738" s="17">
        <v>466.5</v>
      </c>
      <c r="B738" s="38">
        <v>2000</v>
      </c>
      <c r="C738" s="40">
        <v>5</v>
      </c>
      <c r="D738" s="40">
        <v>0</v>
      </c>
      <c r="K738">
        <f>INDEX(OutputValues,734,$J$4)</f>
        <v>2000</v>
      </c>
    </row>
    <row r="739" spans="1:11">
      <c r="A739" s="17">
        <v>467</v>
      </c>
      <c r="B739" s="38">
        <v>2000</v>
      </c>
      <c r="C739" s="40">
        <v>5</v>
      </c>
      <c r="D739" s="40">
        <v>0</v>
      </c>
      <c r="K739">
        <f>INDEX(OutputValues,735,$J$4)</f>
        <v>2000</v>
      </c>
    </row>
    <row r="740" spans="1:11">
      <c r="A740" s="17">
        <v>467.5</v>
      </c>
      <c r="B740" s="38">
        <v>2000</v>
      </c>
      <c r="C740" s="40">
        <v>5</v>
      </c>
      <c r="D740" s="40">
        <v>0</v>
      </c>
      <c r="K740">
        <f>INDEX(OutputValues,736,$J$4)</f>
        <v>2000</v>
      </c>
    </row>
    <row r="741" spans="1:11">
      <c r="A741" s="17">
        <v>468</v>
      </c>
      <c r="B741" s="38">
        <v>2000</v>
      </c>
      <c r="C741" s="40">
        <v>5</v>
      </c>
      <c r="D741" s="40">
        <v>0</v>
      </c>
      <c r="K741">
        <f>INDEX(OutputValues,737,$J$4)</f>
        <v>2000</v>
      </c>
    </row>
    <row r="742" spans="1:11">
      <c r="A742" s="17">
        <v>468.5</v>
      </c>
      <c r="B742" s="38">
        <v>2000</v>
      </c>
      <c r="C742" s="40">
        <v>5</v>
      </c>
      <c r="D742" s="40">
        <v>0</v>
      </c>
      <c r="K742">
        <f>INDEX(OutputValues,738,$J$4)</f>
        <v>2000</v>
      </c>
    </row>
    <row r="743" spans="1:11">
      <c r="A743" s="17">
        <v>469</v>
      </c>
      <c r="B743" s="38">
        <v>2000</v>
      </c>
      <c r="C743" s="40">
        <v>5</v>
      </c>
      <c r="D743" s="40">
        <v>0</v>
      </c>
      <c r="K743">
        <f>INDEX(OutputValues,739,$J$4)</f>
        <v>2000</v>
      </c>
    </row>
    <row r="744" spans="1:11">
      <c r="A744" s="17">
        <v>469.5</v>
      </c>
      <c r="B744" s="38">
        <v>2000</v>
      </c>
      <c r="C744" s="40">
        <v>5</v>
      </c>
      <c r="D744" s="40">
        <v>0</v>
      </c>
      <c r="K744">
        <f>INDEX(OutputValues,740,$J$4)</f>
        <v>2000</v>
      </c>
    </row>
    <row r="745" spans="1:11">
      <c r="A745" s="17">
        <v>470</v>
      </c>
      <c r="B745" s="38">
        <v>2000</v>
      </c>
      <c r="C745" s="40">
        <v>5</v>
      </c>
      <c r="D745" s="40">
        <v>0</v>
      </c>
      <c r="K745">
        <f>INDEX(OutputValues,741,$J$4)</f>
        <v>2000</v>
      </c>
    </row>
    <row r="746" spans="1:11">
      <c r="A746" s="17">
        <v>470.5</v>
      </c>
      <c r="B746" s="38">
        <v>2000</v>
      </c>
      <c r="C746" s="40">
        <v>5</v>
      </c>
      <c r="D746" s="40">
        <v>0</v>
      </c>
      <c r="K746">
        <f>INDEX(OutputValues,742,$J$4)</f>
        <v>2000</v>
      </c>
    </row>
    <row r="747" spans="1:11">
      <c r="A747" s="17">
        <v>471</v>
      </c>
      <c r="B747" s="38">
        <v>2000</v>
      </c>
      <c r="C747" s="40">
        <v>5</v>
      </c>
      <c r="D747" s="40">
        <v>0</v>
      </c>
      <c r="K747">
        <f>INDEX(OutputValues,743,$J$4)</f>
        <v>2000</v>
      </c>
    </row>
    <row r="748" spans="1:11">
      <c r="A748" s="17">
        <v>471.5</v>
      </c>
      <c r="B748" s="38">
        <v>2000</v>
      </c>
      <c r="C748" s="40">
        <v>5</v>
      </c>
      <c r="D748" s="40">
        <v>0</v>
      </c>
      <c r="K748">
        <f>INDEX(OutputValues,744,$J$4)</f>
        <v>2000</v>
      </c>
    </row>
    <row r="749" spans="1:11">
      <c r="A749" s="17">
        <v>472</v>
      </c>
      <c r="B749" s="38">
        <v>2000</v>
      </c>
      <c r="C749" s="40">
        <v>5</v>
      </c>
      <c r="D749" s="40">
        <v>0</v>
      </c>
      <c r="K749">
        <f>INDEX(OutputValues,745,$J$4)</f>
        <v>2000</v>
      </c>
    </row>
    <row r="750" spans="1:11">
      <c r="A750" s="17">
        <v>472.5</v>
      </c>
      <c r="B750" s="38">
        <v>2000</v>
      </c>
      <c r="C750" s="40">
        <v>5</v>
      </c>
      <c r="D750" s="40">
        <v>0</v>
      </c>
      <c r="K750">
        <f>INDEX(OutputValues,746,$J$4)</f>
        <v>2000</v>
      </c>
    </row>
    <row r="751" spans="1:11">
      <c r="A751" s="17">
        <v>473</v>
      </c>
      <c r="B751" s="38">
        <v>2000</v>
      </c>
      <c r="C751" s="40">
        <v>5</v>
      </c>
      <c r="D751" s="40">
        <v>0</v>
      </c>
      <c r="K751">
        <f>INDEX(OutputValues,747,$J$4)</f>
        <v>2000</v>
      </c>
    </row>
    <row r="752" spans="1:11">
      <c r="A752" s="17">
        <v>473.5</v>
      </c>
      <c r="B752" s="38">
        <v>2000</v>
      </c>
      <c r="C752" s="40">
        <v>5</v>
      </c>
      <c r="D752" s="40">
        <v>0</v>
      </c>
      <c r="K752">
        <f>INDEX(OutputValues,748,$J$4)</f>
        <v>2000</v>
      </c>
    </row>
    <row r="753" spans="1:11">
      <c r="A753" s="17">
        <v>474</v>
      </c>
      <c r="B753" s="38">
        <v>2000</v>
      </c>
      <c r="C753" s="40">
        <v>5</v>
      </c>
      <c r="D753" s="40">
        <v>0</v>
      </c>
      <c r="K753">
        <f>INDEX(OutputValues,749,$J$4)</f>
        <v>2000</v>
      </c>
    </row>
    <row r="754" spans="1:11">
      <c r="A754" s="17">
        <v>474.5</v>
      </c>
      <c r="B754" s="38">
        <v>2000</v>
      </c>
      <c r="C754" s="40">
        <v>5</v>
      </c>
      <c r="D754" s="40">
        <v>0</v>
      </c>
      <c r="K754">
        <f>INDEX(OutputValues,750,$J$4)</f>
        <v>2000</v>
      </c>
    </row>
    <row r="755" spans="1:11">
      <c r="A755" s="17">
        <v>475</v>
      </c>
      <c r="B755" s="38">
        <v>2000</v>
      </c>
      <c r="C755" s="40">
        <v>5</v>
      </c>
      <c r="D755" s="40">
        <v>0</v>
      </c>
      <c r="K755">
        <f>INDEX(OutputValues,751,$J$4)</f>
        <v>2000</v>
      </c>
    </row>
    <row r="756" spans="1:11">
      <c r="A756" s="17">
        <v>475.5</v>
      </c>
      <c r="B756" s="38">
        <v>2000</v>
      </c>
      <c r="C756" s="40">
        <v>5</v>
      </c>
      <c r="D756" s="40">
        <v>0</v>
      </c>
      <c r="K756">
        <f>INDEX(OutputValues,752,$J$4)</f>
        <v>2000</v>
      </c>
    </row>
    <row r="757" spans="1:11">
      <c r="A757" s="17">
        <v>476</v>
      </c>
      <c r="B757" s="38">
        <v>2000</v>
      </c>
      <c r="C757" s="40">
        <v>5</v>
      </c>
      <c r="D757" s="40">
        <v>0</v>
      </c>
      <c r="K757">
        <f>INDEX(OutputValues,753,$J$4)</f>
        <v>2000</v>
      </c>
    </row>
    <row r="758" spans="1:11">
      <c r="A758" s="17">
        <v>476.5</v>
      </c>
      <c r="B758" s="38">
        <v>2000</v>
      </c>
      <c r="C758" s="40">
        <v>5</v>
      </c>
      <c r="D758" s="40">
        <v>0</v>
      </c>
      <c r="K758">
        <f>INDEX(OutputValues,754,$J$4)</f>
        <v>2000</v>
      </c>
    </row>
    <row r="759" spans="1:11">
      <c r="A759" s="17">
        <v>477</v>
      </c>
      <c r="B759" s="38">
        <v>2000</v>
      </c>
      <c r="C759" s="40">
        <v>5</v>
      </c>
      <c r="D759" s="40">
        <v>0</v>
      </c>
      <c r="K759">
        <f>INDEX(OutputValues,755,$J$4)</f>
        <v>2000</v>
      </c>
    </row>
    <row r="760" spans="1:11">
      <c r="A760" s="17">
        <v>477.5</v>
      </c>
      <c r="B760" s="38">
        <v>2000</v>
      </c>
      <c r="C760" s="40">
        <v>5</v>
      </c>
      <c r="D760" s="40">
        <v>0</v>
      </c>
      <c r="K760">
        <f>INDEX(OutputValues,756,$J$4)</f>
        <v>2000</v>
      </c>
    </row>
    <row r="761" spans="1:11">
      <c r="A761" s="17">
        <v>478</v>
      </c>
      <c r="B761" s="38">
        <v>2000</v>
      </c>
      <c r="C761" s="40">
        <v>5</v>
      </c>
      <c r="D761" s="40">
        <v>0</v>
      </c>
      <c r="K761">
        <f>INDEX(OutputValues,757,$J$4)</f>
        <v>2000</v>
      </c>
    </row>
    <row r="762" spans="1:11">
      <c r="A762" s="17">
        <v>478.5</v>
      </c>
      <c r="B762" s="38">
        <v>2000</v>
      </c>
      <c r="C762" s="40">
        <v>5</v>
      </c>
      <c r="D762" s="40">
        <v>0</v>
      </c>
      <c r="K762">
        <f>INDEX(OutputValues,758,$J$4)</f>
        <v>2000</v>
      </c>
    </row>
    <row r="763" spans="1:11">
      <c r="A763" s="17">
        <v>479</v>
      </c>
      <c r="B763" s="38">
        <v>2000</v>
      </c>
      <c r="C763" s="40">
        <v>5</v>
      </c>
      <c r="D763" s="40">
        <v>0</v>
      </c>
      <c r="K763">
        <f>INDEX(OutputValues,759,$J$4)</f>
        <v>2000</v>
      </c>
    </row>
    <row r="764" spans="1:11">
      <c r="A764" s="17">
        <v>479.5</v>
      </c>
      <c r="B764" s="38">
        <v>2000</v>
      </c>
      <c r="C764" s="40">
        <v>5</v>
      </c>
      <c r="D764" s="40">
        <v>0</v>
      </c>
      <c r="K764">
        <f>INDEX(OutputValues,760,$J$4)</f>
        <v>2000</v>
      </c>
    </row>
    <row r="765" spans="1:11">
      <c r="A765" s="17">
        <v>480</v>
      </c>
      <c r="B765" s="38">
        <v>2000</v>
      </c>
      <c r="C765" s="40">
        <v>5</v>
      </c>
      <c r="D765" s="40">
        <v>0</v>
      </c>
      <c r="K765">
        <f>INDEX(OutputValues,761,$J$4)</f>
        <v>2000</v>
      </c>
    </row>
    <row r="766" spans="1:11">
      <c r="A766" s="17">
        <v>480.5</v>
      </c>
      <c r="B766" s="38">
        <v>2000</v>
      </c>
      <c r="C766" s="40">
        <v>5</v>
      </c>
      <c r="D766" s="40">
        <v>0</v>
      </c>
      <c r="K766">
        <f>INDEX(OutputValues,762,$J$4)</f>
        <v>2000</v>
      </c>
    </row>
    <row r="767" spans="1:11">
      <c r="A767" s="17">
        <v>481</v>
      </c>
      <c r="B767" s="38">
        <v>2000</v>
      </c>
      <c r="C767" s="40">
        <v>5</v>
      </c>
      <c r="D767" s="40">
        <v>0</v>
      </c>
      <c r="K767">
        <f>INDEX(OutputValues,763,$J$4)</f>
        <v>2000</v>
      </c>
    </row>
    <row r="768" spans="1:11">
      <c r="A768" s="17">
        <v>481.5</v>
      </c>
      <c r="B768" s="38">
        <v>2000</v>
      </c>
      <c r="C768" s="40">
        <v>5</v>
      </c>
      <c r="D768" s="40">
        <v>0</v>
      </c>
      <c r="K768">
        <f>INDEX(OutputValues,764,$J$4)</f>
        <v>2000</v>
      </c>
    </row>
    <row r="769" spans="1:11">
      <c r="A769" s="17">
        <v>482</v>
      </c>
      <c r="B769" s="38">
        <v>2000</v>
      </c>
      <c r="C769" s="40">
        <v>5</v>
      </c>
      <c r="D769" s="40">
        <v>0</v>
      </c>
      <c r="K769">
        <f>INDEX(OutputValues,765,$J$4)</f>
        <v>2000</v>
      </c>
    </row>
    <row r="770" spans="1:11">
      <c r="A770" s="17">
        <v>482.5</v>
      </c>
      <c r="B770" s="38">
        <v>2000</v>
      </c>
      <c r="C770" s="40">
        <v>5</v>
      </c>
      <c r="D770" s="40">
        <v>0</v>
      </c>
      <c r="K770">
        <f>INDEX(OutputValues,766,$J$4)</f>
        <v>2000</v>
      </c>
    </row>
    <row r="771" spans="1:11">
      <c r="A771" s="17">
        <v>483</v>
      </c>
      <c r="B771" s="38">
        <v>2000</v>
      </c>
      <c r="C771" s="40">
        <v>5</v>
      </c>
      <c r="D771" s="40">
        <v>0</v>
      </c>
      <c r="K771">
        <f>INDEX(OutputValues,767,$J$4)</f>
        <v>2000</v>
      </c>
    </row>
    <row r="772" spans="1:11">
      <c r="A772" s="17">
        <v>483.5</v>
      </c>
      <c r="B772" s="38">
        <v>2000</v>
      </c>
      <c r="C772" s="40">
        <v>5</v>
      </c>
      <c r="D772" s="40">
        <v>0</v>
      </c>
      <c r="K772">
        <f>INDEX(OutputValues,768,$J$4)</f>
        <v>2000</v>
      </c>
    </row>
    <row r="773" spans="1:11">
      <c r="A773" s="17">
        <v>484</v>
      </c>
      <c r="B773" s="38">
        <v>2000</v>
      </c>
      <c r="C773" s="40">
        <v>5</v>
      </c>
      <c r="D773" s="40">
        <v>0</v>
      </c>
      <c r="K773">
        <f>INDEX(OutputValues,769,$J$4)</f>
        <v>2000</v>
      </c>
    </row>
    <row r="774" spans="1:11">
      <c r="A774" s="17">
        <v>484.5</v>
      </c>
      <c r="B774" s="38">
        <v>2000</v>
      </c>
      <c r="C774" s="40">
        <v>5</v>
      </c>
      <c r="D774" s="40">
        <v>0</v>
      </c>
      <c r="K774">
        <f>INDEX(OutputValues,770,$J$4)</f>
        <v>2000</v>
      </c>
    </row>
    <row r="775" spans="1:11">
      <c r="A775" s="17">
        <v>485</v>
      </c>
      <c r="B775" s="38">
        <v>2000</v>
      </c>
      <c r="C775" s="40">
        <v>5</v>
      </c>
      <c r="D775" s="40">
        <v>0</v>
      </c>
      <c r="K775">
        <f>INDEX(OutputValues,771,$J$4)</f>
        <v>2000</v>
      </c>
    </row>
    <row r="776" spans="1:11">
      <c r="A776" s="17">
        <v>485.5</v>
      </c>
      <c r="B776" s="38">
        <v>2000</v>
      </c>
      <c r="C776" s="40">
        <v>5</v>
      </c>
      <c r="D776" s="40">
        <v>0</v>
      </c>
      <c r="K776">
        <f>INDEX(OutputValues,772,$J$4)</f>
        <v>2000</v>
      </c>
    </row>
    <row r="777" spans="1:11">
      <c r="A777" s="17">
        <v>486</v>
      </c>
      <c r="B777" s="38">
        <v>2000</v>
      </c>
      <c r="C777" s="40">
        <v>5</v>
      </c>
      <c r="D777" s="40">
        <v>0</v>
      </c>
      <c r="K777">
        <f>INDEX(OutputValues,773,$J$4)</f>
        <v>2000</v>
      </c>
    </row>
    <row r="778" spans="1:11">
      <c r="A778" s="17">
        <v>486.5</v>
      </c>
      <c r="B778" s="38">
        <v>2000</v>
      </c>
      <c r="C778" s="40">
        <v>5</v>
      </c>
      <c r="D778" s="40">
        <v>0</v>
      </c>
      <c r="K778">
        <f>INDEX(OutputValues,774,$J$4)</f>
        <v>2000</v>
      </c>
    </row>
    <row r="779" spans="1:11">
      <c r="A779" s="17">
        <v>487</v>
      </c>
      <c r="B779" s="38">
        <v>2000</v>
      </c>
      <c r="C779" s="40">
        <v>5</v>
      </c>
      <c r="D779" s="40">
        <v>0</v>
      </c>
      <c r="K779">
        <f>INDEX(OutputValues,775,$J$4)</f>
        <v>2000</v>
      </c>
    </row>
    <row r="780" spans="1:11">
      <c r="A780" s="17">
        <v>487.5</v>
      </c>
      <c r="B780" s="38">
        <v>2000</v>
      </c>
      <c r="C780" s="40">
        <v>5</v>
      </c>
      <c r="D780" s="40">
        <v>0</v>
      </c>
      <c r="K780">
        <f>INDEX(OutputValues,776,$J$4)</f>
        <v>2000</v>
      </c>
    </row>
    <row r="781" spans="1:11">
      <c r="A781" s="17">
        <v>488</v>
      </c>
      <c r="B781" s="38">
        <v>2000</v>
      </c>
      <c r="C781" s="40">
        <v>5</v>
      </c>
      <c r="D781" s="40">
        <v>0</v>
      </c>
      <c r="K781">
        <f>INDEX(OutputValues,777,$J$4)</f>
        <v>2000</v>
      </c>
    </row>
    <row r="782" spans="1:11">
      <c r="A782" s="17">
        <v>488.5</v>
      </c>
      <c r="B782" s="38">
        <v>2000</v>
      </c>
      <c r="C782" s="40">
        <v>5</v>
      </c>
      <c r="D782" s="40">
        <v>0</v>
      </c>
      <c r="K782">
        <f>INDEX(OutputValues,778,$J$4)</f>
        <v>2000</v>
      </c>
    </row>
    <row r="783" spans="1:11">
      <c r="A783" s="17">
        <v>489</v>
      </c>
      <c r="B783" s="38">
        <v>2000</v>
      </c>
      <c r="C783" s="40">
        <v>5</v>
      </c>
      <c r="D783" s="40">
        <v>0</v>
      </c>
      <c r="K783">
        <f>INDEX(OutputValues,779,$J$4)</f>
        <v>2000</v>
      </c>
    </row>
    <row r="784" spans="1:11">
      <c r="A784" s="17">
        <v>489.5</v>
      </c>
      <c r="B784" s="38">
        <v>2000</v>
      </c>
      <c r="C784" s="40">
        <v>5</v>
      </c>
      <c r="D784" s="40">
        <v>0</v>
      </c>
      <c r="K784">
        <f>INDEX(OutputValues,780,$J$4)</f>
        <v>2000</v>
      </c>
    </row>
    <row r="785" spans="1:11">
      <c r="A785" s="17">
        <v>490</v>
      </c>
      <c r="B785" s="38">
        <v>2000</v>
      </c>
      <c r="C785" s="40">
        <v>5</v>
      </c>
      <c r="D785" s="40">
        <v>0</v>
      </c>
      <c r="K785">
        <f>INDEX(OutputValues,781,$J$4)</f>
        <v>2000</v>
      </c>
    </row>
    <row r="786" spans="1:11">
      <c r="A786" s="17">
        <v>490.5</v>
      </c>
      <c r="B786" s="38">
        <v>2000</v>
      </c>
      <c r="C786" s="40">
        <v>5</v>
      </c>
      <c r="D786" s="40">
        <v>0</v>
      </c>
      <c r="K786">
        <f>INDEX(OutputValues,782,$J$4)</f>
        <v>2000</v>
      </c>
    </row>
    <row r="787" spans="1:11">
      <c r="A787" s="17">
        <v>491</v>
      </c>
      <c r="B787" s="38">
        <v>2000</v>
      </c>
      <c r="C787" s="40">
        <v>5</v>
      </c>
      <c r="D787" s="40">
        <v>0</v>
      </c>
      <c r="K787">
        <f>INDEX(OutputValues,783,$J$4)</f>
        <v>2000</v>
      </c>
    </row>
    <row r="788" spans="1:11">
      <c r="A788" s="17">
        <v>491.5</v>
      </c>
      <c r="B788" s="38">
        <v>2000</v>
      </c>
      <c r="C788" s="40">
        <v>5</v>
      </c>
      <c r="D788" s="40">
        <v>0</v>
      </c>
      <c r="K788">
        <f>INDEX(OutputValues,784,$J$4)</f>
        <v>2000</v>
      </c>
    </row>
    <row r="789" spans="1:11">
      <c r="A789" s="17">
        <v>492</v>
      </c>
      <c r="B789" s="38">
        <v>2000</v>
      </c>
      <c r="C789" s="40">
        <v>5</v>
      </c>
      <c r="D789" s="40">
        <v>0</v>
      </c>
      <c r="K789">
        <f>INDEX(OutputValues,785,$J$4)</f>
        <v>2000</v>
      </c>
    </row>
    <row r="790" spans="1:11">
      <c r="A790" s="17">
        <v>492.5</v>
      </c>
      <c r="B790" s="38">
        <v>2000</v>
      </c>
      <c r="C790" s="40">
        <v>5</v>
      </c>
      <c r="D790" s="40">
        <v>0</v>
      </c>
      <c r="K790">
        <f>INDEX(OutputValues,786,$J$4)</f>
        <v>2000</v>
      </c>
    </row>
    <row r="791" spans="1:11">
      <c r="A791" s="17">
        <v>493</v>
      </c>
      <c r="B791" s="38">
        <v>2000</v>
      </c>
      <c r="C791" s="40">
        <v>5</v>
      </c>
      <c r="D791" s="40">
        <v>0</v>
      </c>
      <c r="K791">
        <f>INDEX(OutputValues,787,$J$4)</f>
        <v>2000</v>
      </c>
    </row>
    <row r="792" spans="1:11">
      <c r="A792" s="17">
        <v>493.5</v>
      </c>
      <c r="B792" s="38">
        <v>2000</v>
      </c>
      <c r="C792" s="40">
        <v>5</v>
      </c>
      <c r="D792" s="40">
        <v>0</v>
      </c>
      <c r="K792">
        <f>INDEX(OutputValues,788,$J$4)</f>
        <v>2000</v>
      </c>
    </row>
    <row r="793" spans="1:11">
      <c r="A793" s="17">
        <v>494</v>
      </c>
      <c r="B793" s="38">
        <v>2000</v>
      </c>
      <c r="C793" s="40">
        <v>5</v>
      </c>
      <c r="D793" s="40">
        <v>0</v>
      </c>
      <c r="K793">
        <f>INDEX(OutputValues,789,$J$4)</f>
        <v>2000</v>
      </c>
    </row>
    <row r="794" spans="1:11">
      <c r="A794" s="17">
        <v>494.5</v>
      </c>
      <c r="B794" s="38">
        <v>2000</v>
      </c>
      <c r="C794" s="40">
        <v>5</v>
      </c>
      <c r="D794" s="40">
        <v>0</v>
      </c>
      <c r="K794">
        <f>INDEX(OutputValues,790,$J$4)</f>
        <v>2000</v>
      </c>
    </row>
    <row r="795" spans="1:11">
      <c r="A795" s="17">
        <v>495</v>
      </c>
      <c r="B795" s="38">
        <v>2000</v>
      </c>
      <c r="C795" s="40">
        <v>5</v>
      </c>
      <c r="D795" s="40">
        <v>0</v>
      </c>
      <c r="K795">
        <f>INDEX(OutputValues,791,$J$4)</f>
        <v>2000</v>
      </c>
    </row>
    <row r="796" spans="1:11">
      <c r="A796" s="17">
        <v>495.5</v>
      </c>
      <c r="B796" s="38">
        <v>2000</v>
      </c>
      <c r="C796" s="40">
        <v>5</v>
      </c>
      <c r="D796" s="40">
        <v>0</v>
      </c>
      <c r="K796">
        <f>INDEX(OutputValues,792,$J$4)</f>
        <v>2000</v>
      </c>
    </row>
    <row r="797" spans="1:11">
      <c r="A797" s="17">
        <v>496</v>
      </c>
      <c r="B797" s="38">
        <v>2000</v>
      </c>
      <c r="C797" s="40">
        <v>5</v>
      </c>
      <c r="D797" s="40">
        <v>0</v>
      </c>
      <c r="K797">
        <f>INDEX(OutputValues,793,$J$4)</f>
        <v>2000</v>
      </c>
    </row>
    <row r="798" spans="1:11">
      <c r="A798" s="17">
        <v>496.5</v>
      </c>
      <c r="B798" s="38">
        <v>2000</v>
      </c>
      <c r="C798" s="40">
        <v>5</v>
      </c>
      <c r="D798" s="40">
        <v>0</v>
      </c>
      <c r="K798">
        <f>INDEX(OutputValues,794,$J$4)</f>
        <v>2000</v>
      </c>
    </row>
    <row r="799" spans="1:11">
      <c r="A799" s="17">
        <v>497</v>
      </c>
      <c r="B799" s="38">
        <v>2000</v>
      </c>
      <c r="C799" s="40">
        <v>5</v>
      </c>
      <c r="D799" s="40">
        <v>0</v>
      </c>
      <c r="K799">
        <f>INDEX(OutputValues,795,$J$4)</f>
        <v>2000</v>
      </c>
    </row>
    <row r="800" spans="1:11">
      <c r="A800" s="17">
        <v>497.5</v>
      </c>
      <c r="B800" s="38">
        <v>2000</v>
      </c>
      <c r="C800" s="40">
        <v>5</v>
      </c>
      <c r="D800" s="40">
        <v>0</v>
      </c>
      <c r="K800">
        <f>INDEX(OutputValues,796,$J$4)</f>
        <v>2000</v>
      </c>
    </row>
    <row r="801" spans="1:11">
      <c r="A801" s="17">
        <v>498</v>
      </c>
      <c r="B801" s="38">
        <v>2000</v>
      </c>
      <c r="C801" s="40">
        <v>5</v>
      </c>
      <c r="D801" s="40">
        <v>0</v>
      </c>
      <c r="K801">
        <f>INDEX(OutputValues,797,$J$4)</f>
        <v>2000</v>
      </c>
    </row>
    <row r="802" spans="1:11">
      <c r="A802" s="17">
        <v>498.5</v>
      </c>
      <c r="B802" s="38">
        <v>2000</v>
      </c>
      <c r="C802" s="40">
        <v>5</v>
      </c>
      <c r="D802" s="40">
        <v>0</v>
      </c>
      <c r="K802">
        <f>INDEX(OutputValues,798,$J$4)</f>
        <v>2000</v>
      </c>
    </row>
    <row r="803" spans="1:11">
      <c r="A803" s="17">
        <v>499</v>
      </c>
      <c r="B803" s="38">
        <v>2000</v>
      </c>
      <c r="C803" s="40">
        <v>5</v>
      </c>
      <c r="D803" s="40">
        <v>0</v>
      </c>
      <c r="K803">
        <f>INDEX(OutputValues,799,$J$4)</f>
        <v>2000</v>
      </c>
    </row>
    <row r="804" spans="1:11">
      <c r="A804" s="17">
        <v>499.5</v>
      </c>
      <c r="B804" s="38">
        <v>2000</v>
      </c>
      <c r="C804" s="40">
        <v>5</v>
      </c>
      <c r="D804" s="40">
        <v>0</v>
      </c>
      <c r="K804">
        <f>INDEX(OutputValues,800,$J$4)</f>
        <v>2000</v>
      </c>
    </row>
    <row r="805" spans="1:11">
      <c r="A805" s="17">
        <v>500</v>
      </c>
      <c r="B805" s="41">
        <v>2000</v>
      </c>
      <c r="C805" s="43">
        <v>5</v>
      </c>
      <c r="D805" s="43">
        <v>0</v>
      </c>
      <c r="K805">
        <f>INDEX(OutputValues,801,$J$4)</f>
        <v>2000</v>
      </c>
    </row>
  </sheetData>
  <dataValidations count="1">
    <dataValidation type="list" allowBlank="1" showInputMessage="1" showErrorMessage="1" sqref="K4">
      <formula1>OutputAddresses</formula1>
    </dataValidation>
  </dataValidation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H25"/>
  <sheetViews>
    <sheetView workbookViewId="0">
      <selection activeCell="J42" sqref="J42"/>
    </sheetView>
  </sheetViews>
  <sheetFormatPr defaultColWidth="8.85546875" defaultRowHeight="15"/>
  <cols>
    <col min="1" max="1" width="18.42578125" customWidth="1"/>
    <col min="2" max="2" width="12.7109375" customWidth="1"/>
    <col min="4" max="4" width="13.5703125" customWidth="1"/>
    <col min="5" max="5" width="5.5703125" customWidth="1"/>
    <col min="6" max="6" width="15" customWidth="1"/>
  </cols>
  <sheetData>
    <row r="12" spans="1:3">
      <c r="A12" s="1" t="s">
        <v>0</v>
      </c>
    </row>
    <row r="13" spans="1:3">
      <c r="B13" t="s">
        <v>79</v>
      </c>
      <c r="C13" t="s">
        <v>80</v>
      </c>
    </row>
    <row r="14" spans="1:3">
      <c r="A14" t="s">
        <v>81</v>
      </c>
      <c r="B14" s="3">
        <v>4</v>
      </c>
      <c r="C14" s="3">
        <v>3</v>
      </c>
    </row>
    <row r="15" spans="1:3">
      <c r="A15" t="s">
        <v>87</v>
      </c>
      <c r="B15" s="16">
        <v>400</v>
      </c>
      <c r="C15" s="16">
        <v>250</v>
      </c>
    </row>
    <row r="17" spans="1:8">
      <c r="A17" s="1" t="s">
        <v>96</v>
      </c>
    </row>
    <row r="18" spans="1:8">
      <c r="B18" t="s">
        <v>79</v>
      </c>
      <c r="C18" t="s">
        <v>80</v>
      </c>
    </row>
    <row r="19" spans="1:8">
      <c r="A19" t="s">
        <v>41</v>
      </c>
      <c r="B19" s="15">
        <v>200</v>
      </c>
      <c r="C19" s="15">
        <v>400</v>
      </c>
    </row>
    <row r="21" spans="1:8">
      <c r="A21" s="1" t="s">
        <v>83</v>
      </c>
    </row>
    <row r="22" spans="1:8">
      <c r="B22" t="s">
        <v>80</v>
      </c>
      <c r="D22" t="s">
        <v>86</v>
      </c>
      <c r="F22" t="s">
        <v>84</v>
      </c>
      <c r="H22" t="s">
        <v>85</v>
      </c>
    </row>
    <row r="23" spans="1:8">
      <c r="B23">
        <f>C19</f>
        <v>400</v>
      </c>
      <c r="C23" s="24" t="s">
        <v>44</v>
      </c>
      <c r="D23">
        <f>B19*2</f>
        <v>400</v>
      </c>
      <c r="F23">
        <f>SUMPRODUCT(B19:C19,B14:C14)</f>
        <v>2000</v>
      </c>
      <c r="G23" s="24" t="s">
        <v>82</v>
      </c>
      <c r="H23" s="3">
        <v>2000</v>
      </c>
    </row>
    <row r="25" spans="1:8">
      <c r="A25" t="s">
        <v>9</v>
      </c>
      <c r="B25" s="20">
        <f>SUMPRODUCT(B15:C15,B19:C19)</f>
        <v>180000</v>
      </c>
    </row>
  </sheetData>
  <phoneticPr fontId="2" type="noConversion"/>
  <pageMargins left="0.7" right="0.7" top="0.75" bottom="0.75" header="0.3" footer="0.3"/>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5"/>
  <sheetViews>
    <sheetView workbookViewId="0">
      <selection activeCell="H5" sqref="H5"/>
    </sheetView>
  </sheetViews>
  <sheetFormatPr defaultRowHeight="15"/>
  <cols>
    <col min="4" max="4" width="12.5703125" bestFit="1" customWidth="1"/>
  </cols>
  <sheetData>
    <row r="1" spans="1:11">
      <c r="A1" s="1" t="s">
        <v>91</v>
      </c>
      <c r="K1" s="34" t="str">
        <f>CONCATENATE("Sensitivity of ",$K$4," to ","Availability of wood")</f>
        <v>Sensitivity of Profit_Q26 to Availability of wood</v>
      </c>
    </row>
    <row r="3" spans="1:11">
      <c r="A3" t="s">
        <v>92</v>
      </c>
      <c r="K3" t="s">
        <v>68</v>
      </c>
    </row>
    <row r="4" spans="1:11" ht="91.5">
      <c r="B4" s="32" t="s">
        <v>93</v>
      </c>
      <c r="C4" s="32" t="s">
        <v>94</v>
      </c>
      <c r="D4" s="32" t="s">
        <v>95</v>
      </c>
      <c r="J4" s="34">
        <f>MATCH($K$4,OutputAddresses,0)</f>
        <v>3</v>
      </c>
      <c r="K4" s="33" t="s">
        <v>95</v>
      </c>
    </row>
    <row r="5" spans="1:11">
      <c r="A5" s="18">
        <v>1000</v>
      </c>
      <c r="B5" s="48">
        <v>100</v>
      </c>
      <c r="C5" s="36">
        <v>200</v>
      </c>
      <c r="D5" s="45">
        <v>90000</v>
      </c>
      <c r="K5">
        <f>INDEX(OutputValues,1,$J$4)</f>
        <v>90000</v>
      </c>
    </row>
    <row r="6" spans="1:11">
      <c r="A6" s="18">
        <v>1100</v>
      </c>
      <c r="B6" s="49">
        <v>110</v>
      </c>
      <c r="C6" s="39">
        <v>220</v>
      </c>
      <c r="D6" s="46">
        <v>99000</v>
      </c>
      <c r="K6">
        <f>INDEX(OutputValues,2,$J$4)</f>
        <v>99000</v>
      </c>
    </row>
    <row r="7" spans="1:11">
      <c r="A7" s="18">
        <v>1200</v>
      </c>
      <c r="B7" s="49">
        <v>120</v>
      </c>
      <c r="C7" s="39">
        <v>240</v>
      </c>
      <c r="D7" s="46">
        <v>108000</v>
      </c>
      <c r="K7">
        <f>INDEX(OutputValues,3,$J$4)</f>
        <v>108000</v>
      </c>
    </row>
    <row r="8" spans="1:11">
      <c r="A8" s="18">
        <v>1300</v>
      </c>
      <c r="B8" s="49">
        <v>130</v>
      </c>
      <c r="C8" s="39">
        <v>260</v>
      </c>
      <c r="D8" s="46">
        <v>117000</v>
      </c>
      <c r="K8">
        <f>INDEX(OutputValues,4,$J$4)</f>
        <v>117000</v>
      </c>
    </row>
    <row r="9" spans="1:11">
      <c r="A9" s="18">
        <v>1400</v>
      </c>
      <c r="B9" s="49">
        <v>140</v>
      </c>
      <c r="C9" s="39">
        <v>280</v>
      </c>
      <c r="D9" s="46">
        <v>126000</v>
      </c>
      <c r="K9">
        <f>INDEX(OutputValues,5,$J$4)</f>
        <v>126000</v>
      </c>
    </row>
    <row r="10" spans="1:11">
      <c r="A10" s="18">
        <v>1500</v>
      </c>
      <c r="B10" s="49">
        <v>150</v>
      </c>
      <c r="C10" s="39">
        <v>300</v>
      </c>
      <c r="D10" s="46">
        <v>135000</v>
      </c>
      <c r="K10">
        <f>INDEX(OutputValues,6,$J$4)</f>
        <v>135000</v>
      </c>
    </row>
    <row r="11" spans="1:11">
      <c r="A11" s="18">
        <v>1600</v>
      </c>
      <c r="B11" s="49">
        <v>160</v>
      </c>
      <c r="C11" s="39">
        <v>320</v>
      </c>
      <c r="D11" s="46">
        <v>144000</v>
      </c>
      <c r="K11">
        <f>INDEX(OutputValues,7,$J$4)</f>
        <v>144000</v>
      </c>
    </row>
    <row r="12" spans="1:11">
      <c r="A12" s="18">
        <v>1700</v>
      </c>
      <c r="B12" s="49">
        <v>170</v>
      </c>
      <c r="C12" s="39">
        <v>340</v>
      </c>
      <c r="D12" s="46">
        <v>153000</v>
      </c>
      <c r="K12">
        <f>INDEX(OutputValues,8,$J$4)</f>
        <v>153000</v>
      </c>
    </row>
    <row r="13" spans="1:11">
      <c r="A13" s="18">
        <v>1800</v>
      </c>
      <c r="B13" s="49">
        <v>180</v>
      </c>
      <c r="C13" s="39">
        <v>360</v>
      </c>
      <c r="D13" s="46">
        <v>162000</v>
      </c>
      <c r="K13">
        <f>INDEX(OutputValues,9,$J$4)</f>
        <v>162000</v>
      </c>
    </row>
    <row r="14" spans="1:11">
      <c r="A14" s="18">
        <v>1900</v>
      </c>
      <c r="B14" s="49">
        <v>190</v>
      </c>
      <c r="C14" s="39">
        <v>380</v>
      </c>
      <c r="D14" s="46">
        <v>171000</v>
      </c>
      <c r="K14">
        <f>INDEX(OutputValues,10,$J$4)</f>
        <v>171000</v>
      </c>
    </row>
    <row r="15" spans="1:11">
      <c r="A15" s="18">
        <v>2000</v>
      </c>
      <c r="B15" s="49">
        <v>200</v>
      </c>
      <c r="C15" s="39">
        <v>400</v>
      </c>
      <c r="D15" s="46">
        <v>180000</v>
      </c>
      <c r="K15">
        <f>INDEX(OutputValues,11,$J$4)</f>
        <v>180000</v>
      </c>
    </row>
    <row r="16" spans="1:11">
      <c r="A16" s="18">
        <v>2100</v>
      </c>
      <c r="B16" s="49">
        <v>210</v>
      </c>
      <c r="C16" s="39">
        <v>420</v>
      </c>
      <c r="D16" s="46">
        <v>189000</v>
      </c>
      <c r="K16">
        <f>INDEX(OutputValues,12,$J$4)</f>
        <v>189000</v>
      </c>
    </row>
    <row r="17" spans="1:11">
      <c r="A17" s="18">
        <v>2200</v>
      </c>
      <c r="B17" s="49">
        <v>220</v>
      </c>
      <c r="C17" s="39">
        <v>440</v>
      </c>
      <c r="D17" s="46">
        <v>198000</v>
      </c>
      <c r="K17">
        <f>INDEX(OutputValues,13,$J$4)</f>
        <v>198000</v>
      </c>
    </row>
    <row r="18" spans="1:11">
      <c r="A18" s="18">
        <v>2300</v>
      </c>
      <c r="B18" s="49">
        <v>230</v>
      </c>
      <c r="C18" s="39">
        <v>460</v>
      </c>
      <c r="D18" s="46">
        <v>207000</v>
      </c>
      <c r="K18">
        <f>INDEX(OutputValues,14,$J$4)</f>
        <v>207000</v>
      </c>
    </row>
    <row r="19" spans="1:11">
      <c r="A19" s="18">
        <v>2400</v>
      </c>
      <c r="B19" s="49">
        <v>240</v>
      </c>
      <c r="C19" s="39">
        <v>480</v>
      </c>
      <c r="D19" s="46">
        <v>216000</v>
      </c>
      <c r="K19">
        <f>INDEX(OutputValues,15,$J$4)</f>
        <v>216000</v>
      </c>
    </row>
    <row r="20" spans="1:11">
      <c r="A20" s="18">
        <v>2500</v>
      </c>
      <c r="B20" s="49">
        <v>250</v>
      </c>
      <c r="C20" s="39">
        <v>500</v>
      </c>
      <c r="D20" s="46">
        <v>225000</v>
      </c>
      <c r="K20">
        <f>INDEX(OutputValues,16,$J$4)</f>
        <v>225000</v>
      </c>
    </row>
    <row r="21" spans="1:11">
      <c r="A21" s="18">
        <v>2600</v>
      </c>
      <c r="B21" s="49">
        <v>260</v>
      </c>
      <c r="C21" s="39">
        <v>520</v>
      </c>
      <c r="D21" s="46">
        <v>234000</v>
      </c>
      <c r="K21">
        <f>INDEX(OutputValues,17,$J$4)</f>
        <v>234000</v>
      </c>
    </row>
    <row r="22" spans="1:11">
      <c r="A22" s="18">
        <v>2700</v>
      </c>
      <c r="B22" s="49">
        <v>270</v>
      </c>
      <c r="C22" s="39">
        <v>540</v>
      </c>
      <c r="D22" s="46">
        <v>243000</v>
      </c>
      <c r="K22">
        <f>INDEX(OutputValues,18,$J$4)</f>
        <v>243000</v>
      </c>
    </row>
    <row r="23" spans="1:11">
      <c r="A23" s="18">
        <v>2800</v>
      </c>
      <c r="B23" s="49">
        <v>280</v>
      </c>
      <c r="C23" s="39">
        <v>560</v>
      </c>
      <c r="D23" s="46">
        <v>252000</v>
      </c>
      <c r="K23">
        <f>INDEX(OutputValues,19,$J$4)</f>
        <v>252000</v>
      </c>
    </row>
    <row r="24" spans="1:11">
      <c r="A24" s="18">
        <v>2900</v>
      </c>
      <c r="B24" s="49">
        <v>290</v>
      </c>
      <c r="C24" s="39">
        <v>580</v>
      </c>
      <c r="D24" s="46">
        <v>261000</v>
      </c>
      <c r="K24">
        <f>INDEX(OutputValues,20,$J$4)</f>
        <v>261000</v>
      </c>
    </row>
    <row r="25" spans="1:11">
      <c r="A25" s="18">
        <v>3000</v>
      </c>
      <c r="B25" s="50">
        <v>300</v>
      </c>
      <c r="C25" s="42">
        <v>600</v>
      </c>
      <c r="D25" s="47">
        <v>270000</v>
      </c>
      <c r="K25">
        <f>INDEX(OutputValues,21,$J$4)</f>
        <v>270000</v>
      </c>
    </row>
  </sheetData>
  <dataValidations count="1">
    <dataValidation type="list" allowBlank="1" showInputMessage="1" showErrorMessage="1" sqref="K4">
      <formula1>OutputAddresses</formula1>
    </dataValidation>
  </dataValidation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D25"/>
  <sheetViews>
    <sheetView topLeftCell="A16" workbookViewId="0">
      <selection activeCell="E10" sqref="E10"/>
    </sheetView>
  </sheetViews>
  <sheetFormatPr defaultColWidth="8.85546875" defaultRowHeight="15"/>
  <cols>
    <col min="1" max="1" width="33.5703125" customWidth="1"/>
    <col min="2" max="3" width="11.5703125" bestFit="1" customWidth="1"/>
  </cols>
  <sheetData>
    <row r="9" spans="1:4">
      <c r="A9" s="1" t="s">
        <v>17</v>
      </c>
    </row>
    <row r="10" spans="1:4">
      <c r="A10" t="s">
        <v>97</v>
      </c>
      <c r="B10" s="16">
        <v>20</v>
      </c>
    </row>
    <row r="11" spans="1:4">
      <c r="A11" t="s">
        <v>99</v>
      </c>
      <c r="B11" s="3">
        <v>500</v>
      </c>
    </row>
    <row r="12" spans="1:4">
      <c r="A12" t="s">
        <v>100</v>
      </c>
      <c r="B12" s="5">
        <v>0.5</v>
      </c>
    </row>
    <row r="14" spans="1:4">
      <c r="A14" t="s">
        <v>98</v>
      </c>
      <c r="B14">
        <v>1</v>
      </c>
      <c r="C14">
        <v>2</v>
      </c>
      <c r="D14">
        <v>3</v>
      </c>
    </row>
    <row r="15" spans="1:4">
      <c r="A15" t="s">
        <v>36</v>
      </c>
      <c r="B15" s="16">
        <v>130</v>
      </c>
      <c r="C15" s="16">
        <v>140</v>
      </c>
      <c r="D15" s="16">
        <v>150</v>
      </c>
    </row>
    <row r="16" spans="1:4">
      <c r="A16" t="s">
        <v>41</v>
      </c>
      <c r="B16" s="15">
        <v>3000</v>
      </c>
      <c r="C16" s="15">
        <v>1000</v>
      </c>
      <c r="D16" s="15">
        <v>0</v>
      </c>
    </row>
    <row r="17" spans="1:4">
      <c r="A17" t="s">
        <v>99</v>
      </c>
      <c r="B17">
        <f>B11</f>
        <v>500</v>
      </c>
      <c r="C17">
        <f>B22</f>
        <v>1500</v>
      </c>
      <c r="D17">
        <f>C22</f>
        <v>1500</v>
      </c>
    </row>
    <row r="18" spans="1:4">
      <c r="A18" t="s">
        <v>103</v>
      </c>
      <c r="B18">
        <f>$B$12*B16</f>
        <v>1500</v>
      </c>
      <c r="C18">
        <f t="shared" ref="C18:D18" si="0">$B$12*C16</f>
        <v>500</v>
      </c>
      <c r="D18">
        <f t="shared" si="0"/>
        <v>0</v>
      </c>
    </row>
    <row r="19" spans="1:4">
      <c r="A19" t="s">
        <v>102</v>
      </c>
      <c r="B19">
        <f>B17+B18</f>
        <v>2000</v>
      </c>
      <c r="C19">
        <f t="shared" ref="C19:D19" si="1">C17+C18</f>
        <v>2000</v>
      </c>
      <c r="D19">
        <f t="shared" si="1"/>
        <v>1500</v>
      </c>
    </row>
    <row r="20" spans="1:4">
      <c r="B20" t="s">
        <v>44</v>
      </c>
      <c r="C20" t="s">
        <v>44</v>
      </c>
      <c r="D20" t="s">
        <v>44</v>
      </c>
    </row>
    <row r="21" spans="1:4">
      <c r="A21" t="s">
        <v>21</v>
      </c>
      <c r="B21" s="3">
        <v>2000</v>
      </c>
      <c r="C21" s="3">
        <v>1000</v>
      </c>
      <c r="D21" s="3">
        <v>1500</v>
      </c>
    </row>
    <row r="22" spans="1:4">
      <c r="A22" t="s">
        <v>101</v>
      </c>
      <c r="B22">
        <f>B16+B17-B21</f>
        <v>1500</v>
      </c>
      <c r="C22">
        <f>C16+C17-C21</f>
        <v>1500</v>
      </c>
      <c r="D22">
        <f>D16+D17-D21</f>
        <v>0</v>
      </c>
    </row>
    <row r="24" spans="1:4">
      <c r="A24" t="s">
        <v>104</v>
      </c>
      <c r="B24" s="17">
        <f>B22*$B$10</f>
        <v>30000</v>
      </c>
      <c r="C24" s="17">
        <f t="shared" ref="C24" si="2">C22*$B$10</f>
        <v>30000</v>
      </c>
      <c r="D24" s="51">
        <f>D22*$B$10</f>
        <v>0</v>
      </c>
    </row>
    <row r="25" spans="1:4">
      <c r="A25" t="s">
        <v>24</v>
      </c>
      <c r="B25" s="27">
        <f xml:space="preserve"> SUM(B24:D24)</f>
        <v>60000</v>
      </c>
    </row>
  </sheetData>
  <phoneticPr fontId="2" type="noConversion"/>
  <pageMargins left="0.7" right="0.7" top="0.75" bottom="0.75" header="0.3" footer="0.3"/>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F31"/>
  <sheetViews>
    <sheetView topLeftCell="A15" workbookViewId="0">
      <selection activeCell="F18" sqref="F18"/>
    </sheetView>
  </sheetViews>
  <sheetFormatPr defaultColWidth="8.85546875" defaultRowHeight="15"/>
  <cols>
    <col min="1" max="1" width="33.5703125" customWidth="1"/>
    <col min="2" max="2" width="12.5703125" bestFit="1" customWidth="1"/>
    <col min="3" max="3" width="11.5703125" bestFit="1" customWidth="1"/>
    <col min="4" max="4" width="10.85546875" bestFit="1" customWidth="1"/>
  </cols>
  <sheetData>
    <row r="14" spans="1:6">
      <c r="A14" s="1" t="s">
        <v>17</v>
      </c>
    </row>
    <row r="15" spans="1:6">
      <c r="A15" t="s">
        <v>97</v>
      </c>
      <c r="B15" s="16">
        <v>20</v>
      </c>
      <c r="D15" s="24" t="s">
        <v>131</v>
      </c>
      <c r="E15" s="24" t="s">
        <v>132</v>
      </c>
      <c r="F15" s="24" t="s">
        <v>133</v>
      </c>
    </row>
    <row r="16" spans="1:6">
      <c r="A16" t="s">
        <v>99</v>
      </c>
      <c r="B16" s="3">
        <v>500</v>
      </c>
      <c r="D16" s="65">
        <v>0</v>
      </c>
      <c r="E16" s="65">
        <v>0</v>
      </c>
      <c r="F16" s="65">
        <v>1000</v>
      </c>
    </row>
    <row r="17" spans="1:4">
      <c r="A17" t="s">
        <v>100</v>
      </c>
      <c r="B17" s="5">
        <v>0.5</v>
      </c>
    </row>
    <row r="18" spans="1:4">
      <c r="A18" t="s">
        <v>130</v>
      </c>
      <c r="B18" s="65">
        <v>0</v>
      </c>
    </row>
    <row r="20" spans="1:4">
      <c r="A20" t="s">
        <v>98</v>
      </c>
      <c r="B20">
        <v>1</v>
      </c>
      <c r="C20">
        <v>2</v>
      </c>
      <c r="D20">
        <v>3</v>
      </c>
    </row>
    <row r="21" spans="1:4">
      <c r="A21" t="s">
        <v>36</v>
      </c>
      <c r="B21" s="16">
        <v>130</v>
      </c>
      <c r="C21" s="16">
        <v>140</v>
      </c>
      <c r="D21" s="16">
        <v>150</v>
      </c>
    </row>
    <row r="22" spans="1:4">
      <c r="A22" t="s">
        <v>41</v>
      </c>
      <c r="B22" s="15">
        <v>3000</v>
      </c>
      <c r="C22" s="15">
        <v>1000</v>
      </c>
      <c r="D22" s="15">
        <v>0</v>
      </c>
    </row>
    <row r="23" spans="1:4">
      <c r="A23" t="s">
        <v>99</v>
      </c>
      <c r="B23">
        <f>B16</f>
        <v>500</v>
      </c>
      <c r="C23">
        <f>B28</f>
        <v>1500</v>
      </c>
      <c r="D23">
        <f>C28</f>
        <v>1500</v>
      </c>
    </row>
    <row r="24" spans="1:4">
      <c r="A24" t="s">
        <v>103</v>
      </c>
      <c r="B24">
        <f>$B$17*B22</f>
        <v>1500</v>
      </c>
      <c r="C24">
        <f t="shared" ref="C24:D24" si="0">$B$17*C22</f>
        <v>500</v>
      </c>
      <c r="D24">
        <f t="shared" si="0"/>
        <v>0</v>
      </c>
    </row>
    <row r="25" spans="1:4">
      <c r="A25" t="s">
        <v>102</v>
      </c>
      <c r="B25">
        <f>B23+B24</f>
        <v>2000</v>
      </c>
      <c r="C25">
        <f t="shared" ref="C25:D25" si="1">C23+C24</f>
        <v>2000</v>
      </c>
      <c r="D25">
        <f t="shared" si="1"/>
        <v>1500</v>
      </c>
    </row>
    <row r="26" spans="1:4">
      <c r="B26" t="s">
        <v>44</v>
      </c>
      <c r="C26" t="s">
        <v>44</v>
      </c>
      <c r="D26" t="s">
        <v>44</v>
      </c>
    </row>
    <row r="27" spans="1:4">
      <c r="A27" t="s">
        <v>21</v>
      </c>
      <c r="B27" s="3">
        <f>2000+$B$18*D16</f>
        <v>2000</v>
      </c>
      <c r="C27" s="3">
        <f>1000+$B$18*E16</f>
        <v>1000</v>
      </c>
      <c r="D27" s="3">
        <f>1500+$B$18*F16</f>
        <v>1500</v>
      </c>
    </row>
    <row r="28" spans="1:4">
      <c r="A28" t="s">
        <v>101</v>
      </c>
      <c r="B28">
        <f>B22+B23-B27</f>
        <v>1500</v>
      </c>
      <c r="C28">
        <f>C22+C23-C27</f>
        <v>1500</v>
      </c>
      <c r="D28">
        <f>D22+D23-D27</f>
        <v>0</v>
      </c>
    </row>
    <row r="30" spans="1:4">
      <c r="A30" t="s">
        <v>104</v>
      </c>
      <c r="B30" s="17">
        <f>B28*$B$15</f>
        <v>30000</v>
      </c>
      <c r="C30" s="17">
        <f t="shared" ref="C30" si="2">C28*$B$15</f>
        <v>30000</v>
      </c>
      <c r="D30" s="51">
        <f>D28*$B$15</f>
        <v>0</v>
      </c>
    </row>
    <row r="31" spans="1:4">
      <c r="A31" t="s">
        <v>24</v>
      </c>
      <c r="B31" s="27">
        <f xml:space="preserve"> SUM(B30:D30)</f>
        <v>60000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5"/>
  <sheetViews>
    <sheetView topLeftCell="A10" workbookViewId="0">
      <selection activeCell="K4" sqref="K4"/>
    </sheetView>
  </sheetViews>
  <sheetFormatPr defaultRowHeight="15"/>
  <cols>
    <col min="5" max="5" width="12.5703125" bestFit="1" customWidth="1"/>
  </cols>
  <sheetData>
    <row r="1" spans="1:11">
      <c r="A1" s="1" t="s">
        <v>137</v>
      </c>
      <c r="K1" s="34" t="str">
        <f>CONCATENATE("Sensitivity of ",$K$4," to ","Given factor")</f>
        <v>Sensitivity of Production_Q29_3 to Given factor</v>
      </c>
    </row>
    <row r="3" spans="1:11">
      <c r="A3" t="s">
        <v>138</v>
      </c>
      <c r="K3" t="s">
        <v>68</v>
      </c>
    </row>
    <row r="4" spans="1:11" ht="91.5">
      <c r="B4" s="32" t="s">
        <v>139</v>
      </c>
      <c r="C4" s="32" t="s">
        <v>140</v>
      </c>
      <c r="D4" s="32" t="s">
        <v>141</v>
      </c>
      <c r="E4" s="32" t="s">
        <v>142</v>
      </c>
      <c r="J4" s="34">
        <f>MATCH($K$4,OutputAddresses,0)</f>
        <v>3</v>
      </c>
      <c r="K4" s="33" t="s">
        <v>141</v>
      </c>
    </row>
    <row r="5" spans="1:11">
      <c r="A5" s="66">
        <v>0</v>
      </c>
      <c r="B5" s="48">
        <v>3000</v>
      </c>
      <c r="C5" s="36">
        <v>1000</v>
      </c>
      <c r="D5" s="36">
        <v>0</v>
      </c>
      <c r="E5" s="45">
        <v>60000</v>
      </c>
      <c r="K5">
        <f>INDEX(OutputValues,1,$J$4)</f>
        <v>0</v>
      </c>
    </row>
    <row r="6" spans="1:11">
      <c r="A6" s="66">
        <v>1</v>
      </c>
      <c r="B6" s="49">
        <v>3400</v>
      </c>
      <c r="C6" s="39">
        <v>1600</v>
      </c>
      <c r="D6" s="39">
        <v>0</v>
      </c>
      <c r="E6" s="46">
        <v>70000</v>
      </c>
      <c r="K6">
        <f>INDEX(OutputValues,2,$J$4)</f>
        <v>0</v>
      </c>
    </row>
    <row r="7" spans="1:11">
      <c r="A7" s="66">
        <v>2</v>
      </c>
      <c r="B7" s="49">
        <v>3800</v>
      </c>
      <c r="C7" s="39">
        <v>2200</v>
      </c>
      <c r="D7" s="39">
        <v>0</v>
      </c>
      <c r="E7" s="46">
        <v>80000</v>
      </c>
      <c r="K7">
        <f>INDEX(OutputValues,3,$J$4)</f>
        <v>0</v>
      </c>
    </row>
    <row r="8" spans="1:11">
      <c r="A8" s="66">
        <v>3</v>
      </c>
      <c r="B8" s="49">
        <v>4200</v>
      </c>
      <c r="C8" s="39">
        <v>2800</v>
      </c>
      <c r="D8" s="39">
        <v>0</v>
      </c>
      <c r="E8" s="46">
        <v>90000</v>
      </c>
      <c r="K8">
        <f>INDEX(OutputValues,4,$J$4)</f>
        <v>0</v>
      </c>
    </row>
    <row r="9" spans="1:11">
      <c r="A9" s="66">
        <v>4</v>
      </c>
      <c r="B9" s="49">
        <v>4600</v>
      </c>
      <c r="C9" s="39">
        <v>3400</v>
      </c>
      <c r="D9" s="39">
        <v>0</v>
      </c>
      <c r="E9" s="46">
        <v>100000</v>
      </c>
      <c r="K9">
        <f>INDEX(OutputValues,5,$J$4)</f>
        <v>0</v>
      </c>
    </row>
    <row r="10" spans="1:11">
      <c r="A10" s="66">
        <v>5</v>
      </c>
      <c r="B10" s="49">
        <v>5000</v>
      </c>
      <c r="C10" s="39">
        <v>4000</v>
      </c>
      <c r="D10" s="39">
        <v>0</v>
      </c>
      <c r="E10" s="46">
        <v>110000</v>
      </c>
      <c r="K10">
        <f>INDEX(OutputValues,6,$J$4)</f>
        <v>0</v>
      </c>
    </row>
    <row r="11" spans="1:11">
      <c r="A11" s="66">
        <v>6</v>
      </c>
      <c r="B11" s="49">
        <v>5400</v>
      </c>
      <c r="C11" s="39">
        <v>4600</v>
      </c>
      <c r="D11" s="39">
        <v>0</v>
      </c>
      <c r="E11" s="46">
        <v>120000</v>
      </c>
      <c r="K11">
        <f>INDEX(OutputValues,7,$J$4)</f>
        <v>0</v>
      </c>
    </row>
    <row r="12" spans="1:11">
      <c r="A12" s="66">
        <v>7</v>
      </c>
      <c r="B12" s="49">
        <v>5800</v>
      </c>
      <c r="C12" s="39">
        <v>5200</v>
      </c>
      <c r="D12" s="39">
        <v>0</v>
      </c>
      <c r="E12" s="46">
        <v>130000</v>
      </c>
      <c r="K12">
        <f>INDEX(OutputValues,8,$J$4)</f>
        <v>0</v>
      </c>
    </row>
    <row r="13" spans="1:11">
      <c r="A13" s="66">
        <v>8</v>
      </c>
      <c r="B13" s="49">
        <v>6200</v>
      </c>
      <c r="C13" s="39">
        <v>5800</v>
      </c>
      <c r="D13" s="39">
        <v>0</v>
      </c>
      <c r="E13" s="46">
        <v>140000</v>
      </c>
      <c r="K13">
        <f>INDEX(OutputValues,9,$J$4)</f>
        <v>0</v>
      </c>
    </row>
    <row r="14" spans="1:11">
      <c r="A14" s="66">
        <v>9</v>
      </c>
      <c r="B14" s="49">
        <v>6600</v>
      </c>
      <c r="C14" s="39">
        <v>6400</v>
      </c>
      <c r="D14" s="39">
        <v>0</v>
      </c>
      <c r="E14" s="46">
        <v>150000</v>
      </c>
      <c r="K14">
        <f>INDEX(OutputValues,10,$J$4)</f>
        <v>0</v>
      </c>
    </row>
    <row r="15" spans="1:11">
      <c r="A15" s="66">
        <v>10</v>
      </c>
      <c r="B15" s="50">
        <v>7000</v>
      </c>
      <c r="C15" s="42">
        <v>7000</v>
      </c>
      <c r="D15" s="42">
        <v>0</v>
      </c>
      <c r="E15" s="47">
        <v>160000</v>
      </c>
      <c r="K15">
        <f>INDEX(OutputValues,11,$J$4)</f>
        <v>0</v>
      </c>
    </row>
  </sheetData>
  <dataValidations count="1">
    <dataValidation type="list" allowBlank="1" showInputMessage="1" showErrorMessage="1" sqref="K4">
      <formula1>OutputAddresses</formula1>
    </dataValidation>
  </dataValidation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05"/>
  <sheetViews>
    <sheetView topLeftCell="A4" workbookViewId="0">
      <selection activeCell="K4" sqref="K4"/>
    </sheetView>
  </sheetViews>
  <sheetFormatPr defaultRowHeight="15"/>
  <cols>
    <col min="5" max="5" width="14.28515625" bestFit="1" customWidth="1"/>
  </cols>
  <sheetData>
    <row r="1" spans="1:11">
      <c r="A1" s="1" t="s">
        <v>137</v>
      </c>
      <c r="K1" s="34" t="str">
        <f>CONCATENATE("Sensitivity of ",$K$4," to ","Given factor")</f>
        <v>Sensitivity of Production_Q29_3 to Given factor</v>
      </c>
    </row>
    <row r="3" spans="1:11">
      <c r="A3" t="s">
        <v>138</v>
      </c>
      <c r="K3" t="s">
        <v>68</v>
      </c>
    </row>
    <row r="4" spans="1:11" ht="91.5">
      <c r="B4" s="32" t="s">
        <v>139</v>
      </c>
      <c r="C4" s="32" t="s">
        <v>140</v>
      </c>
      <c r="D4" s="32" t="s">
        <v>141</v>
      </c>
      <c r="E4" s="32" t="s">
        <v>142</v>
      </c>
      <c r="J4" s="34">
        <f>MATCH($K$4,OutputAddresses,0)</f>
        <v>3</v>
      </c>
      <c r="K4" s="33" t="s">
        <v>141</v>
      </c>
    </row>
    <row r="5" spans="1:11">
      <c r="A5" s="66">
        <v>0</v>
      </c>
      <c r="B5" s="48">
        <v>3000</v>
      </c>
      <c r="C5" s="36">
        <v>1000</v>
      </c>
      <c r="D5" s="36">
        <v>0</v>
      </c>
      <c r="E5" s="45">
        <v>60000</v>
      </c>
      <c r="K5">
        <f>INDEX(OutputValues,1,$J$4)</f>
        <v>0</v>
      </c>
    </row>
    <row r="6" spans="1:11">
      <c r="A6" s="66">
        <v>1</v>
      </c>
      <c r="B6" s="49">
        <v>3000</v>
      </c>
      <c r="C6" s="39">
        <v>2000</v>
      </c>
      <c r="D6" s="39">
        <v>0</v>
      </c>
      <c r="E6" s="46">
        <v>80000</v>
      </c>
      <c r="K6">
        <f>INDEX(OutputValues,2,$J$4)</f>
        <v>0</v>
      </c>
    </row>
    <row r="7" spans="1:11">
      <c r="A7" s="66">
        <v>2</v>
      </c>
      <c r="B7" s="49">
        <v>3000</v>
      </c>
      <c r="C7" s="39">
        <v>3000</v>
      </c>
      <c r="D7" s="39">
        <v>0</v>
      </c>
      <c r="E7" s="46">
        <v>100000</v>
      </c>
      <c r="K7">
        <f>INDEX(OutputValues,3,$J$4)</f>
        <v>0</v>
      </c>
    </row>
    <row r="8" spans="1:11">
      <c r="A8" s="66">
        <v>3</v>
      </c>
      <c r="B8" s="49">
        <v>3000</v>
      </c>
      <c r="C8" s="39">
        <v>4000</v>
      </c>
      <c r="D8" s="39">
        <v>0</v>
      </c>
      <c r="E8" s="46">
        <v>120000</v>
      </c>
      <c r="K8">
        <f>INDEX(OutputValues,4,$J$4)</f>
        <v>0</v>
      </c>
    </row>
    <row r="9" spans="1:11">
      <c r="A9" s="66">
        <v>4</v>
      </c>
      <c r="B9" s="49">
        <v>3000</v>
      </c>
      <c r="C9" s="39">
        <v>5000</v>
      </c>
      <c r="D9" s="39">
        <v>0</v>
      </c>
      <c r="E9" s="46">
        <v>140000</v>
      </c>
      <c r="K9">
        <f>INDEX(OutputValues,5,$J$4)</f>
        <v>0</v>
      </c>
    </row>
    <row r="10" spans="1:11">
      <c r="A10" s="66">
        <v>5</v>
      </c>
      <c r="B10" s="49">
        <v>3000</v>
      </c>
      <c r="C10" s="39">
        <v>6000</v>
      </c>
      <c r="D10" s="39">
        <v>0</v>
      </c>
      <c r="E10" s="46">
        <v>160000</v>
      </c>
      <c r="K10">
        <f>INDEX(OutputValues,6,$J$4)</f>
        <v>0</v>
      </c>
    </row>
    <row r="11" spans="1:11">
      <c r="A11" s="66">
        <v>6</v>
      </c>
      <c r="B11" s="49">
        <v>3000</v>
      </c>
      <c r="C11" s="39">
        <v>7000</v>
      </c>
      <c r="D11" s="39">
        <v>0</v>
      </c>
      <c r="E11" s="46">
        <v>180000</v>
      </c>
      <c r="K11">
        <f>INDEX(OutputValues,7,$J$4)</f>
        <v>0</v>
      </c>
    </row>
    <row r="12" spans="1:11">
      <c r="A12" s="66">
        <v>7</v>
      </c>
      <c r="B12" s="49">
        <v>3000</v>
      </c>
      <c r="C12" s="39">
        <v>8000</v>
      </c>
      <c r="D12" s="39">
        <v>0</v>
      </c>
      <c r="E12" s="46">
        <v>200000</v>
      </c>
      <c r="K12">
        <f>INDEX(OutputValues,8,$J$4)</f>
        <v>0</v>
      </c>
    </row>
    <row r="13" spans="1:11">
      <c r="A13" s="66">
        <v>8</v>
      </c>
      <c r="B13" s="49">
        <v>3000</v>
      </c>
      <c r="C13" s="39">
        <v>9000</v>
      </c>
      <c r="D13" s="39">
        <v>0</v>
      </c>
      <c r="E13" s="46">
        <v>220000</v>
      </c>
      <c r="K13">
        <f>INDEX(OutputValues,9,$J$4)</f>
        <v>0</v>
      </c>
    </row>
    <row r="14" spans="1:11">
      <c r="A14" s="66">
        <v>9</v>
      </c>
      <c r="B14" s="49">
        <v>3000</v>
      </c>
      <c r="C14" s="39">
        <v>10000</v>
      </c>
      <c r="D14" s="39">
        <v>0</v>
      </c>
      <c r="E14" s="46">
        <v>240000</v>
      </c>
      <c r="K14">
        <f>INDEX(OutputValues,10,$J$4)</f>
        <v>0</v>
      </c>
    </row>
    <row r="15" spans="1:11">
      <c r="A15" s="66">
        <v>10</v>
      </c>
      <c r="B15" s="49">
        <v>3000</v>
      </c>
      <c r="C15" s="39">
        <v>11000</v>
      </c>
      <c r="D15" s="39">
        <v>0</v>
      </c>
      <c r="E15" s="46">
        <v>260000</v>
      </c>
      <c r="K15">
        <f>INDEX(OutputValues,11,$J$4)</f>
        <v>0</v>
      </c>
    </row>
    <row r="16" spans="1:11">
      <c r="A16" s="66">
        <v>11</v>
      </c>
      <c r="B16" s="49">
        <v>3000</v>
      </c>
      <c r="C16" s="39">
        <v>12000</v>
      </c>
      <c r="D16" s="39">
        <v>0</v>
      </c>
      <c r="E16" s="46">
        <v>280000</v>
      </c>
      <c r="K16">
        <f>INDEX(OutputValues,12,$J$4)</f>
        <v>0</v>
      </c>
    </row>
    <row r="17" spans="1:11">
      <c r="A17" s="66">
        <v>12</v>
      </c>
      <c r="B17" s="49">
        <v>3000</v>
      </c>
      <c r="C17" s="39">
        <v>13000</v>
      </c>
      <c r="D17" s="39">
        <v>0</v>
      </c>
      <c r="E17" s="46">
        <v>300000</v>
      </c>
      <c r="K17">
        <f>INDEX(OutputValues,13,$J$4)</f>
        <v>0</v>
      </c>
    </row>
    <row r="18" spans="1:11">
      <c r="A18" s="66">
        <v>13</v>
      </c>
      <c r="B18" s="49">
        <v>3000</v>
      </c>
      <c r="C18" s="39">
        <v>14000</v>
      </c>
      <c r="D18" s="39">
        <v>0</v>
      </c>
      <c r="E18" s="46">
        <v>320000</v>
      </c>
      <c r="K18">
        <f>INDEX(OutputValues,14,$J$4)</f>
        <v>0</v>
      </c>
    </row>
    <row r="19" spans="1:11">
      <c r="A19" s="66">
        <v>14</v>
      </c>
      <c r="B19" s="49">
        <v>3000</v>
      </c>
      <c r="C19" s="39">
        <v>15000</v>
      </c>
      <c r="D19" s="39">
        <v>0</v>
      </c>
      <c r="E19" s="46">
        <v>340000</v>
      </c>
      <c r="K19">
        <f>INDEX(OutputValues,15,$J$4)</f>
        <v>0</v>
      </c>
    </row>
    <row r="20" spans="1:11">
      <c r="A20" s="66">
        <v>15</v>
      </c>
      <c r="B20" s="49">
        <v>3000</v>
      </c>
      <c r="C20" s="39">
        <v>16000</v>
      </c>
      <c r="D20" s="39">
        <v>0</v>
      </c>
      <c r="E20" s="46">
        <v>360000</v>
      </c>
      <c r="K20">
        <f>INDEX(OutputValues,16,$J$4)</f>
        <v>0</v>
      </c>
    </row>
    <row r="21" spans="1:11">
      <c r="A21" s="66">
        <v>16</v>
      </c>
      <c r="B21" s="49">
        <v>3000</v>
      </c>
      <c r="C21" s="39">
        <v>17000</v>
      </c>
      <c r="D21" s="39">
        <v>0</v>
      </c>
      <c r="E21" s="46">
        <v>380000</v>
      </c>
      <c r="K21">
        <f>INDEX(OutputValues,17,$J$4)</f>
        <v>0</v>
      </c>
    </row>
    <row r="22" spans="1:11">
      <c r="A22" s="66">
        <v>17</v>
      </c>
      <c r="B22" s="49">
        <v>3000</v>
      </c>
      <c r="C22" s="39">
        <v>18000</v>
      </c>
      <c r="D22" s="39">
        <v>0</v>
      </c>
      <c r="E22" s="46">
        <v>400000</v>
      </c>
      <c r="K22">
        <f>INDEX(OutputValues,18,$J$4)</f>
        <v>0</v>
      </c>
    </row>
    <row r="23" spans="1:11">
      <c r="A23" s="66">
        <v>18</v>
      </c>
      <c r="B23" s="49">
        <v>3000</v>
      </c>
      <c r="C23" s="39">
        <v>19000</v>
      </c>
      <c r="D23" s="39">
        <v>0</v>
      </c>
      <c r="E23" s="46">
        <v>420000</v>
      </c>
      <c r="K23">
        <f>INDEX(OutputValues,19,$J$4)</f>
        <v>0</v>
      </c>
    </row>
    <row r="24" spans="1:11">
      <c r="A24" s="66">
        <v>19</v>
      </c>
      <c r="B24" s="49">
        <v>3000</v>
      </c>
      <c r="C24" s="39">
        <v>20000</v>
      </c>
      <c r="D24" s="39">
        <v>0</v>
      </c>
      <c r="E24" s="46">
        <v>440000</v>
      </c>
      <c r="K24">
        <f>INDEX(OutputValues,20,$J$4)</f>
        <v>0</v>
      </c>
    </row>
    <row r="25" spans="1:11">
      <c r="A25" s="66">
        <v>20</v>
      </c>
      <c r="B25" s="49">
        <v>3000</v>
      </c>
      <c r="C25" s="39">
        <v>21000</v>
      </c>
      <c r="D25" s="39">
        <v>0</v>
      </c>
      <c r="E25" s="46">
        <v>460000</v>
      </c>
      <c r="K25">
        <f>INDEX(OutputValues,21,$J$4)</f>
        <v>0</v>
      </c>
    </row>
    <row r="26" spans="1:11">
      <c r="A26" s="66">
        <v>21</v>
      </c>
      <c r="B26" s="49">
        <v>3000</v>
      </c>
      <c r="C26" s="39">
        <v>22000</v>
      </c>
      <c r="D26" s="39">
        <v>0</v>
      </c>
      <c r="E26" s="46">
        <v>480000</v>
      </c>
      <c r="K26">
        <f>INDEX(OutputValues,22,$J$4)</f>
        <v>0</v>
      </c>
    </row>
    <row r="27" spans="1:11">
      <c r="A27" s="66">
        <v>22</v>
      </c>
      <c r="B27" s="49">
        <v>3000</v>
      </c>
      <c r="C27" s="39">
        <v>23000</v>
      </c>
      <c r="D27" s="39">
        <v>0</v>
      </c>
      <c r="E27" s="46">
        <v>500000</v>
      </c>
      <c r="K27">
        <f>INDEX(OutputValues,23,$J$4)</f>
        <v>0</v>
      </c>
    </row>
    <row r="28" spans="1:11">
      <c r="A28" s="66">
        <v>23</v>
      </c>
      <c r="B28" s="49">
        <v>3000</v>
      </c>
      <c r="C28" s="39">
        <v>24000</v>
      </c>
      <c r="D28" s="39">
        <v>0</v>
      </c>
      <c r="E28" s="46">
        <v>520000</v>
      </c>
      <c r="K28">
        <f>INDEX(OutputValues,24,$J$4)</f>
        <v>0</v>
      </c>
    </row>
    <row r="29" spans="1:11">
      <c r="A29" s="66">
        <v>24</v>
      </c>
      <c r="B29" s="49">
        <v>3000</v>
      </c>
      <c r="C29" s="39">
        <v>25000</v>
      </c>
      <c r="D29" s="39">
        <v>0</v>
      </c>
      <c r="E29" s="46">
        <v>540000</v>
      </c>
      <c r="K29">
        <f>INDEX(OutputValues,25,$J$4)</f>
        <v>0</v>
      </c>
    </row>
    <row r="30" spans="1:11">
      <c r="A30" s="66">
        <v>25</v>
      </c>
      <c r="B30" s="49">
        <v>3000</v>
      </c>
      <c r="C30" s="39">
        <v>26000</v>
      </c>
      <c r="D30" s="39">
        <v>0</v>
      </c>
      <c r="E30" s="46">
        <v>560000</v>
      </c>
      <c r="K30">
        <f>INDEX(OutputValues,26,$J$4)</f>
        <v>0</v>
      </c>
    </row>
    <row r="31" spans="1:11">
      <c r="A31" s="66">
        <v>26</v>
      </c>
      <c r="B31" s="49">
        <v>3000</v>
      </c>
      <c r="C31" s="39">
        <v>27000</v>
      </c>
      <c r="D31" s="39">
        <v>0</v>
      </c>
      <c r="E31" s="46">
        <v>580000</v>
      </c>
      <c r="K31">
        <f>INDEX(OutputValues,27,$J$4)</f>
        <v>0</v>
      </c>
    </row>
    <row r="32" spans="1:11">
      <c r="A32" s="66">
        <v>27</v>
      </c>
      <c r="B32" s="49">
        <v>3000</v>
      </c>
      <c r="C32" s="39">
        <v>28000</v>
      </c>
      <c r="D32" s="39">
        <v>0</v>
      </c>
      <c r="E32" s="46">
        <v>600000</v>
      </c>
      <c r="K32">
        <f>INDEX(OutputValues,28,$J$4)</f>
        <v>0</v>
      </c>
    </row>
    <row r="33" spans="1:11">
      <c r="A33" s="66">
        <v>28</v>
      </c>
      <c r="B33" s="49">
        <v>3000</v>
      </c>
      <c r="C33" s="39">
        <v>29000</v>
      </c>
      <c r="D33" s="39">
        <v>0</v>
      </c>
      <c r="E33" s="46">
        <v>620000</v>
      </c>
      <c r="K33">
        <f>INDEX(OutputValues,29,$J$4)</f>
        <v>0</v>
      </c>
    </row>
    <row r="34" spans="1:11">
      <c r="A34" s="66">
        <v>29</v>
      </c>
      <c r="B34" s="49">
        <v>3000</v>
      </c>
      <c r="C34" s="39">
        <v>30000</v>
      </c>
      <c r="D34" s="39">
        <v>0</v>
      </c>
      <c r="E34" s="46">
        <v>640000</v>
      </c>
      <c r="K34">
        <f>INDEX(OutputValues,30,$J$4)</f>
        <v>0</v>
      </c>
    </row>
    <row r="35" spans="1:11">
      <c r="A35" s="66">
        <v>30</v>
      </c>
      <c r="B35" s="49">
        <v>3000</v>
      </c>
      <c r="C35" s="39">
        <v>31000</v>
      </c>
      <c r="D35" s="39">
        <v>0</v>
      </c>
      <c r="E35" s="46">
        <v>660000</v>
      </c>
      <c r="K35">
        <f>INDEX(OutputValues,31,$J$4)</f>
        <v>0</v>
      </c>
    </row>
    <row r="36" spans="1:11">
      <c r="A36" s="66">
        <v>31</v>
      </c>
      <c r="B36" s="49">
        <v>3000</v>
      </c>
      <c r="C36" s="39">
        <v>32000</v>
      </c>
      <c r="D36" s="39">
        <v>0</v>
      </c>
      <c r="E36" s="46">
        <v>680000</v>
      </c>
      <c r="K36">
        <f>INDEX(OutputValues,32,$J$4)</f>
        <v>0</v>
      </c>
    </row>
    <row r="37" spans="1:11">
      <c r="A37" s="66">
        <v>32</v>
      </c>
      <c r="B37" s="49">
        <v>3000</v>
      </c>
      <c r="C37" s="39">
        <v>33000</v>
      </c>
      <c r="D37" s="39">
        <v>0</v>
      </c>
      <c r="E37" s="46">
        <v>700000</v>
      </c>
      <c r="K37">
        <f>INDEX(OutputValues,33,$J$4)</f>
        <v>0</v>
      </c>
    </row>
    <row r="38" spans="1:11">
      <c r="A38" s="66">
        <v>33</v>
      </c>
      <c r="B38" s="49">
        <v>3000</v>
      </c>
      <c r="C38" s="39">
        <v>34000</v>
      </c>
      <c r="D38" s="39">
        <v>0</v>
      </c>
      <c r="E38" s="46">
        <v>720000</v>
      </c>
      <c r="K38">
        <f>INDEX(OutputValues,34,$J$4)</f>
        <v>0</v>
      </c>
    </row>
    <row r="39" spans="1:11">
      <c r="A39" s="66">
        <v>34</v>
      </c>
      <c r="B39" s="49">
        <v>3000</v>
      </c>
      <c r="C39" s="39">
        <v>35000</v>
      </c>
      <c r="D39" s="39">
        <v>0</v>
      </c>
      <c r="E39" s="46">
        <v>740000</v>
      </c>
      <c r="K39">
        <f>INDEX(OutputValues,35,$J$4)</f>
        <v>0</v>
      </c>
    </row>
    <row r="40" spans="1:11">
      <c r="A40" s="66">
        <v>35</v>
      </c>
      <c r="B40" s="49">
        <v>3000</v>
      </c>
      <c r="C40" s="39">
        <v>36000</v>
      </c>
      <c r="D40" s="39">
        <v>0</v>
      </c>
      <c r="E40" s="46">
        <v>760000</v>
      </c>
      <c r="K40">
        <f>INDEX(OutputValues,36,$J$4)</f>
        <v>0</v>
      </c>
    </row>
    <row r="41" spans="1:11">
      <c r="A41" s="66">
        <v>36</v>
      </c>
      <c r="B41" s="49">
        <v>3000</v>
      </c>
      <c r="C41" s="39">
        <v>37000</v>
      </c>
      <c r="D41" s="39">
        <v>0</v>
      </c>
      <c r="E41" s="46">
        <v>780000</v>
      </c>
      <c r="K41">
        <f>INDEX(OutputValues,37,$J$4)</f>
        <v>0</v>
      </c>
    </row>
    <row r="42" spans="1:11">
      <c r="A42" s="66">
        <v>37</v>
      </c>
      <c r="B42" s="49">
        <v>3000</v>
      </c>
      <c r="C42" s="39">
        <v>38000</v>
      </c>
      <c r="D42" s="39">
        <v>0</v>
      </c>
      <c r="E42" s="46">
        <v>800000</v>
      </c>
      <c r="K42">
        <f>INDEX(OutputValues,38,$J$4)</f>
        <v>0</v>
      </c>
    </row>
    <row r="43" spans="1:11">
      <c r="A43" s="66">
        <v>38</v>
      </c>
      <c r="B43" s="49">
        <v>3000</v>
      </c>
      <c r="C43" s="39">
        <v>39000</v>
      </c>
      <c r="D43" s="39">
        <v>0</v>
      </c>
      <c r="E43" s="46">
        <v>820000</v>
      </c>
      <c r="K43">
        <f>INDEX(OutputValues,39,$J$4)</f>
        <v>0</v>
      </c>
    </row>
    <row r="44" spans="1:11">
      <c r="A44" s="66">
        <v>39</v>
      </c>
      <c r="B44" s="49">
        <v>3000</v>
      </c>
      <c r="C44" s="39">
        <v>40000</v>
      </c>
      <c r="D44" s="39">
        <v>0</v>
      </c>
      <c r="E44" s="46">
        <v>840000</v>
      </c>
      <c r="K44">
        <f>INDEX(OutputValues,40,$J$4)</f>
        <v>0</v>
      </c>
    </row>
    <row r="45" spans="1:11">
      <c r="A45" s="66">
        <v>40</v>
      </c>
      <c r="B45" s="49">
        <v>3000</v>
      </c>
      <c r="C45" s="39">
        <v>41000</v>
      </c>
      <c r="D45" s="39">
        <v>0</v>
      </c>
      <c r="E45" s="46">
        <v>860000</v>
      </c>
      <c r="K45">
        <f>INDEX(OutputValues,41,$J$4)</f>
        <v>0</v>
      </c>
    </row>
    <row r="46" spans="1:11">
      <c r="A46" s="66">
        <v>41</v>
      </c>
      <c r="B46" s="49">
        <v>3000</v>
      </c>
      <c r="C46" s="39">
        <v>42000</v>
      </c>
      <c r="D46" s="39">
        <v>0</v>
      </c>
      <c r="E46" s="46">
        <v>880000</v>
      </c>
      <c r="K46">
        <f>INDEX(OutputValues,42,$J$4)</f>
        <v>0</v>
      </c>
    </row>
    <row r="47" spans="1:11">
      <c r="A47" s="66">
        <v>42</v>
      </c>
      <c r="B47" s="49">
        <v>3000</v>
      </c>
      <c r="C47" s="39">
        <v>43000</v>
      </c>
      <c r="D47" s="39">
        <v>0</v>
      </c>
      <c r="E47" s="46">
        <v>900000</v>
      </c>
      <c r="K47">
        <f>INDEX(OutputValues,43,$J$4)</f>
        <v>0</v>
      </c>
    </row>
    <row r="48" spans="1:11">
      <c r="A48" s="66">
        <v>43</v>
      </c>
      <c r="B48" s="49">
        <v>3000</v>
      </c>
      <c r="C48" s="39">
        <v>44000</v>
      </c>
      <c r="D48" s="39">
        <v>0</v>
      </c>
      <c r="E48" s="46">
        <v>920000</v>
      </c>
      <c r="K48">
        <f>INDEX(OutputValues,44,$J$4)</f>
        <v>0</v>
      </c>
    </row>
    <row r="49" spans="1:11">
      <c r="A49" s="66">
        <v>44</v>
      </c>
      <c r="B49" s="49">
        <v>3000</v>
      </c>
      <c r="C49" s="39">
        <v>45000</v>
      </c>
      <c r="D49" s="39">
        <v>0</v>
      </c>
      <c r="E49" s="46">
        <v>940000</v>
      </c>
      <c r="K49">
        <f>INDEX(OutputValues,45,$J$4)</f>
        <v>0</v>
      </c>
    </row>
    <row r="50" spans="1:11">
      <c r="A50" s="66">
        <v>45</v>
      </c>
      <c r="B50" s="49">
        <v>3000</v>
      </c>
      <c r="C50" s="39">
        <v>46000</v>
      </c>
      <c r="D50" s="39">
        <v>0</v>
      </c>
      <c r="E50" s="46">
        <v>960000</v>
      </c>
      <c r="K50">
        <f>INDEX(OutputValues,46,$J$4)</f>
        <v>0</v>
      </c>
    </row>
    <row r="51" spans="1:11">
      <c r="A51" s="66">
        <v>46</v>
      </c>
      <c r="B51" s="49">
        <v>3000</v>
      </c>
      <c r="C51" s="39">
        <v>47000</v>
      </c>
      <c r="D51" s="39">
        <v>0</v>
      </c>
      <c r="E51" s="46">
        <v>980000</v>
      </c>
      <c r="K51">
        <f>INDEX(OutputValues,47,$J$4)</f>
        <v>0</v>
      </c>
    </row>
    <row r="52" spans="1:11">
      <c r="A52" s="66">
        <v>47</v>
      </c>
      <c r="B52" s="49">
        <v>3000</v>
      </c>
      <c r="C52" s="39">
        <v>48000</v>
      </c>
      <c r="D52" s="39">
        <v>0</v>
      </c>
      <c r="E52" s="46">
        <v>1000000</v>
      </c>
      <c r="K52">
        <f>INDEX(OutputValues,48,$J$4)</f>
        <v>0</v>
      </c>
    </row>
    <row r="53" spans="1:11">
      <c r="A53" s="66">
        <v>48</v>
      </c>
      <c r="B53" s="49">
        <v>3000</v>
      </c>
      <c r="C53" s="39">
        <v>49000</v>
      </c>
      <c r="D53" s="39">
        <v>0</v>
      </c>
      <c r="E53" s="46">
        <v>1020000</v>
      </c>
      <c r="K53">
        <f>INDEX(OutputValues,49,$J$4)</f>
        <v>0</v>
      </c>
    </row>
    <row r="54" spans="1:11">
      <c r="A54" s="66">
        <v>49</v>
      </c>
      <c r="B54" s="49">
        <v>3000</v>
      </c>
      <c r="C54" s="39">
        <v>50000</v>
      </c>
      <c r="D54" s="39">
        <v>0</v>
      </c>
      <c r="E54" s="46">
        <v>1040000</v>
      </c>
      <c r="K54">
        <f>INDEX(OutputValues,50,$J$4)</f>
        <v>0</v>
      </c>
    </row>
    <row r="55" spans="1:11">
      <c r="A55" s="66">
        <v>50</v>
      </c>
      <c r="B55" s="49">
        <v>3000</v>
      </c>
      <c r="C55" s="39">
        <v>51000</v>
      </c>
      <c r="D55" s="39">
        <v>0</v>
      </c>
      <c r="E55" s="46">
        <v>1060000</v>
      </c>
      <c r="K55">
        <f>INDEX(OutputValues,51,$J$4)</f>
        <v>0</v>
      </c>
    </row>
    <row r="56" spans="1:11">
      <c r="A56" s="66">
        <v>51</v>
      </c>
      <c r="B56" s="49">
        <v>3000</v>
      </c>
      <c r="C56" s="39">
        <v>52000</v>
      </c>
      <c r="D56" s="39">
        <v>0</v>
      </c>
      <c r="E56" s="46">
        <v>1080000</v>
      </c>
      <c r="K56">
        <f>INDEX(OutputValues,52,$J$4)</f>
        <v>0</v>
      </c>
    </row>
    <row r="57" spans="1:11">
      <c r="A57" s="66">
        <v>52</v>
      </c>
      <c r="B57" s="49">
        <v>3000</v>
      </c>
      <c r="C57" s="39">
        <v>53000</v>
      </c>
      <c r="D57" s="39">
        <v>0</v>
      </c>
      <c r="E57" s="46">
        <v>1100000</v>
      </c>
      <c r="K57">
        <f>INDEX(OutputValues,53,$J$4)</f>
        <v>0</v>
      </c>
    </row>
    <row r="58" spans="1:11">
      <c r="A58" s="66">
        <v>53</v>
      </c>
      <c r="B58" s="49">
        <v>3000</v>
      </c>
      <c r="C58" s="39">
        <v>54000</v>
      </c>
      <c r="D58" s="39">
        <v>0</v>
      </c>
      <c r="E58" s="46">
        <v>1120000</v>
      </c>
      <c r="K58">
        <f>INDEX(OutputValues,54,$J$4)</f>
        <v>0</v>
      </c>
    </row>
    <row r="59" spans="1:11">
      <c r="A59" s="66">
        <v>54</v>
      </c>
      <c r="B59" s="49">
        <v>3000</v>
      </c>
      <c r="C59" s="39">
        <v>55000</v>
      </c>
      <c r="D59" s="39">
        <v>0</v>
      </c>
      <c r="E59" s="46">
        <v>1140000</v>
      </c>
      <c r="K59">
        <f>INDEX(OutputValues,55,$J$4)</f>
        <v>0</v>
      </c>
    </row>
    <row r="60" spans="1:11">
      <c r="A60" s="66">
        <v>55</v>
      </c>
      <c r="B60" s="49">
        <v>3000</v>
      </c>
      <c r="C60" s="39">
        <v>56000</v>
      </c>
      <c r="D60" s="39">
        <v>0</v>
      </c>
      <c r="E60" s="46">
        <v>1160000</v>
      </c>
      <c r="K60">
        <f>INDEX(OutputValues,56,$J$4)</f>
        <v>0</v>
      </c>
    </row>
    <row r="61" spans="1:11">
      <c r="A61" s="66">
        <v>56</v>
      </c>
      <c r="B61" s="49">
        <v>3000</v>
      </c>
      <c r="C61" s="39">
        <v>57000</v>
      </c>
      <c r="D61" s="39">
        <v>0</v>
      </c>
      <c r="E61" s="46">
        <v>1180000</v>
      </c>
      <c r="K61">
        <f>INDEX(OutputValues,57,$J$4)</f>
        <v>0</v>
      </c>
    </row>
    <row r="62" spans="1:11">
      <c r="A62" s="66">
        <v>57</v>
      </c>
      <c r="B62" s="49">
        <v>3000</v>
      </c>
      <c r="C62" s="39">
        <v>58000</v>
      </c>
      <c r="D62" s="39">
        <v>0</v>
      </c>
      <c r="E62" s="46">
        <v>1200000</v>
      </c>
      <c r="K62">
        <f>INDEX(OutputValues,58,$J$4)</f>
        <v>0</v>
      </c>
    </row>
    <row r="63" spans="1:11">
      <c r="A63" s="66">
        <v>58</v>
      </c>
      <c r="B63" s="49">
        <v>3000</v>
      </c>
      <c r="C63" s="39">
        <v>59000</v>
      </c>
      <c r="D63" s="39">
        <v>0</v>
      </c>
      <c r="E63" s="46">
        <v>1220000</v>
      </c>
      <c r="K63">
        <f>INDEX(OutputValues,59,$J$4)</f>
        <v>0</v>
      </c>
    </row>
    <row r="64" spans="1:11">
      <c r="A64" s="66">
        <v>59</v>
      </c>
      <c r="B64" s="49">
        <v>3000</v>
      </c>
      <c r="C64" s="39">
        <v>60000</v>
      </c>
      <c r="D64" s="39">
        <v>0</v>
      </c>
      <c r="E64" s="46">
        <v>1240000</v>
      </c>
      <c r="K64">
        <f>INDEX(OutputValues,60,$J$4)</f>
        <v>0</v>
      </c>
    </row>
    <row r="65" spans="1:11">
      <c r="A65" s="66">
        <v>60</v>
      </c>
      <c r="B65" s="49">
        <v>3000</v>
      </c>
      <c r="C65" s="39">
        <v>61000</v>
      </c>
      <c r="D65" s="39">
        <v>0</v>
      </c>
      <c r="E65" s="46">
        <v>1260000</v>
      </c>
      <c r="K65">
        <f>INDEX(OutputValues,61,$J$4)</f>
        <v>0</v>
      </c>
    </row>
    <row r="66" spans="1:11">
      <c r="A66" s="66">
        <v>61</v>
      </c>
      <c r="B66" s="49">
        <v>3000</v>
      </c>
      <c r="C66" s="39">
        <v>62000</v>
      </c>
      <c r="D66" s="39">
        <v>0</v>
      </c>
      <c r="E66" s="46">
        <v>1280000</v>
      </c>
      <c r="K66">
        <f>INDEX(OutputValues,62,$J$4)</f>
        <v>0</v>
      </c>
    </row>
    <row r="67" spans="1:11">
      <c r="A67" s="66">
        <v>62</v>
      </c>
      <c r="B67" s="49">
        <v>3000</v>
      </c>
      <c r="C67" s="39">
        <v>63000</v>
      </c>
      <c r="D67" s="39">
        <v>0</v>
      </c>
      <c r="E67" s="46">
        <v>1300000</v>
      </c>
      <c r="K67">
        <f>INDEX(OutputValues,63,$J$4)</f>
        <v>0</v>
      </c>
    </row>
    <row r="68" spans="1:11">
      <c r="A68" s="66">
        <v>63</v>
      </c>
      <c r="B68" s="49">
        <v>3000</v>
      </c>
      <c r="C68" s="39">
        <v>64000</v>
      </c>
      <c r="D68" s="39">
        <v>0</v>
      </c>
      <c r="E68" s="46">
        <v>1320000</v>
      </c>
      <c r="K68">
        <f>INDEX(OutputValues,64,$J$4)</f>
        <v>0</v>
      </c>
    </row>
    <row r="69" spans="1:11">
      <c r="A69" s="66">
        <v>64</v>
      </c>
      <c r="B69" s="49">
        <v>3000</v>
      </c>
      <c r="C69" s="39">
        <v>65000</v>
      </c>
      <c r="D69" s="39">
        <v>0</v>
      </c>
      <c r="E69" s="46">
        <v>1340000</v>
      </c>
      <c r="K69">
        <f>INDEX(OutputValues,65,$J$4)</f>
        <v>0</v>
      </c>
    </row>
    <row r="70" spans="1:11">
      <c r="A70" s="66">
        <v>65</v>
      </c>
      <c r="B70" s="49">
        <v>3000</v>
      </c>
      <c r="C70" s="39">
        <v>66000</v>
      </c>
      <c r="D70" s="39">
        <v>0</v>
      </c>
      <c r="E70" s="46">
        <v>1360000</v>
      </c>
      <c r="K70">
        <f>INDEX(OutputValues,66,$J$4)</f>
        <v>0</v>
      </c>
    </row>
    <row r="71" spans="1:11">
      <c r="A71" s="66">
        <v>66</v>
      </c>
      <c r="B71" s="49">
        <v>3000</v>
      </c>
      <c r="C71" s="39">
        <v>67000</v>
      </c>
      <c r="D71" s="39">
        <v>0</v>
      </c>
      <c r="E71" s="46">
        <v>1380000</v>
      </c>
      <c r="K71">
        <f>INDEX(OutputValues,67,$J$4)</f>
        <v>0</v>
      </c>
    </row>
    <row r="72" spans="1:11">
      <c r="A72" s="66">
        <v>67</v>
      </c>
      <c r="B72" s="49">
        <v>3000</v>
      </c>
      <c r="C72" s="39">
        <v>68000</v>
      </c>
      <c r="D72" s="39">
        <v>0</v>
      </c>
      <c r="E72" s="46">
        <v>1400000</v>
      </c>
      <c r="K72">
        <f>INDEX(OutputValues,68,$J$4)</f>
        <v>0</v>
      </c>
    </row>
    <row r="73" spans="1:11">
      <c r="A73" s="66">
        <v>68</v>
      </c>
      <c r="B73" s="49">
        <v>3000</v>
      </c>
      <c r="C73" s="39">
        <v>69000</v>
      </c>
      <c r="D73" s="39">
        <v>0</v>
      </c>
      <c r="E73" s="46">
        <v>1420000</v>
      </c>
      <c r="K73">
        <f>INDEX(OutputValues,69,$J$4)</f>
        <v>0</v>
      </c>
    </row>
    <row r="74" spans="1:11">
      <c r="A74" s="66">
        <v>69</v>
      </c>
      <c r="B74" s="49">
        <v>3000</v>
      </c>
      <c r="C74" s="39">
        <v>70000</v>
      </c>
      <c r="D74" s="39">
        <v>0</v>
      </c>
      <c r="E74" s="46">
        <v>1440000</v>
      </c>
      <c r="K74">
        <f>INDEX(OutputValues,70,$J$4)</f>
        <v>0</v>
      </c>
    </row>
    <row r="75" spans="1:11">
      <c r="A75" s="66">
        <v>70</v>
      </c>
      <c r="B75" s="49">
        <v>3000</v>
      </c>
      <c r="C75" s="39">
        <v>71000</v>
      </c>
      <c r="D75" s="39">
        <v>0</v>
      </c>
      <c r="E75" s="46">
        <v>1460000</v>
      </c>
      <c r="K75">
        <f>INDEX(OutputValues,71,$J$4)</f>
        <v>0</v>
      </c>
    </row>
    <row r="76" spans="1:11">
      <c r="A76" s="66">
        <v>71</v>
      </c>
      <c r="B76" s="49">
        <v>3000</v>
      </c>
      <c r="C76" s="39">
        <v>72000</v>
      </c>
      <c r="D76" s="39">
        <v>0</v>
      </c>
      <c r="E76" s="46">
        <v>1480000</v>
      </c>
      <c r="K76">
        <f>INDEX(OutputValues,72,$J$4)</f>
        <v>0</v>
      </c>
    </row>
    <row r="77" spans="1:11">
      <c r="A77" s="66">
        <v>72</v>
      </c>
      <c r="B77" s="49">
        <v>3000</v>
      </c>
      <c r="C77" s="39">
        <v>73000</v>
      </c>
      <c r="D77" s="39">
        <v>0</v>
      </c>
      <c r="E77" s="46">
        <v>1500000</v>
      </c>
      <c r="K77">
        <f>INDEX(OutputValues,73,$J$4)</f>
        <v>0</v>
      </c>
    </row>
    <row r="78" spans="1:11">
      <c r="A78" s="66">
        <v>73</v>
      </c>
      <c r="B78" s="49">
        <v>3000</v>
      </c>
      <c r="C78" s="39">
        <v>74000</v>
      </c>
      <c r="D78" s="39">
        <v>0</v>
      </c>
      <c r="E78" s="46">
        <v>1520000</v>
      </c>
      <c r="K78">
        <f>INDEX(OutputValues,74,$J$4)</f>
        <v>0</v>
      </c>
    </row>
    <row r="79" spans="1:11">
      <c r="A79" s="66">
        <v>74</v>
      </c>
      <c r="B79" s="49">
        <v>3000</v>
      </c>
      <c r="C79" s="39">
        <v>75000</v>
      </c>
      <c r="D79" s="39">
        <v>0</v>
      </c>
      <c r="E79" s="46">
        <v>1540000</v>
      </c>
      <c r="K79">
        <f>INDEX(OutputValues,75,$J$4)</f>
        <v>0</v>
      </c>
    </row>
    <row r="80" spans="1:11">
      <c r="A80" s="66">
        <v>75</v>
      </c>
      <c r="B80" s="49">
        <v>3000</v>
      </c>
      <c r="C80" s="39">
        <v>76000</v>
      </c>
      <c r="D80" s="39">
        <v>0</v>
      </c>
      <c r="E80" s="46">
        <v>1560000</v>
      </c>
      <c r="K80">
        <f>INDEX(OutputValues,76,$J$4)</f>
        <v>0</v>
      </c>
    </row>
    <row r="81" spans="1:11">
      <c r="A81" s="66">
        <v>76</v>
      </c>
      <c r="B81" s="49">
        <v>3000</v>
      </c>
      <c r="C81" s="39">
        <v>77000</v>
      </c>
      <c r="D81" s="39">
        <v>0</v>
      </c>
      <c r="E81" s="46">
        <v>1580000</v>
      </c>
      <c r="K81">
        <f>INDEX(OutputValues,77,$J$4)</f>
        <v>0</v>
      </c>
    </row>
    <row r="82" spans="1:11">
      <c r="A82" s="66">
        <v>77</v>
      </c>
      <c r="B82" s="49">
        <v>3000</v>
      </c>
      <c r="C82" s="39">
        <v>78000</v>
      </c>
      <c r="D82" s="39">
        <v>0</v>
      </c>
      <c r="E82" s="46">
        <v>1600000</v>
      </c>
      <c r="K82">
        <f>INDEX(OutputValues,78,$J$4)</f>
        <v>0</v>
      </c>
    </row>
    <row r="83" spans="1:11">
      <c r="A83" s="66">
        <v>78</v>
      </c>
      <c r="B83" s="49">
        <v>3000</v>
      </c>
      <c r="C83" s="39">
        <v>79000</v>
      </c>
      <c r="D83" s="39">
        <v>0</v>
      </c>
      <c r="E83" s="46">
        <v>1620000</v>
      </c>
      <c r="K83">
        <f>INDEX(OutputValues,79,$J$4)</f>
        <v>0</v>
      </c>
    </row>
    <row r="84" spans="1:11">
      <c r="A84" s="66">
        <v>79</v>
      </c>
      <c r="B84" s="49">
        <v>3000</v>
      </c>
      <c r="C84" s="39">
        <v>80000</v>
      </c>
      <c r="D84" s="39">
        <v>0</v>
      </c>
      <c r="E84" s="46">
        <v>1640000</v>
      </c>
      <c r="K84">
        <f>INDEX(OutputValues,80,$J$4)</f>
        <v>0</v>
      </c>
    </row>
    <row r="85" spans="1:11">
      <c r="A85" s="66">
        <v>80</v>
      </c>
      <c r="B85" s="49">
        <v>3000</v>
      </c>
      <c r="C85" s="39">
        <v>81000</v>
      </c>
      <c r="D85" s="39">
        <v>0</v>
      </c>
      <c r="E85" s="46">
        <v>1660000</v>
      </c>
      <c r="K85">
        <f>INDEX(OutputValues,81,$J$4)</f>
        <v>0</v>
      </c>
    </row>
    <row r="86" spans="1:11">
      <c r="A86" s="66">
        <v>81</v>
      </c>
      <c r="B86" s="49">
        <v>3000</v>
      </c>
      <c r="C86" s="39">
        <v>82000</v>
      </c>
      <c r="D86" s="39">
        <v>0</v>
      </c>
      <c r="E86" s="46">
        <v>1680000</v>
      </c>
      <c r="K86">
        <f>INDEX(OutputValues,82,$J$4)</f>
        <v>0</v>
      </c>
    </row>
    <row r="87" spans="1:11">
      <c r="A87" s="66">
        <v>82</v>
      </c>
      <c r="B87" s="49">
        <v>3000</v>
      </c>
      <c r="C87" s="39">
        <v>83000</v>
      </c>
      <c r="D87" s="39">
        <v>0</v>
      </c>
      <c r="E87" s="46">
        <v>1700000</v>
      </c>
      <c r="K87">
        <f>INDEX(OutputValues,83,$J$4)</f>
        <v>0</v>
      </c>
    </row>
    <row r="88" spans="1:11">
      <c r="A88" s="66">
        <v>83</v>
      </c>
      <c r="B88" s="49">
        <v>3000</v>
      </c>
      <c r="C88" s="39">
        <v>84000</v>
      </c>
      <c r="D88" s="39">
        <v>0</v>
      </c>
      <c r="E88" s="46">
        <v>1720000</v>
      </c>
      <c r="K88">
        <f>INDEX(OutputValues,84,$J$4)</f>
        <v>0</v>
      </c>
    </row>
    <row r="89" spans="1:11">
      <c r="A89" s="66">
        <v>84</v>
      </c>
      <c r="B89" s="49">
        <v>3000</v>
      </c>
      <c r="C89" s="39">
        <v>85000</v>
      </c>
      <c r="D89" s="39">
        <v>0</v>
      </c>
      <c r="E89" s="46">
        <v>1740000</v>
      </c>
      <c r="K89">
        <f>INDEX(OutputValues,85,$J$4)</f>
        <v>0</v>
      </c>
    </row>
    <row r="90" spans="1:11">
      <c r="A90" s="66">
        <v>85</v>
      </c>
      <c r="B90" s="49">
        <v>3000</v>
      </c>
      <c r="C90" s="39">
        <v>86000</v>
      </c>
      <c r="D90" s="39">
        <v>0</v>
      </c>
      <c r="E90" s="46">
        <v>1760000</v>
      </c>
      <c r="K90">
        <f>INDEX(OutputValues,86,$J$4)</f>
        <v>0</v>
      </c>
    </row>
    <row r="91" spans="1:11">
      <c r="A91" s="66">
        <v>86</v>
      </c>
      <c r="B91" s="49">
        <v>3000</v>
      </c>
      <c r="C91" s="39">
        <v>87000</v>
      </c>
      <c r="D91" s="39">
        <v>0</v>
      </c>
      <c r="E91" s="46">
        <v>1780000</v>
      </c>
      <c r="K91">
        <f>INDEX(OutputValues,87,$J$4)</f>
        <v>0</v>
      </c>
    </row>
    <row r="92" spans="1:11">
      <c r="A92" s="66">
        <v>87</v>
      </c>
      <c r="B92" s="49">
        <v>3000</v>
      </c>
      <c r="C92" s="39">
        <v>88000</v>
      </c>
      <c r="D92" s="39">
        <v>0</v>
      </c>
      <c r="E92" s="46">
        <v>1800000</v>
      </c>
      <c r="K92">
        <f>INDEX(OutputValues,88,$J$4)</f>
        <v>0</v>
      </c>
    </row>
    <row r="93" spans="1:11">
      <c r="A93" s="66">
        <v>88</v>
      </c>
      <c r="B93" s="49">
        <v>3000</v>
      </c>
      <c r="C93" s="39">
        <v>89000</v>
      </c>
      <c r="D93" s="39">
        <v>0</v>
      </c>
      <c r="E93" s="46">
        <v>1820000</v>
      </c>
      <c r="K93">
        <f>INDEX(OutputValues,89,$J$4)</f>
        <v>0</v>
      </c>
    </row>
    <row r="94" spans="1:11">
      <c r="A94" s="66">
        <v>89</v>
      </c>
      <c r="B94" s="49">
        <v>3000</v>
      </c>
      <c r="C94" s="39">
        <v>90000</v>
      </c>
      <c r="D94" s="39">
        <v>0</v>
      </c>
      <c r="E94" s="46">
        <v>1840000</v>
      </c>
      <c r="K94">
        <f>INDEX(OutputValues,90,$J$4)</f>
        <v>0</v>
      </c>
    </row>
    <row r="95" spans="1:11">
      <c r="A95" s="66">
        <v>90</v>
      </c>
      <c r="B95" s="49">
        <v>3000</v>
      </c>
      <c r="C95" s="39">
        <v>91000</v>
      </c>
      <c r="D95" s="39">
        <v>0</v>
      </c>
      <c r="E95" s="46">
        <v>1860000</v>
      </c>
      <c r="K95">
        <f>INDEX(OutputValues,91,$J$4)</f>
        <v>0</v>
      </c>
    </row>
    <row r="96" spans="1:11">
      <c r="A96" s="66">
        <v>91</v>
      </c>
      <c r="B96" s="49">
        <v>3000</v>
      </c>
      <c r="C96" s="39">
        <v>92000</v>
      </c>
      <c r="D96" s="39">
        <v>0</v>
      </c>
      <c r="E96" s="46">
        <v>1880000</v>
      </c>
      <c r="K96">
        <f>INDEX(OutputValues,92,$J$4)</f>
        <v>0</v>
      </c>
    </row>
    <row r="97" spans="1:11">
      <c r="A97" s="66">
        <v>92</v>
      </c>
      <c r="B97" s="49">
        <v>3000</v>
      </c>
      <c r="C97" s="39">
        <v>93000</v>
      </c>
      <c r="D97" s="39">
        <v>0</v>
      </c>
      <c r="E97" s="46">
        <v>1900000</v>
      </c>
      <c r="K97">
        <f>INDEX(OutputValues,93,$J$4)</f>
        <v>0</v>
      </c>
    </row>
    <row r="98" spans="1:11">
      <c r="A98" s="66">
        <v>93</v>
      </c>
      <c r="B98" s="49">
        <v>3000</v>
      </c>
      <c r="C98" s="39">
        <v>94000</v>
      </c>
      <c r="D98" s="39">
        <v>0</v>
      </c>
      <c r="E98" s="46">
        <v>1920000</v>
      </c>
      <c r="K98">
        <f>INDEX(OutputValues,94,$J$4)</f>
        <v>0</v>
      </c>
    </row>
    <row r="99" spans="1:11">
      <c r="A99" s="66">
        <v>94</v>
      </c>
      <c r="B99" s="49">
        <v>3000</v>
      </c>
      <c r="C99" s="39">
        <v>95000</v>
      </c>
      <c r="D99" s="39">
        <v>0</v>
      </c>
      <c r="E99" s="46">
        <v>1940000</v>
      </c>
      <c r="K99">
        <f>INDEX(OutputValues,95,$J$4)</f>
        <v>0</v>
      </c>
    </row>
    <row r="100" spans="1:11">
      <c r="A100" s="66">
        <v>95</v>
      </c>
      <c r="B100" s="49">
        <v>3000</v>
      </c>
      <c r="C100" s="39">
        <v>96000</v>
      </c>
      <c r="D100" s="39">
        <v>0</v>
      </c>
      <c r="E100" s="46">
        <v>1960000</v>
      </c>
      <c r="K100">
        <f>INDEX(OutputValues,96,$J$4)</f>
        <v>0</v>
      </c>
    </row>
    <row r="101" spans="1:11">
      <c r="A101" s="66">
        <v>96</v>
      </c>
      <c r="B101" s="49">
        <v>3000</v>
      </c>
      <c r="C101" s="39">
        <v>97000</v>
      </c>
      <c r="D101" s="39">
        <v>0</v>
      </c>
      <c r="E101" s="46">
        <v>1980000</v>
      </c>
      <c r="K101">
        <f>INDEX(OutputValues,97,$J$4)</f>
        <v>0</v>
      </c>
    </row>
    <row r="102" spans="1:11">
      <c r="A102" s="66">
        <v>97</v>
      </c>
      <c r="B102" s="49">
        <v>3000</v>
      </c>
      <c r="C102" s="39">
        <v>98000</v>
      </c>
      <c r="D102" s="39">
        <v>0</v>
      </c>
      <c r="E102" s="46">
        <v>2000000</v>
      </c>
      <c r="K102">
        <f>INDEX(OutputValues,98,$J$4)</f>
        <v>0</v>
      </c>
    </row>
    <row r="103" spans="1:11">
      <c r="A103" s="66">
        <v>98</v>
      </c>
      <c r="B103" s="49">
        <v>3000</v>
      </c>
      <c r="C103" s="39">
        <v>99000</v>
      </c>
      <c r="D103" s="39">
        <v>0</v>
      </c>
      <c r="E103" s="46">
        <v>2020000</v>
      </c>
      <c r="K103">
        <f>INDEX(OutputValues,99,$J$4)</f>
        <v>0</v>
      </c>
    </row>
    <row r="104" spans="1:11">
      <c r="A104" s="66">
        <v>99</v>
      </c>
      <c r="B104" s="49">
        <v>3000</v>
      </c>
      <c r="C104" s="39">
        <v>100000</v>
      </c>
      <c r="D104" s="39">
        <v>0</v>
      </c>
      <c r="E104" s="46">
        <v>2040000</v>
      </c>
      <c r="K104">
        <f>INDEX(OutputValues,100,$J$4)</f>
        <v>0</v>
      </c>
    </row>
    <row r="105" spans="1:11">
      <c r="A105" s="66">
        <v>100</v>
      </c>
      <c r="B105" s="50">
        <v>3000</v>
      </c>
      <c r="C105" s="42">
        <v>101000</v>
      </c>
      <c r="D105" s="42">
        <v>0</v>
      </c>
      <c r="E105" s="47">
        <v>2060000</v>
      </c>
      <c r="K105">
        <f>INDEX(OutputValues,101,$J$4)</f>
        <v>0</v>
      </c>
    </row>
  </sheetData>
  <dataValidations count="1">
    <dataValidation type="list" allowBlank="1" showInputMessage="1" showErrorMessage="1" sqref="K4">
      <formula1>OutputAddresses</formula1>
    </dataValidation>
  </dataValidation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D24"/>
  <sheetViews>
    <sheetView workbookViewId="0">
      <selection activeCell="F18" sqref="F18"/>
    </sheetView>
  </sheetViews>
  <sheetFormatPr defaultColWidth="8.85546875" defaultRowHeight="15"/>
  <cols>
    <col min="1" max="1" width="24.7109375" customWidth="1"/>
    <col min="2" max="2" width="17.85546875" customWidth="1"/>
    <col min="3" max="3" width="17.7109375" customWidth="1"/>
  </cols>
  <sheetData>
    <row r="8" spans="1:4">
      <c r="A8" s="1" t="s">
        <v>0</v>
      </c>
    </row>
    <row r="9" spans="1:4">
      <c r="B9" t="s">
        <v>106</v>
      </c>
      <c r="C9" t="s">
        <v>107</v>
      </c>
      <c r="D9" t="s">
        <v>108</v>
      </c>
    </row>
    <row r="10" spans="1:4">
      <c r="A10" t="s">
        <v>105</v>
      </c>
      <c r="B10" s="3">
        <v>17</v>
      </c>
      <c r="C10" s="3">
        <v>30</v>
      </c>
      <c r="D10" s="53">
        <v>800</v>
      </c>
    </row>
    <row r="11" spans="1:4">
      <c r="A11" t="s">
        <v>80</v>
      </c>
      <c r="B11" s="3">
        <v>5</v>
      </c>
      <c r="C11" s="3">
        <v>13</v>
      </c>
      <c r="D11" s="53">
        <v>300</v>
      </c>
    </row>
    <row r="13" spans="1:4">
      <c r="A13" s="1" t="s">
        <v>59</v>
      </c>
    </row>
    <row r="14" spans="1:4">
      <c r="B14" t="s">
        <v>109</v>
      </c>
      <c r="C14" t="s">
        <v>110</v>
      </c>
    </row>
    <row r="15" spans="1:4">
      <c r="A15" t="s">
        <v>105</v>
      </c>
      <c r="B15" s="15">
        <v>0</v>
      </c>
      <c r="C15" s="15">
        <v>700</v>
      </c>
    </row>
    <row r="16" spans="1:4">
      <c r="A16" t="s">
        <v>80</v>
      </c>
      <c r="B16" s="15">
        <v>3000</v>
      </c>
      <c r="C16" s="15">
        <v>0</v>
      </c>
    </row>
    <row r="17" spans="1:3">
      <c r="A17" t="s">
        <v>111</v>
      </c>
      <c r="B17">
        <f>SUMPRODUCT(B15:B16,B10:B11)</f>
        <v>15000</v>
      </c>
      <c r="C17">
        <f>SUMPRODUCT(C15:C16,C10:C11)</f>
        <v>21000</v>
      </c>
    </row>
    <row r="18" spans="1:3">
      <c r="B18" t="s">
        <v>82</v>
      </c>
      <c r="C18" t="s">
        <v>82</v>
      </c>
    </row>
    <row r="19" spans="1:3">
      <c r="A19" t="s">
        <v>112</v>
      </c>
      <c r="B19" s="3">
        <v>15000</v>
      </c>
      <c r="C19" s="3">
        <v>21000</v>
      </c>
    </row>
    <row r="21" spans="1:3">
      <c r="A21" s="1" t="s">
        <v>114</v>
      </c>
    </row>
    <row r="22" spans="1:3">
      <c r="B22" t="s">
        <v>105</v>
      </c>
      <c r="C22" t="s">
        <v>80</v>
      </c>
    </row>
    <row r="23" spans="1:3">
      <c r="A23" t="s">
        <v>23</v>
      </c>
      <c r="B23" s="52">
        <f>(B15+C15)*D10</f>
        <v>560000</v>
      </c>
      <c r="C23" s="52">
        <f>(B16+C16)*D11</f>
        <v>900000</v>
      </c>
    </row>
    <row r="24" spans="1:3">
      <c r="A24" t="s">
        <v>113</v>
      </c>
      <c r="B24" s="54">
        <f>SUM(B23:C23)</f>
        <v>1460000</v>
      </c>
    </row>
  </sheetData>
  <phoneticPr fontId="2" type="noConversion"/>
  <pageMargins left="0.7" right="0.7" top="0.75" bottom="0.75" header="0.3" footer="0.3"/>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D27"/>
  <sheetViews>
    <sheetView workbookViewId="0">
      <selection activeCell="F13" sqref="F13"/>
    </sheetView>
  </sheetViews>
  <sheetFormatPr defaultRowHeight="15"/>
  <cols>
    <col min="1" max="1" width="24" customWidth="1"/>
    <col min="2" max="2" width="17" customWidth="1"/>
    <col min="3" max="3" width="17.5703125" customWidth="1"/>
  </cols>
  <sheetData>
    <row r="8" spans="1:4">
      <c r="A8" s="1" t="s">
        <v>0</v>
      </c>
    </row>
    <row r="9" spans="1:4">
      <c r="B9" t="s">
        <v>106</v>
      </c>
      <c r="C9" t="s">
        <v>107</v>
      </c>
      <c r="D9" t="s">
        <v>108</v>
      </c>
    </row>
    <row r="10" spans="1:4">
      <c r="A10" t="s">
        <v>105</v>
      </c>
      <c r="B10" s="3">
        <v>17</v>
      </c>
      <c r="C10" s="3">
        <v>30</v>
      </c>
      <c r="D10" s="53">
        <v>800</v>
      </c>
    </row>
    <row r="11" spans="1:4">
      <c r="A11" t="s">
        <v>80</v>
      </c>
      <c r="B11" s="3">
        <v>5</v>
      </c>
      <c r="C11" s="3">
        <v>13</v>
      </c>
      <c r="D11" s="53">
        <v>300</v>
      </c>
    </row>
    <row r="12" spans="1:4">
      <c r="A12" t="s">
        <v>116</v>
      </c>
      <c r="B12">
        <v>0</v>
      </c>
      <c r="C12" t="s">
        <v>117</v>
      </c>
      <c r="D12">
        <v>0</v>
      </c>
    </row>
    <row r="13" spans="1:4">
      <c r="A13" t="s">
        <v>115</v>
      </c>
      <c r="B13" s="3">
        <f>1+B12</f>
        <v>1</v>
      </c>
      <c r="C13" s="3">
        <f>1+D12</f>
        <v>1</v>
      </c>
    </row>
    <row r="14" spans="1:4">
      <c r="A14" s="1" t="s">
        <v>59</v>
      </c>
    </row>
    <row r="15" spans="1:4">
      <c r="B15" t="s">
        <v>109</v>
      </c>
      <c r="C15" t="s">
        <v>110</v>
      </c>
    </row>
    <row r="16" spans="1:4">
      <c r="A16" t="s">
        <v>105</v>
      </c>
      <c r="B16" s="15">
        <v>0</v>
      </c>
      <c r="C16" s="15">
        <v>700</v>
      </c>
    </row>
    <row r="17" spans="1:3">
      <c r="A17" t="s">
        <v>80</v>
      </c>
      <c r="B17" s="15">
        <v>3000</v>
      </c>
      <c r="C17" s="15">
        <v>0</v>
      </c>
    </row>
    <row r="18" spans="1:3">
      <c r="A18" t="s">
        <v>111</v>
      </c>
      <c r="B18">
        <f>SUMPRODUCT(B16:B17,B10:B11)</f>
        <v>15000</v>
      </c>
      <c r="C18">
        <f>SUMPRODUCT(C16:C17,C10:C11)</f>
        <v>21000</v>
      </c>
    </row>
    <row r="19" spans="1:3">
      <c r="B19" t="s">
        <v>82</v>
      </c>
      <c r="C19" t="s">
        <v>82</v>
      </c>
    </row>
    <row r="20" spans="1:3">
      <c r="A20" t="s">
        <v>112</v>
      </c>
      <c r="B20" s="3">
        <v>15000</v>
      </c>
      <c r="C20" s="3">
        <v>21000</v>
      </c>
    </row>
    <row r="22" spans="1:3">
      <c r="A22" s="1" t="s">
        <v>114</v>
      </c>
    </row>
    <row r="23" spans="1:3">
      <c r="A23" t="s">
        <v>23</v>
      </c>
      <c r="B23" t="s">
        <v>109</v>
      </c>
      <c r="C23" t="s">
        <v>110</v>
      </c>
    </row>
    <row r="24" spans="1:3">
      <c r="A24" t="s">
        <v>105</v>
      </c>
      <c r="B24" s="18">
        <f>D10*$B$13*B16</f>
        <v>0</v>
      </c>
      <c r="C24" s="18">
        <f>D10*$C$13*C16</f>
        <v>560000</v>
      </c>
    </row>
    <row r="25" spans="1:3">
      <c r="A25" t="s">
        <v>80</v>
      </c>
      <c r="B25" s="18">
        <f>D11*$B$13*B17</f>
        <v>900000</v>
      </c>
      <c r="C25" s="18">
        <f>D11*$C$13*C17</f>
        <v>0</v>
      </c>
    </row>
    <row r="27" spans="1:3">
      <c r="A27" t="s">
        <v>113</v>
      </c>
      <c r="B27" s="54">
        <f>SUM(B24:C25)</f>
        <v>1460000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heetViews>
  <sheetFormatPr defaultRowHeight="15"/>
  <sheetData>
    <row r="1" spans="1:2">
      <c r="A1">
        <v>1</v>
      </c>
      <c r="B1">
        <v>1</v>
      </c>
    </row>
    <row r="2" spans="1:2">
      <c r="A2" t="s">
        <v>63</v>
      </c>
      <c r="B2" t="s">
        <v>72</v>
      </c>
    </row>
    <row r="3" spans="1:2">
      <c r="A3">
        <v>1</v>
      </c>
      <c r="B3">
        <v>1</v>
      </c>
    </row>
    <row r="4" spans="1:2">
      <c r="A4">
        <v>100</v>
      </c>
      <c r="B4">
        <v>0</v>
      </c>
    </row>
    <row r="5" spans="1:2">
      <c r="A5">
        <v>500</v>
      </c>
      <c r="B5">
        <v>10</v>
      </c>
    </row>
    <row r="6" spans="1:2">
      <c r="A6">
        <v>0.5</v>
      </c>
      <c r="B6">
        <v>1</v>
      </c>
    </row>
    <row r="8" spans="1:2">
      <c r="A8" s="31"/>
      <c r="B8" s="31" t="s">
        <v>73</v>
      </c>
    </row>
    <row r="9" spans="1:2">
      <c r="A9" t="s">
        <v>69</v>
      </c>
      <c r="B9" t="s">
        <v>74</v>
      </c>
    </row>
    <row r="10" spans="1:2">
      <c r="A10" t="s">
        <v>64</v>
      </c>
      <c r="B10">
        <v>1</v>
      </c>
    </row>
    <row r="11" spans="1:2">
      <c r="B11">
        <v>0</v>
      </c>
    </row>
    <row r="12" spans="1:2">
      <c r="B12">
        <v>10</v>
      </c>
    </row>
    <row r="13" spans="1:2">
      <c r="B13">
        <v>1</v>
      </c>
    </row>
    <row r="15" spans="1:2">
      <c r="B15" s="31" t="s">
        <v>73</v>
      </c>
    </row>
    <row r="16" spans="1:2">
      <c r="B16" t="s">
        <v>75</v>
      </c>
    </row>
    <row r="17" spans="2:2">
      <c r="B17" t="s">
        <v>76</v>
      </c>
    </row>
    <row r="18" spans="2:2">
      <c r="B18" t="s">
        <v>77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21"/>
  <sheetViews>
    <sheetView workbookViewId="0">
      <selection activeCell="H37" sqref="H37"/>
    </sheetView>
  </sheetViews>
  <sheetFormatPr defaultRowHeight="15"/>
  <cols>
    <col min="1" max="1" width="14" bestFit="1" customWidth="1"/>
    <col min="2" max="2" width="10.140625" bestFit="1" customWidth="1"/>
    <col min="3" max="3" width="13.5703125" customWidth="1"/>
    <col min="4" max="4" width="10.140625" bestFit="1" customWidth="1"/>
    <col min="5" max="5" width="12.7109375" bestFit="1" customWidth="1"/>
    <col min="6" max="8" width="10.140625" bestFit="1" customWidth="1"/>
  </cols>
  <sheetData>
    <row r="1" spans="1:52">
      <c r="A1" s="1" t="s">
        <v>121</v>
      </c>
      <c r="K1" s="34" t="str">
        <f>CONCATENATE("Sensitivity of ",$K$4," to ","k2")</f>
        <v>Sensitivity of Total_revenue to k2</v>
      </c>
      <c r="O1" s="34" t="str">
        <f>CONCATENATE("Sensitivity of ",$O$4," to ","k1")</f>
        <v>Sensitivity of Total_revenue to k1</v>
      </c>
    </row>
    <row r="2" spans="1:52">
      <c r="K2" t="s">
        <v>123</v>
      </c>
      <c r="O2" t="s">
        <v>125</v>
      </c>
      <c r="AZ2" t="s">
        <v>127</v>
      </c>
    </row>
    <row r="3" spans="1:52">
      <c r="A3" t="s">
        <v>122</v>
      </c>
      <c r="K3" t="s">
        <v>78</v>
      </c>
      <c r="L3" t="s">
        <v>124</v>
      </c>
      <c r="O3" t="s">
        <v>78</v>
      </c>
      <c r="P3" t="s">
        <v>126</v>
      </c>
    </row>
    <row r="4" spans="1:52" ht="73.5">
      <c r="A4" s="10" t="s">
        <v>127</v>
      </c>
      <c r="B4" s="18">
        <v>-0.30000001192092896</v>
      </c>
      <c r="C4" s="18">
        <v>-0.20000001788139343</v>
      </c>
      <c r="D4" s="18">
        <v>-0.10000000894069672</v>
      </c>
      <c r="E4" s="18">
        <v>-7.4505805969238281E-9</v>
      </c>
      <c r="F4" s="18">
        <v>9.9999994039535522E-2</v>
      </c>
      <c r="G4" s="18">
        <v>0.19999998807907104</v>
      </c>
      <c r="H4" s="18">
        <v>0.30000001192092896</v>
      </c>
      <c r="J4" s="34">
        <f>MATCH($K$4,OutputAddresses,0)</f>
        <v>1</v>
      </c>
      <c r="K4" s="33" t="s">
        <v>127</v>
      </c>
      <c r="L4" s="44">
        <v>-0.30000001192092896</v>
      </c>
      <c r="M4" s="34">
        <f>MATCH($L$4,InputValues1,0)</f>
        <v>1</v>
      </c>
      <c r="N4" s="34">
        <f>MATCH($O$4,OutputAddresses,0)</f>
        <v>1</v>
      </c>
      <c r="O4" s="33" t="s">
        <v>127</v>
      </c>
      <c r="P4" s="44">
        <v>-0.30000001192092896</v>
      </c>
      <c r="Q4" s="34">
        <f>MATCH($P$4,InputValues2,0)</f>
        <v>1</v>
      </c>
    </row>
    <row r="5" spans="1:52">
      <c r="A5" s="18">
        <v>-0.30000001192092896</v>
      </c>
      <c r="B5" s="55">
        <v>1021999.98</v>
      </c>
      <c r="C5" s="58">
        <v>1077999.98</v>
      </c>
      <c r="D5" s="58">
        <v>1133999.98</v>
      </c>
      <c r="E5" s="58">
        <v>1189999.99</v>
      </c>
      <c r="F5" s="58">
        <v>1245999.99</v>
      </c>
      <c r="G5" s="58">
        <v>1301999.98</v>
      </c>
      <c r="H5" s="61">
        <v>1358000</v>
      </c>
      <c r="J5" s="34" t="str">
        <f>"OutputValues_"&amp;$J$4</f>
        <v>OutputValues_1</v>
      </c>
      <c r="K5">
        <f ca="1">INDEX(INDIRECT($J$5),$M$4,1)</f>
        <v>1021999.98</v>
      </c>
      <c r="N5" s="34" t="str">
        <f>"OutputValues_"&amp;$N$4</f>
        <v>OutputValues_1</v>
      </c>
      <c r="O5">
        <f ca="1">INDEX(INDIRECT($N$5),1,$Q$4)</f>
        <v>1021999.98</v>
      </c>
    </row>
    <row r="6" spans="1:52">
      <c r="A6" s="18">
        <v>-0.20000001788139343</v>
      </c>
      <c r="B6" s="56">
        <v>1111999.98</v>
      </c>
      <c r="C6" s="59">
        <v>1167999.97</v>
      </c>
      <c r="D6" s="59">
        <v>1223999.98</v>
      </c>
      <c r="E6" s="59">
        <v>1279999.98</v>
      </c>
      <c r="F6" s="59">
        <v>1335999.98</v>
      </c>
      <c r="G6" s="59">
        <v>1391999.98</v>
      </c>
      <c r="H6" s="62">
        <v>1447999.99</v>
      </c>
      <c r="K6">
        <f ca="1">INDEX(INDIRECT($J$5),$M$4,2)</f>
        <v>1077999.98</v>
      </c>
      <c r="O6">
        <f ca="1">INDEX(INDIRECT($N$5),2,$Q$4)</f>
        <v>1111999.98</v>
      </c>
    </row>
    <row r="7" spans="1:52">
      <c r="A7" s="18">
        <v>-0.10000000894069672</v>
      </c>
      <c r="B7" s="56">
        <v>1201999.99</v>
      </c>
      <c r="C7" s="59">
        <v>1257999.98</v>
      </c>
      <c r="D7" s="59">
        <v>1313999.99</v>
      </c>
      <c r="E7" s="59">
        <v>1369999.99</v>
      </c>
      <c r="F7" s="59">
        <v>1425999.99</v>
      </c>
      <c r="G7" s="59">
        <v>1481999.99</v>
      </c>
      <c r="H7" s="62">
        <v>1538000</v>
      </c>
      <c r="K7">
        <f ca="1">INDEX(INDIRECT($J$5),$M$4,3)</f>
        <v>1133999.98</v>
      </c>
      <c r="O7">
        <f ca="1">INDEX(INDIRECT($N$5),3,$Q$4)</f>
        <v>1201999.99</v>
      </c>
    </row>
    <row r="8" spans="1:52">
      <c r="A8" s="18">
        <v>-7.4505805969238281E-9</v>
      </c>
      <c r="B8" s="56">
        <v>1291999.99</v>
      </c>
      <c r="C8" s="59">
        <v>1347999.98</v>
      </c>
      <c r="D8" s="59">
        <v>1403999.99</v>
      </c>
      <c r="E8" s="59">
        <v>1459999.99</v>
      </c>
      <c r="F8" s="59">
        <v>1515999.99</v>
      </c>
      <c r="G8" s="59">
        <v>1571999.99</v>
      </c>
      <c r="H8" s="62">
        <v>1628000</v>
      </c>
      <c r="K8">
        <f ca="1">INDEX(INDIRECT($J$5),$M$4,4)</f>
        <v>1189999.99</v>
      </c>
      <c r="O8">
        <f ca="1">INDEX(INDIRECT($N$5),4,$Q$4)</f>
        <v>1291999.99</v>
      </c>
    </row>
    <row r="9" spans="1:52">
      <c r="A9" s="18">
        <v>9.9999994039535522E-2</v>
      </c>
      <c r="B9" s="56">
        <v>1381999.99</v>
      </c>
      <c r="C9" s="59">
        <v>1437999.98</v>
      </c>
      <c r="D9" s="59">
        <v>1493999.99</v>
      </c>
      <c r="E9" s="59">
        <v>1549999.99</v>
      </c>
      <c r="F9" s="59">
        <v>1605999.99</v>
      </c>
      <c r="G9" s="59">
        <v>1661999.99</v>
      </c>
      <c r="H9" s="62">
        <v>1718000</v>
      </c>
      <c r="K9">
        <f ca="1">INDEX(INDIRECT($J$5),$M$4,5)</f>
        <v>1245999.99</v>
      </c>
      <c r="O9">
        <f ca="1">INDEX(INDIRECT($N$5),5,$Q$4)</f>
        <v>1381999.99</v>
      </c>
    </row>
    <row r="10" spans="1:52">
      <c r="A10" s="18">
        <v>0.19999998807907104</v>
      </c>
      <c r="B10" s="56">
        <v>1471999.98</v>
      </c>
      <c r="C10" s="59">
        <v>1527999.98</v>
      </c>
      <c r="D10" s="59">
        <v>1583999.98</v>
      </c>
      <c r="E10" s="59">
        <v>1639999.99</v>
      </c>
      <c r="F10" s="59">
        <v>1695999.99</v>
      </c>
      <c r="G10" s="59">
        <v>1751999.98</v>
      </c>
      <c r="H10" s="62">
        <v>1808000</v>
      </c>
      <c r="K10">
        <f ca="1">INDEX(INDIRECT($J$5),$M$4,6)</f>
        <v>1301999.98</v>
      </c>
      <c r="O10">
        <f ca="1">INDEX(INDIRECT($N$5),6,$Q$4)</f>
        <v>1471999.98</v>
      </c>
    </row>
    <row r="11" spans="1:52">
      <c r="A11" s="18">
        <v>0.30000001192092896</v>
      </c>
      <c r="B11" s="57">
        <v>1562000</v>
      </c>
      <c r="C11" s="60">
        <v>1618000</v>
      </c>
      <c r="D11" s="60">
        <v>1674000.01</v>
      </c>
      <c r="E11" s="60">
        <v>1730000.01</v>
      </c>
      <c r="F11" s="60">
        <v>1786000.01</v>
      </c>
      <c r="G11" s="60">
        <v>1842000</v>
      </c>
      <c r="H11" s="63">
        <v>1898000.02</v>
      </c>
      <c r="K11">
        <f ca="1">INDEX(INDIRECT($J$5),$M$4,7)</f>
        <v>1358000</v>
      </c>
      <c r="O11">
        <f ca="1">INDEX(INDIRECT($N$5),7,$Q$4)</f>
        <v>1562000</v>
      </c>
    </row>
    <row r="13" spans="1:52">
      <c r="A13" s="64" t="s">
        <v>128</v>
      </c>
      <c r="B13" s="64"/>
      <c r="C13" s="64"/>
      <c r="D13" s="64"/>
    </row>
    <row r="14" spans="1:52">
      <c r="A14" t="s">
        <v>116</v>
      </c>
      <c r="B14" t="s">
        <v>117</v>
      </c>
      <c r="C14" t="s">
        <v>113</v>
      </c>
    </row>
    <row r="15" spans="1:52">
      <c r="A15">
        <v>-0.3</v>
      </c>
      <c r="B15">
        <v>-0.3</v>
      </c>
      <c r="C15" s="55">
        <v>1021999.98</v>
      </c>
    </row>
    <row r="16" spans="1:52">
      <c r="A16">
        <v>-0.2</v>
      </c>
      <c r="B16">
        <v>-0.2</v>
      </c>
      <c r="C16" s="59">
        <v>1167999.97</v>
      </c>
    </row>
    <row r="17" spans="1:3">
      <c r="A17">
        <v>-0.1</v>
      </c>
      <c r="B17">
        <v>-0.1</v>
      </c>
      <c r="C17" s="59">
        <v>1313999.99</v>
      </c>
    </row>
    <row r="18" spans="1:3">
      <c r="A18">
        <v>0</v>
      </c>
      <c r="B18">
        <v>0</v>
      </c>
      <c r="C18" s="59">
        <v>1459999.99</v>
      </c>
    </row>
    <row r="19" spans="1:3">
      <c r="A19">
        <v>0.1</v>
      </c>
      <c r="B19">
        <v>0.1</v>
      </c>
      <c r="C19" s="59">
        <v>1605999.99</v>
      </c>
    </row>
    <row r="20" spans="1:3">
      <c r="A20">
        <v>0.2</v>
      </c>
      <c r="B20">
        <v>0.2</v>
      </c>
      <c r="C20" s="59">
        <v>1751999.98</v>
      </c>
    </row>
    <row r="21" spans="1:3">
      <c r="A21">
        <v>0.3</v>
      </c>
      <c r="B21">
        <v>0.3</v>
      </c>
      <c r="C21" s="63">
        <v>1898000.02</v>
      </c>
    </row>
  </sheetData>
  <mergeCells count="1">
    <mergeCell ref="A13:D13"/>
  </mergeCells>
  <dataValidations count="3">
    <dataValidation type="list" allowBlank="1" showInputMessage="1" showErrorMessage="1" sqref="K4 O4">
      <formula1>OutputAddresses</formula1>
    </dataValidation>
    <dataValidation type="list" allowBlank="1" showInputMessage="1" showErrorMessage="1" sqref="L4">
      <formula1>InputValues1</formula1>
    </dataValidation>
    <dataValidation type="list" allowBlank="1" showInputMessage="1" showErrorMessage="1" sqref="P4">
      <formula1>InputValues2</formula1>
    </dataValidation>
  </dataValidation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heetViews>
  <sheetFormatPr defaultRowHeight="15"/>
  <sheetData>
    <row r="1" spans="1:2">
      <c r="A1">
        <v>1</v>
      </c>
    </row>
    <row r="2" spans="1:2">
      <c r="A2" t="s">
        <v>134</v>
      </c>
    </row>
    <row r="3" spans="1:2">
      <c r="A3">
        <v>1</v>
      </c>
    </row>
    <row r="4" spans="1:2">
      <c r="A4">
        <v>0</v>
      </c>
    </row>
    <row r="5" spans="1:2">
      <c r="A5">
        <v>100</v>
      </c>
    </row>
    <row r="6" spans="1:2">
      <c r="A6">
        <v>1</v>
      </c>
    </row>
    <row r="8" spans="1:2">
      <c r="A8" s="31"/>
      <c r="B8" s="31"/>
    </row>
    <row r="9" spans="1:2">
      <c r="A9" t="s">
        <v>135</v>
      </c>
    </row>
    <row r="10" spans="1:2">
      <c r="A10" t="s">
        <v>136</v>
      </c>
    </row>
    <row r="15" spans="1:2">
      <c r="B15" s="3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heetViews>
  <sheetFormatPr defaultRowHeight="15"/>
  <sheetData>
    <row r="1" spans="1:2">
      <c r="B1">
        <v>1</v>
      </c>
    </row>
    <row r="2" spans="1:2">
      <c r="B2" t="s">
        <v>118</v>
      </c>
    </row>
    <row r="3" spans="1:2">
      <c r="B3">
        <v>1</v>
      </c>
    </row>
    <row r="4" spans="1:2">
      <c r="B4">
        <v>-0.3</v>
      </c>
    </row>
    <row r="5" spans="1:2">
      <c r="B5">
        <v>0.3</v>
      </c>
    </row>
    <row r="6" spans="1:2">
      <c r="B6">
        <v>0.1</v>
      </c>
    </row>
    <row r="8" spans="1:2">
      <c r="A8" s="31"/>
      <c r="B8" s="31" t="s">
        <v>73</v>
      </c>
    </row>
    <row r="9" spans="1:2">
      <c r="B9" t="s">
        <v>119</v>
      </c>
    </row>
    <row r="10" spans="1:2">
      <c r="B10">
        <v>1</v>
      </c>
    </row>
    <row r="11" spans="1:2">
      <c r="B11">
        <v>-0.3</v>
      </c>
    </row>
    <row r="12" spans="1:2">
      <c r="B12">
        <v>0.3</v>
      </c>
    </row>
    <row r="13" spans="1:2">
      <c r="B13">
        <v>0.1</v>
      </c>
    </row>
    <row r="15" spans="1:2">
      <c r="B15" s="31" t="s">
        <v>73</v>
      </c>
    </row>
    <row r="16" spans="1:2">
      <c r="B16" t="s">
        <v>120</v>
      </c>
    </row>
    <row r="17" spans="2:2">
      <c r="B17" t="s">
        <v>116</v>
      </c>
    </row>
    <row r="18" spans="2:2">
      <c r="B18" t="s">
        <v>117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heetViews>
  <sheetFormatPr defaultRowHeight="15"/>
  <sheetData>
    <row r="1" spans="1:2">
      <c r="A1">
        <v>1</v>
      </c>
    </row>
    <row r="2" spans="1:2">
      <c r="A2" t="s">
        <v>88</v>
      </c>
    </row>
    <row r="3" spans="1:2">
      <c r="A3">
        <v>1</v>
      </c>
    </row>
    <row r="4" spans="1:2">
      <c r="A4">
        <v>1000</v>
      </c>
    </row>
    <row r="5" spans="1:2">
      <c r="A5">
        <v>3000</v>
      </c>
    </row>
    <row r="6" spans="1:2">
      <c r="A6">
        <v>100</v>
      </c>
    </row>
    <row r="8" spans="1:2">
      <c r="A8" s="31"/>
      <c r="B8" s="31"/>
    </row>
    <row r="9" spans="1:2">
      <c r="A9" t="s">
        <v>89</v>
      </c>
    </row>
    <row r="10" spans="1:2">
      <c r="A10" t="s">
        <v>90</v>
      </c>
    </row>
    <row r="15" spans="1:2">
      <c r="B15" s="3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78</vt:i4>
      </vt:variant>
    </vt:vector>
  </HeadingPairs>
  <TitlesOfParts>
    <vt:vector size="92" baseType="lpstr">
      <vt:lpstr>Ch2_ Q21</vt:lpstr>
      <vt:lpstr>Ch2_Q30</vt:lpstr>
      <vt:lpstr>Ch2_ Q33</vt:lpstr>
      <vt:lpstr>Ch3_Q25</vt:lpstr>
      <vt:lpstr>STS_Ch3_Q25</vt:lpstr>
      <vt:lpstr>CH3_Q26</vt:lpstr>
      <vt:lpstr>STS_Ch3_Q26</vt:lpstr>
      <vt:lpstr>Ch3_Q29_a</vt:lpstr>
      <vt:lpstr>Ch3_Q29 _b</vt:lpstr>
      <vt:lpstr>STS1_Ch3_Q29_b</vt:lpstr>
      <vt:lpstr>STSTS2_Ch3_Q29_b</vt:lpstr>
      <vt:lpstr>Ch3_Q32_a</vt:lpstr>
      <vt:lpstr>Ch3_Q32_b</vt:lpstr>
      <vt:lpstr>STS_Ch3_Q32_b</vt:lpstr>
      <vt:lpstr>STS_Ch3_Q25!ChartData</vt:lpstr>
      <vt:lpstr>STS_Ch3_Q26!ChartData</vt:lpstr>
      <vt:lpstr>STS1_Ch3_Q29_b!ChartData</vt:lpstr>
      <vt:lpstr>STSTS2_Ch3_Q29_b!ChartData</vt:lpstr>
      <vt:lpstr>STS_Ch3_Q32_b!ChartData1</vt:lpstr>
      <vt:lpstr>STS_Ch3_Q32_b!ChartData2</vt:lpstr>
      <vt:lpstr>Concession_profit</vt:lpstr>
      <vt:lpstr>Contribution</vt:lpstr>
      <vt:lpstr>Cost_per_night</vt:lpstr>
      <vt:lpstr>Costant</vt:lpstr>
      <vt:lpstr>Demand</vt:lpstr>
      <vt:lpstr>Demand_Q25</vt:lpstr>
      <vt:lpstr>'Ch3_Q29 _b'!Demand_Q29</vt:lpstr>
      <vt:lpstr>Demand_Q29</vt:lpstr>
      <vt:lpstr>Demand_Q33</vt:lpstr>
      <vt:lpstr>Demands</vt:lpstr>
      <vt:lpstr>Development_cost</vt:lpstr>
      <vt:lpstr>Exchange_rate</vt:lpstr>
      <vt:lpstr>Exponebt</vt:lpstr>
      <vt:lpstr>Grow_rate</vt:lpstr>
      <vt:lpstr>STS_Ch3_Q25!InputValues</vt:lpstr>
      <vt:lpstr>STS_Ch3_Q26!InputValues</vt:lpstr>
      <vt:lpstr>STS1_Ch3_Q29_b!InputValues</vt:lpstr>
      <vt:lpstr>STSTS2_Ch3_Q29_b!InputValues</vt:lpstr>
      <vt:lpstr>Ch3_Q32_b!InputValues1</vt:lpstr>
      <vt:lpstr>STS_Ch3_Q32_b!InputValues1</vt:lpstr>
      <vt:lpstr>Ch3_Q32_b!InputValues2</vt:lpstr>
      <vt:lpstr>STS_Ch3_Q32_b!InputValues2</vt:lpstr>
      <vt:lpstr>Number_of_weeks</vt:lpstr>
      <vt:lpstr>'Ch3_Q29 _b'!On_hand_to_mrry_demand</vt:lpstr>
      <vt:lpstr>On_hand_to_mrry_demand</vt:lpstr>
      <vt:lpstr>Operation_cost</vt:lpstr>
      <vt:lpstr>Ch3_Q32_b!OutputAddresses</vt:lpstr>
      <vt:lpstr>STS_Ch3_Q25!OutputAddresses</vt:lpstr>
      <vt:lpstr>STS_Ch3_Q26!OutputAddresses</vt:lpstr>
      <vt:lpstr>STS_Ch3_Q32_b!OutputAddresses</vt:lpstr>
      <vt:lpstr>STS1_Ch3_Q29_b!OutputAddresses</vt:lpstr>
      <vt:lpstr>STSTS2_Ch3_Q29_b!OutputAddresses</vt:lpstr>
      <vt:lpstr>STS_Ch3_Q25!OutputValues</vt:lpstr>
      <vt:lpstr>STS_Ch3_Q26!OutputValues</vt:lpstr>
      <vt:lpstr>STS1_Ch3_Q29_b!OutputValues</vt:lpstr>
      <vt:lpstr>STSTS2_Ch3_Q29_b!OutputValues</vt:lpstr>
      <vt:lpstr>STS_Ch3_Q32_b!OutputValues_1</vt:lpstr>
      <vt:lpstr>Plant_capacity</vt:lpstr>
      <vt:lpstr>Production</vt:lpstr>
      <vt:lpstr>Production_cost</vt:lpstr>
      <vt:lpstr>Production_Q26</vt:lpstr>
      <vt:lpstr>'Ch3_Q29 _b'!Production_Q29</vt:lpstr>
      <vt:lpstr>Production_Q29</vt:lpstr>
      <vt:lpstr>Profit</vt:lpstr>
      <vt:lpstr>Profit_by_this_time</vt:lpstr>
      <vt:lpstr>Profit_model</vt:lpstr>
      <vt:lpstr>Profit_Q26</vt:lpstr>
      <vt:lpstr>Quantity</vt:lpstr>
      <vt:lpstr>Quantity_Q32</vt:lpstr>
      <vt:lpstr>Return_on_investment</vt:lpstr>
      <vt:lpstr>Revenue</vt:lpstr>
      <vt:lpstr>Seat_occupancy_rate</vt:lpstr>
      <vt:lpstr>Sell_price</vt:lpstr>
      <vt:lpstr>Sensitivity_of_profit_to_exchange_rate</vt:lpstr>
      <vt:lpstr>Sensitivity_of_profit_to_exchange_rate_and_price</vt:lpstr>
      <vt:lpstr>Sensitivity_of_profit_to_seat_occupacy_rate</vt:lpstr>
      <vt:lpstr>Sensitivity_of_Profit_to_ticket_price_and_total_weeks</vt:lpstr>
      <vt:lpstr>Sensitivity_of_sell_price</vt:lpstr>
      <vt:lpstr>Shows_per_week</vt:lpstr>
      <vt:lpstr>Theater_capacity</vt:lpstr>
      <vt:lpstr>Ticket_price</vt:lpstr>
      <vt:lpstr>Total_available</vt:lpstr>
      <vt:lpstr>Total_cost</vt:lpstr>
      <vt:lpstr>Total_cost_Q25</vt:lpstr>
      <vt:lpstr>Total_revenue</vt:lpstr>
      <vt:lpstr>Total_used</vt:lpstr>
      <vt:lpstr>Total_weeks</vt:lpstr>
      <vt:lpstr>Unit_cost</vt:lpstr>
      <vt:lpstr>Unit_cost_Q33</vt:lpstr>
      <vt:lpstr>Unit_sell_price</vt:lpstr>
      <vt:lpstr>Wood_requirement</vt:lpstr>
      <vt:lpstr>Working_hour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yingjunpan</dc:creator>
  <cp:lastModifiedBy>yingjunpan</cp:lastModifiedBy>
  <dcterms:created xsi:type="dcterms:W3CDTF">2017-02-20T04:50:46Z</dcterms:created>
  <dcterms:modified xsi:type="dcterms:W3CDTF">2017-03-12T23:34:01Z</dcterms:modified>
</cp:coreProperties>
</file>