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28800" windowHeight="12585"/>
  </bookViews>
  <sheets>
    <sheet name="Ch4_Q1" sheetId="2" r:id="rId1"/>
    <sheet name="Barney-Jones" sheetId="8" r:id="rId2"/>
    <sheet name="CH4_Q30_STS" sheetId="9" state="veryHidden" r:id="rId3"/>
    <sheet name="SolverTableSheet" sheetId="3" state="veryHidden" r:id="rId4"/>
    <sheet name="Ch4_Q30" sheetId="11" r:id="rId5"/>
    <sheet name="Ch4_Q32" sheetId="12" r:id="rId6"/>
    <sheet name="Ch5_Q1" sheetId="13" r:id="rId7"/>
    <sheet name="Ch5_Q11" sheetId="14" r:id="rId8"/>
    <sheet name="Ch5_Q30" sheetId="15" r:id="rId9"/>
  </sheets>
  <externalReferences>
    <externalReference r:id="rId10"/>
    <externalReference r:id="rId1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ctual_exposures">Ch4_Q1!$B$23:$B$28</definedName>
    <definedName name="Arc_capacity">[2]Ch5Q20!$F$7:$F$24</definedName>
    <definedName name="Capacity">Ch5_Q1!$I$13:$I$15</definedName>
    <definedName name="Cash_after_investing" localSheetId="5">Ch4_Q32!$E$36:$E$39</definedName>
    <definedName name="Cash_after_investing">'Barney-Jones'!$E$32:$E$35</definedName>
    <definedName name="ChartData" localSheetId="4">Ch4_Q30!$K$5:$K$43</definedName>
    <definedName name="Customer_demand">[2]Ch5Q20!$K$18:$K$19</definedName>
    <definedName name="Demand">Ch5_Q1!$C$18:$F$18</definedName>
    <definedName name="Destination" localSheetId="8">Ch5_Q30!$B$5:$B$60</definedName>
    <definedName name="Destination">[2]Ch5Q20!$B$7:$B$24</definedName>
    <definedName name="Distance">Ch5_Q30!$C$5:$C$60</definedName>
    <definedName name="Dollars_invested" localSheetId="5">Ch4_Q32!$B$30:$F$30</definedName>
    <definedName name="Dollars_invested">'Barney-Jones'!$B$26:$F$26</definedName>
    <definedName name="Final_cash" localSheetId="5">Ch4_Q32!$B$44</definedName>
    <definedName name="Final_cash">'Barney-Jones'!$B$38</definedName>
    <definedName name="Flow" localSheetId="8">Ch5_Q30!$D$5:$D$60</definedName>
    <definedName name="Flow">[2]Ch5Q20!$D$7:$D$24</definedName>
    <definedName name="InputValues" localSheetId="4">Ch4_Q30!$A$5:$A$43</definedName>
    <definedName name="InputValues1" localSheetId="1">#REF!</definedName>
    <definedName name="InputValues1" localSheetId="5">#REF!</definedName>
    <definedName name="InputValues2" localSheetId="1">#REF!</definedName>
    <definedName name="InputValues2" localSheetId="5">#REF!</definedName>
    <definedName name="Jobs_on_machine">Ch5_Q11!$G$15:$G$19</definedName>
    <definedName name="Machine_capacity">Ch5_Q11!$I$15:$I$19</definedName>
    <definedName name="Machine_capacity_requirment">Ch5_Q11!$I$20</definedName>
    <definedName name="Machines_on_jobs">Ch5_Q11!$C$20:$F$20</definedName>
    <definedName name="Maximum_in_money_market" localSheetId="5">Ch4_Q32!$B$46</definedName>
    <definedName name="Maximum_in_money_market">'Barney-Jones'!$B$40</definedName>
    <definedName name="Maximum_per_investment" localSheetId="5">Ch4_Q32!$B$32:$F$32</definedName>
    <definedName name="Maximum_per_investment">'Barney-Jones'!$B$28:$F$28</definedName>
    <definedName name="Net_outflow">Ch5_Q30!$G$5:$G$14</definedName>
    <definedName name="Number_ads_purchased">Ch4_Q1!$B$19:$I$19</definedName>
    <definedName name="Origin">Ch5_Q30!$A$5:$A$56</definedName>
    <definedName name="OutputAddresses" localSheetId="1">#REF!</definedName>
    <definedName name="OutputAddresses" localSheetId="4">Ch4_Q30!$B$4</definedName>
    <definedName name="OutputAddresses" localSheetId="5">#REF!</definedName>
    <definedName name="OutputValues" localSheetId="4">Ch4_Q30!$B$5:$B$43</definedName>
    <definedName name="Plant_capacity">[2]Ch5Q20!$K$9:$K$11</definedName>
    <definedName name="Possible_capacity">[2]Ch5Q12!$J$15:$J$19</definedName>
    <definedName name="_xlnm.Print_Area" localSheetId="1">'Barney-Jones'!$A$1:$J$38</definedName>
    <definedName name="_xlnm.Print_Area" localSheetId="0">Ch4_Q1!$A$1:$I$31</definedName>
    <definedName name="_xlnm.Print_Area" localSheetId="5">Ch4_Q32!$A$1:$J$44</definedName>
    <definedName name="_xlnm.Print_Area" localSheetId="6">Ch5_Q1!$A$1:$K$21</definedName>
    <definedName name="_xlnm.Print_Area" localSheetId="8">Ch5_Q30!$A$1:$M$63</definedName>
    <definedName name="Required">Ch5_Q11!$C$22:$F$22</definedName>
    <definedName name="Required_exposures">Ch4_Q1!$D$23:$D$28</definedName>
    <definedName name="Required_net_outflow">Ch5_Q30!$I$5:$I$14</definedName>
    <definedName name="Requirment">[2]Ch5Q20!$K$14:$K$15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hipping_Plan">Ch5_Q1!$C$13:$F$15</definedName>
    <definedName name="solver_adj" localSheetId="1" hidden="1">'Barney-Jones'!$B$26:$F$26</definedName>
    <definedName name="solver_adj" localSheetId="0" hidden="1">Ch4_Q1!$B$19:$I$19</definedName>
    <definedName name="solver_adj" localSheetId="5" hidden="1">Ch4_Q32!$B$30:$H$30</definedName>
    <definedName name="solver_adj" localSheetId="6" hidden="1">Ch5_Q1!$C$13:$F$15</definedName>
    <definedName name="solver_adj" localSheetId="7" hidden="1">Ch5_Q11!$C$15:$F$19</definedName>
    <definedName name="solver_adj" localSheetId="8" hidden="1">Ch5_Q30!$D$5:$D$60</definedName>
    <definedName name="solver_cvg" localSheetId="1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0" hidden="1">2</definedName>
    <definedName name="solver_eng" localSheetId="5" hidden="1">2</definedName>
    <definedName name="solver_eng" localSheetId="6" hidden="1">2</definedName>
    <definedName name="solver_eng" localSheetId="7" hidden="1">1</definedName>
    <definedName name="solver_eng" localSheetId="8" hidden="1">2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bd" localSheetId="1" hidden="1">2</definedName>
    <definedName name="solver_ibd" localSheetId="0" hidden="1">2</definedName>
    <definedName name="solver_ibd" localSheetId="5" hidden="1">2</definedName>
    <definedName name="solver_ibd" localSheetId="8" hidden="1">2</definedName>
    <definedName name="solver_itr" localSheetId="1" hidden="1">100</definedName>
    <definedName name="solver_itr" localSheetId="0" hidden="1">100</definedName>
    <definedName name="solver_itr" localSheetId="5" hidden="1">100</definedName>
    <definedName name="solver_itr" localSheetId="6" hidden="1">100</definedName>
    <definedName name="solver_itr" localSheetId="7" hidden="1">2147483647</definedName>
    <definedName name="solver_itr" localSheetId="8" hidden="1">100</definedName>
    <definedName name="solver_lhs1" localSheetId="1" hidden="1">'Barney-Jones'!$E$32:$E$35</definedName>
    <definedName name="solver_lhs1" localSheetId="0" hidden="1">Ch4_Q1!$G$23:$G$24</definedName>
    <definedName name="solver_lhs1" localSheetId="5" hidden="1">Ch4_Q32!$B$30:$H$30</definedName>
    <definedName name="solver_lhs1" localSheetId="6" hidden="1">Ch5_Q1!$G$13:$G$15</definedName>
    <definedName name="solver_lhs1" localSheetId="7" hidden="1">Ch5_Q11!$C$15:$F$19</definedName>
    <definedName name="solver_lhs1" localSheetId="8" hidden="1">Ch5_Q30!$G$5:$G$14</definedName>
    <definedName name="solver_lhs2" localSheetId="1" hidden="1">'Barney-Jones'!$B$26:$F$26</definedName>
    <definedName name="solver_lhs2" localSheetId="0" hidden="1">Ch4_Q1!$B$23:$B$28</definedName>
    <definedName name="solver_lhs2" localSheetId="5" hidden="1">Ch4_Q32!$E$36:$E$41</definedName>
    <definedName name="solver_lhs2" localSheetId="6" hidden="1">Ch5_Q1!$C$16:$F$16</definedName>
    <definedName name="solver_lhs2" localSheetId="7" hidden="1">Ch5_Q11!$C$20:$F$20</definedName>
    <definedName name="solver_lhs2" localSheetId="8" hidden="1">Ch5_Q30!$G$6:$G$13</definedName>
    <definedName name="solver_lhs3" localSheetId="0" hidden="1">Ch4_Q1!$B$19:$I$19</definedName>
    <definedName name="solver_lhs3" localSheetId="7" hidden="1">Ch5_Q11!$G$15:$G$19</definedName>
    <definedName name="solver_lhs3" localSheetId="8" hidden="1">Ch5_Q30!$G$5</definedName>
    <definedName name="solver_lhs4" localSheetId="7" hidden="1">Ch5_Q11!$G$20</definedName>
    <definedName name="solver_lin" localSheetId="1" hidden="1">1</definedName>
    <definedName name="solver_lin" localSheetId="0" hidden="1">1</definedName>
    <definedName name="solver_lin" localSheetId="5" hidden="1">1</definedName>
    <definedName name="solver_lin" localSheetId="6" hidden="1">1</definedName>
    <definedName name="solver_lin" localSheetId="8" hidden="1">1</definedName>
    <definedName name="solver_loc" localSheetId="0" hidden="1">1</definedName>
    <definedName name="solver_lva" localSheetId="1" hidden="1">2</definedName>
    <definedName name="solver_lva" localSheetId="0" hidden="1">2</definedName>
    <definedName name="solver_lva" localSheetId="5" hidden="1">2</definedName>
    <definedName name="solver_lva" localSheetId="8" hidden="1">2</definedName>
    <definedName name="solver_mip" localSheetId="1" hidden="1">5000</definedName>
    <definedName name="solver_mip" localSheetId="0" hidden="1">5000</definedName>
    <definedName name="solver_mip" localSheetId="5" hidden="1">5000</definedName>
    <definedName name="solver_mip" localSheetId="6" hidden="1">2147483647</definedName>
    <definedName name="solver_mip" localSheetId="7" hidden="1">2147483647</definedName>
    <definedName name="solver_mip" localSheetId="8" hidden="1">5000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5000</definedName>
    <definedName name="solver_nod" localSheetId="0" hidden="1">5000</definedName>
    <definedName name="solver_nod" localSheetId="5" hidden="1">5000</definedName>
    <definedName name="solver_nod" localSheetId="6" hidden="1">2147483647</definedName>
    <definedName name="solver_nod" localSheetId="7" hidden="1">2147483647</definedName>
    <definedName name="solver_nod" localSheetId="8" hidden="1">5000</definedName>
    <definedName name="solver_num" localSheetId="1" hidden="1">2</definedName>
    <definedName name="solver_num" localSheetId="0" hidden="1">3</definedName>
    <definedName name="solver_num" localSheetId="5" hidden="1">2</definedName>
    <definedName name="solver_num" localSheetId="6" hidden="1">2</definedName>
    <definedName name="solver_num" localSheetId="7" hidden="1">4</definedName>
    <definedName name="solver_num" localSheetId="8" hidden="1">1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fx" localSheetId="1" hidden="1">2</definedName>
    <definedName name="solver_ofx" localSheetId="0" hidden="1">2</definedName>
    <definedName name="solver_ofx" localSheetId="5" hidden="1">2</definedName>
    <definedName name="solver_ofx" localSheetId="8" hidden="1">2</definedName>
    <definedName name="solver_opt" localSheetId="1" hidden="1">'Barney-Jones'!$B$38</definedName>
    <definedName name="solver_opt" localSheetId="0" hidden="1">Ch4_Q1!$B$31</definedName>
    <definedName name="solver_opt" localSheetId="5" hidden="1">Ch4_Q32!$B$44</definedName>
    <definedName name="solver_opt" localSheetId="6" hidden="1">Ch5_Q1!$B$21</definedName>
    <definedName name="solver_opt" localSheetId="7" hidden="1">Ch5_Q11!$B$25</definedName>
    <definedName name="solver_opt" localSheetId="8" hidden="1">Ch5_Q30!$B$63</definedName>
    <definedName name="solver_piv" localSheetId="1" hidden="1">0.000001</definedName>
    <definedName name="solver_piv" localSheetId="0" hidden="1">0.000001</definedName>
    <definedName name="solver_piv" localSheetId="5" hidden="1">0.000001</definedName>
    <definedName name="solver_piv" localSheetId="8" hidden="1">0.000001</definedName>
    <definedName name="solver_pre" localSheetId="1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o" localSheetId="1" hidden="1">2</definedName>
    <definedName name="solver_pro" localSheetId="0" hidden="1">2</definedName>
    <definedName name="solver_pro" localSheetId="5" hidden="1">2</definedName>
    <definedName name="solver_pro" localSheetId="8" hidden="1">2</definedName>
    <definedName name="solver_rbv" localSheetId="1" hidden="1">1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d" localSheetId="1" hidden="1">0.000001</definedName>
    <definedName name="solver_red" localSheetId="0" hidden="1">0.000001</definedName>
    <definedName name="solver_red" localSheetId="5" hidden="1">0.000001</definedName>
    <definedName name="solver_red" localSheetId="8" hidden="1">0.000001</definedName>
    <definedName name="solver_rel1" localSheetId="1" hidden="1">3</definedName>
    <definedName name="solver_rel1" localSheetId="0" hidden="1">3</definedName>
    <definedName name="solver_rel1" localSheetId="5" hidden="1">1</definedName>
    <definedName name="solver_rel1" localSheetId="6" hidden="1">1</definedName>
    <definedName name="solver_rel1" localSheetId="7" hidden="1">4</definedName>
    <definedName name="solver_rel1" localSheetId="8" hidden="1">2</definedName>
    <definedName name="solver_rel2" localSheetId="1" hidden="1">1</definedName>
    <definedName name="solver_rel2" localSheetId="0" hidden="1">3</definedName>
    <definedName name="solver_rel2" localSheetId="5" hidden="1">3</definedName>
    <definedName name="solver_rel2" localSheetId="6" hidden="1">3</definedName>
    <definedName name="solver_rel2" localSheetId="7" hidden="1">1</definedName>
    <definedName name="solver_rel2" localSheetId="8" hidden="1">2</definedName>
    <definedName name="solver_rel3" localSheetId="0" hidden="1">4</definedName>
    <definedName name="solver_rel3" localSheetId="7" hidden="1">1</definedName>
    <definedName name="solver_rel3" localSheetId="8" hidden="1">2</definedName>
    <definedName name="solver_rel4" localSheetId="7" hidden="1">3</definedName>
    <definedName name="solver_reo" localSheetId="1" hidden="1">2</definedName>
    <definedName name="solver_reo" localSheetId="0" hidden="1">2</definedName>
    <definedName name="solver_reo" localSheetId="5" hidden="1">2</definedName>
    <definedName name="solver_reo" localSheetId="8" hidden="1">2</definedName>
    <definedName name="solver_rep" localSheetId="1" hidden="1">2</definedName>
    <definedName name="solver_rep" localSheetId="0" hidden="1">2</definedName>
    <definedName name="solver_rep" localSheetId="5" hidden="1">2</definedName>
    <definedName name="solver_rep" localSheetId="8" hidden="1">2</definedName>
    <definedName name="solver_rhs1" localSheetId="1" hidden="1">0</definedName>
    <definedName name="solver_rhs1" localSheetId="0" hidden="1">Ch4_Q1!$I$23:$I$24</definedName>
    <definedName name="solver_rhs1" localSheetId="5" hidden="1">Ch4_Q32!$B$32:$H$32</definedName>
    <definedName name="solver_rhs1" localSheetId="6" hidden="1">Capacity</definedName>
    <definedName name="solver_rhs1" localSheetId="7" hidden="1">integer</definedName>
    <definedName name="solver_rhs1" localSheetId="8" hidden="1">Required_net_outflow</definedName>
    <definedName name="solver_rhs2" localSheetId="1" hidden="1">Maximum_per_investment</definedName>
    <definedName name="solver_rhs2" localSheetId="0" hidden="1">Required_exposures</definedName>
    <definedName name="solver_rhs2" localSheetId="5" hidden="1">0</definedName>
    <definedName name="solver_rhs2" localSheetId="6" hidden="1">Demand</definedName>
    <definedName name="solver_rhs2" localSheetId="7" hidden="1">Required</definedName>
    <definedName name="solver_rhs2" localSheetId="8" hidden="1">0</definedName>
    <definedName name="solver_rhs3" localSheetId="0" hidden="1">integer</definedName>
    <definedName name="solver_rhs3" localSheetId="7" hidden="1">Machine_capacity</definedName>
    <definedName name="solver_rhs3" localSheetId="8" hidden="1">1</definedName>
    <definedName name="solver_rhs4" localSheetId="7" hidden="1">Machine_capacity_requirment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6" hidden="1">1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2</definedName>
    <definedName name="solver_scl" localSheetId="0" hidden="1">2</definedName>
    <definedName name="solver_scl" localSheetId="5" hidden="1">2</definedName>
    <definedName name="solver_scl" localSheetId="6" hidden="1">2</definedName>
    <definedName name="solver_scl" localSheetId="7" hidden="1">1</definedName>
    <definedName name="solver_scl" localSheetId="8" hidden="1">2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td" localSheetId="1" hidden="1">1</definedName>
    <definedName name="solver_std" localSheetId="0" hidden="1">1</definedName>
    <definedName name="solver_std" localSheetId="5" hidden="1">1</definedName>
    <definedName name="solver_std" localSheetId="8" hidden="1">1</definedName>
    <definedName name="solver_tim" localSheetId="1" hidden="1">100</definedName>
    <definedName name="solver_tim" localSheetId="0" hidden="1">100</definedName>
    <definedName name="solver_tim" localSheetId="5" hidden="1">100</definedName>
    <definedName name="solver_tim" localSheetId="6" hidden="1">100</definedName>
    <definedName name="solver_tim" localSheetId="7" hidden="1">2147483647</definedName>
    <definedName name="solver_tim" localSheetId="8" hidden="1">100</definedName>
    <definedName name="solver_tol" localSheetId="1" hidden="1">0.05</definedName>
    <definedName name="solver_tol" localSheetId="0" hidden="1">0.0005</definedName>
    <definedName name="solver_tol" localSheetId="5" hidden="1">0.05</definedName>
    <definedName name="solver_tol" localSheetId="6" hidden="1">0.05</definedName>
    <definedName name="solver_tol" localSheetId="7" hidden="1">0.01</definedName>
    <definedName name="solver_tol" localSheetId="8" hidden="1">0.0005</definedName>
    <definedName name="solver_typ" localSheetId="1" hidden="1">1</definedName>
    <definedName name="solver_typ" localSheetId="0" hidden="1">2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Total_cost" localSheetId="6">Ch5_Q1!$B$21</definedName>
    <definedName name="Total_cost">Ch4_Q1!$B$31</definedName>
    <definedName name="Total_distance">Ch5_Q30!$B$63</definedName>
    <definedName name="Total_jobs_on_machine">Ch5_Q11!$G$20</definedName>
    <definedName name="Total_new_capacity">[2]Ch5Q12!$J$20</definedName>
    <definedName name="Total_received">Ch5_Q1!$C$16:$F$16</definedName>
    <definedName name="Total_shipped">Ch5_Q1!$G$13:$G$15</definedName>
    <definedName name="Total_time">Ch5_Q11!$B$25</definedName>
  </definedNames>
  <calcPr calcId="152511" iterateDelta="9.9999999999999995E-7"/>
</workbook>
</file>

<file path=xl/calcChain.xml><?xml version="1.0" encoding="utf-8"?>
<calcChain xmlns="http://schemas.openxmlformats.org/spreadsheetml/2006/main">
  <c r="B63" i="15" l="1"/>
  <c r="G14" i="15"/>
  <c r="G13" i="15"/>
  <c r="G12" i="15"/>
  <c r="G11" i="15"/>
  <c r="G10" i="15"/>
  <c r="G9" i="15"/>
  <c r="G8" i="15"/>
  <c r="G7" i="15"/>
  <c r="G6" i="15"/>
  <c r="G5" i="15"/>
  <c r="G15" i="14" l="1"/>
  <c r="G16" i="14"/>
  <c r="G17" i="14"/>
  <c r="G18" i="14"/>
  <c r="G19" i="14"/>
  <c r="C20" i="14"/>
  <c r="D20" i="14"/>
  <c r="E20" i="14"/>
  <c r="F20" i="14"/>
  <c r="B25" i="14"/>
  <c r="G20" i="14" l="1"/>
  <c r="B21" i="13" l="1"/>
  <c r="F16" i="13"/>
  <c r="E16" i="13"/>
  <c r="D16" i="13"/>
  <c r="C16" i="13"/>
  <c r="G15" i="13"/>
  <c r="G14" i="13"/>
  <c r="G13" i="13"/>
  <c r="D40" i="12" l="1"/>
  <c r="D41" i="12"/>
  <c r="C42" i="12"/>
  <c r="D37" i="12"/>
  <c r="D38" i="12"/>
  <c r="D39" i="12"/>
  <c r="D36" i="12"/>
  <c r="C37" i="12"/>
  <c r="C38" i="12"/>
  <c r="C39" i="12"/>
  <c r="C40" i="12"/>
  <c r="C41" i="12"/>
  <c r="C36" i="12"/>
  <c r="G32" i="12"/>
  <c r="H32" i="12"/>
  <c r="B36" i="12"/>
  <c r="F32" i="12"/>
  <c r="E32" i="12"/>
  <c r="D32" i="12"/>
  <c r="C32" i="12"/>
  <c r="B32" i="12"/>
  <c r="K1" i="11"/>
  <c r="J4" i="11"/>
  <c r="K43" i="11" s="1"/>
  <c r="B28" i="8"/>
  <c r="C28" i="8"/>
  <c r="D28" i="8"/>
  <c r="E28" i="8"/>
  <c r="F28" i="8"/>
  <c r="B32" i="8"/>
  <c r="C32" i="8"/>
  <c r="D32" i="8"/>
  <c r="C33" i="8"/>
  <c r="D33" i="8"/>
  <c r="C34" i="8"/>
  <c r="D34" i="8"/>
  <c r="C35" i="8"/>
  <c r="D35" i="8"/>
  <c r="C36" i="8"/>
  <c r="E36" i="12" l="1"/>
  <c r="K6" i="11"/>
  <c r="K8" i="11"/>
  <c r="K10" i="11"/>
  <c r="K12" i="11"/>
  <c r="K14" i="11"/>
  <c r="K16" i="11"/>
  <c r="K18" i="11"/>
  <c r="K20" i="11"/>
  <c r="K22" i="11"/>
  <c r="K24" i="11"/>
  <c r="K26" i="11"/>
  <c r="K28" i="11"/>
  <c r="K30" i="11"/>
  <c r="K32" i="11"/>
  <c r="K34" i="11"/>
  <c r="K36" i="11"/>
  <c r="K38" i="11"/>
  <c r="K40" i="11"/>
  <c r="K42" i="1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9" i="11"/>
  <c r="K41" i="11"/>
  <c r="E32" i="8"/>
  <c r="B37" i="12" l="1"/>
  <c r="E37" i="12" s="1"/>
  <c r="B38" i="12" s="1"/>
  <c r="E38" i="12" s="1"/>
  <c r="B39" i="12" s="1"/>
  <c r="E39" i="12" s="1"/>
  <c r="B40" i="12" s="1"/>
  <c r="E40" i="12" s="1"/>
  <c r="B41" i="12" s="1"/>
  <c r="E41" i="12" s="1"/>
  <c r="B42" i="12" s="1"/>
  <c r="B44" i="12" s="1"/>
  <c r="B33" i="8"/>
  <c r="E33" i="8" s="1"/>
  <c r="B34" i="8" s="1"/>
  <c r="E34" i="8" s="1"/>
  <c r="B35" i="8" s="1"/>
  <c r="E35" i="8" s="1"/>
  <c r="B36" i="8" s="1"/>
  <c r="B38" i="8" s="1"/>
  <c r="C12" i="2"/>
  <c r="C15" i="2"/>
  <c r="D12" i="2"/>
  <c r="D15" i="2" s="1"/>
  <c r="E12" i="2"/>
  <c r="E15" i="2"/>
  <c r="F12" i="2"/>
  <c r="F15" i="2"/>
  <c r="G12" i="2"/>
  <c r="G15" i="2"/>
  <c r="H12" i="2"/>
  <c r="H15" i="2" s="1"/>
  <c r="I12" i="2"/>
  <c r="I15" i="2"/>
  <c r="B12" i="2"/>
  <c r="B15" i="2"/>
  <c r="B24" i="2"/>
  <c r="B25" i="2"/>
  <c r="B26" i="2"/>
  <c r="B27" i="2"/>
  <c r="B28" i="2"/>
  <c r="B31" i="2"/>
  <c r="B23" i="2"/>
  <c r="B46" i="12" l="1"/>
  <c r="B40" i="8"/>
  <c r="G23" i="2"/>
  <c r="G24" i="2"/>
</calcChain>
</file>

<file path=xl/comments1.xml><?xml version="1.0" encoding="utf-8"?>
<comments xmlns="http://schemas.openxmlformats.org/spreadsheetml/2006/main">
  <authors>
    <author>yingjunpan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<sst xmlns="http://schemas.openxmlformats.org/spreadsheetml/2006/main" count="236" uniqueCount="106">
  <si>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</si>
  <si>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</si>
  <si>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</si>
  <si>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</si>
  <si>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</si>
  <si>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</si>
  <si>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</si>
  <si>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</si>
  <si>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</si>
  <si>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</si>
  <si>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</si>
  <si>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</si>
  <si>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</si>
  <si>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</si>
  <si>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</si>
  <si>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</si>
  <si>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</si>
  <si>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</si>
  <si>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MNF</t>
  </si>
  <si>
    <t>Sports Center</t>
  </si>
  <si>
    <t>CNN</t>
  </si>
  <si>
    <t>Lifetime movie</t>
  </si>
  <si>
    <t>Cost per ad</t>
  </si>
  <si>
    <t>Exposures to various groups per ad</t>
  </si>
  <si>
    <t>Total viewers</t>
  </si>
  <si>
    <t>Cost per million exposures</t>
  </si>
  <si>
    <t>Objective to minimize</t>
  </si>
  <si>
    <t>Desperate Housewives</t>
  </si>
  <si>
    <t>The Real World</t>
  </si>
  <si>
    <t>The Simpsons</t>
  </si>
  <si>
    <t>Law &amp; Order SVU</t>
  </si>
  <si>
    <t>Men</t>
  </si>
  <si>
    <t>Women</t>
  </si>
  <si>
    <t>Maximum in money market</t>
  </si>
  <si>
    <t>Final cash</t>
  </si>
  <si>
    <t>Cash after investing</t>
  </si>
  <si>
    <t>Cash invested</t>
  </si>
  <si>
    <t>Returns from investments</t>
  </si>
  <si>
    <t>Beginning cash</t>
  </si>
  <si>
    <t>Year</t>
  </si>
  <si>
    <t>Constraints on cash balance</t>
  </si>
  <si>
    <t>Maximum per investment</t>
  </si>
  <si>
    <t>&lt;=</t>
  </si>
  <si>
    <t>Dollars invested</t>
  </si>
  <si>
    <t>Investment decisions</t>
  </si>
  <si>
    <t>E</t>
  </si>
  <si>
    <t>D</t>
  </si>
  <si>
    <t>C</t>
  </si>
  <si>
    <t>B</t>
  </si>
  <si>
    <t>A</t>
  </si>
  <si>
    <t>Investment</t>
  </si>
  <si>
    <t>Cash returns from investments (all incurred at beginning of year)</t>
  </si>
  <si>
    <t>Cash outlays on investments (all incurred at beginning of year)</t>
  </si>
  <si>
    <t>Interest rate on cash</t>
  </si>
  <si>
    <t>Initial amount to invest</t>
  </si>
  <si>
    <t>Investments with irregular timing of returns</t>
  </si>
  <si>
    <t>$B$6</t>
  </si>
  <si>
    <t>$B$40</t>
  </si>
  <si>
    <t>Interest reate on cash</t>
  </si>
  <si>
    <t>Oneway analysis for Solver model in CH4_Q30 worksheet</t>
  </si>
  <si>
    <t>Interest reate on cash (cell $B$6) values along side, output cell(s) along top</t>
  </si>
  <si>
    <t>Maximum_in_money_market</t>
  </si>
  <si>
    <t>Data for chart</t>
  </si>
  <si>
    <t>F</t>
  </si>
  <si>
    <t>G</t>
  </si>
  <si>
    <t>Grand Prix transportation model</t>
  </si>
  <si>
    <t>Capacity</t>
  </si>
  <si>
    <t>Unit shipping costs</t>
  </si>
  <si>
    <t>Demand</t>
  </si>
  <si>
    <t>To</t>
  </si>
  <si>
    <t>Region 1</t>
  </si>
  <si>
    <t>Region 2</t>
  </si>
  <si>
    <t>Region 3</t>
  </si>
  <si>
    <t>Region 4</t>
  </si>
  <si>
    <t>From</t>
  </si>
  <si>
    <t>Plant 1</t>
  </si>
  <si>
    <t>Plant 2</t>
  </si>
  <si>
    <t>Plant 3</t>
  </si>
  <si>
    <t>Shipping plan, and constraints on supply and demand</t>
  </si>
  <si>
    <t>Total shipped</t>
  </si>
  <si>
    <t>Total received</t>
  </si>
  <si>
    <t>When Plant 1 has 100 more capacity:</t>
  </si>
  <si>
    <t>When Plant 2 has 100 more capacity:</t>
  </si>
  <si>
    <t>When Plant 3 has 100 more capacity:</t>
  </si>
  <si>
    <t>Total time</t>
  </si>
  <si>
    <t>Required</t>
  </si>
  <si>
    <t>Machines on job</t>
  </si>
  <si>
    <t>Machine</t>
  </si>
  <si>
    <t>Machine capacity</t>
  </si>
  <si>
    <t>Jobs on machine</t>
  </si>
  <si>
    <t>Job</t>
  </si>
  <si>
    <t>Assignments, and constraints on machine capacities and job comple on requirements</t>
  </si>
  <si>
    <t>Times to perform jobs on various machines</t>
  </si>
  <si>
    <t>Assignment of jobs to machines</t>
  </si>
  <si>
    <t>Shortest path model</t>
  </si>
  <si>
    <t>Network structure and flows</t>
  </si>
  <si>
    <t>Flow balance constraints</t>
  </si>
  <si>
    <t>Origin</t>
  </si>
  <si>
    <t>Destination</t>
  </si>
  <si>
    <t>Distance</t>
  </si>
  <si>
    <t>Flow</t>
  </si>
  <si>
    <t>Node</t>
  </si>
  <si>
    <t>Net outflow</t>
  </si>
  <si>
    <t>Required net outflow</t>
  </si>
  <si>
    <t>=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</si>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</sst>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;\-&quot;$&quot;#,##0"/>
    <numFmt numFmtId="7" formatCode="&quot;$&quot;#,##0.00;\-&quot;$&quot;#,##0.00"/>
    <numFmt numFmtId="164" formatCode="0.000"/>
    <numFmt numFmtId="165" formatCode="&quot;$&quot;#,##0.000;\-&quot;$&quot;#,##0.000"/>
    <numFmt numFmtId="166" formatCode="&quot;$&quot;#,##0"/>
    <numFmt numFmtId="167" formatCode="&quot;$&quot;#,##0_);\(&quot;$&quot;#,##0\)"/>
  </numFmts>
  <fonts count="14">
    <font>
      <sz val="11"/>
      <name val="Calibri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1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NumberFormat="1" applyFont="1"/>
    <xf numFmtId="164" fontId="4" fillId="0" borderId="0" xfId="0" applyNumberFormat="1" applyFont="1" applyBorder="1"/>
    <xf numFmtId="0" fontId="4" fillId="0" borderId="0" xfId="0" quotePrefix="1" applyFont="1" applyAlignment="1">
      <alignment horizontal="left"/>
    </xf>
    <xf numFmtId="5" fontId="4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164" fontId="4" fillId="3" borderId="0" xfId="0" applyNumberFormat="1" applyFont="1" applyFill="1" applyBorder="1"/>
    <xf numFmtId="165" fontId="4" fillId="4" borderId="0" xfId="0" applyNumberFormat="1" applyFont="1" applyFill="1" applyBorder="1"/>
    <xf numFmtId="0" fontId="4" fillId="0" borderId="0" xfId="1" applyFont="1"/>
    <xf numFmtId="5" fontId="4" fillId="0" borderId="0" xfId="1" applyNumberFormat="1" applyFont="1"/>
    <xf numFmtId="0" fontId="4" fillId="0" borderId="0" xfId="1" applyFont="1" applyBorder="1"/>
    <xf numFmtId="5" fontId="3" fillId="0" borderId="0" xfId="1" applyNumberFormat="1" applyFont="1" applyBorder="1"/>
    <xf numFmtId="5" fontId="4" fillId="4" borderId="0" xfId="1" applyNumberFormat="1" applyFont="1" applyFill="1" applyBorder="1"/>
    <xf numFmtId="0" fontId="3" fillId="0" borderId="0" xfId="1" applyFont="1"/>
    <xf numFmtId="5" fontId="4" fillId="0" borderId="0" xfId="1" applyNumberFormat="1" applyFont="1" applyBorder="1"/>
    <xf numFmtId="5" fontId="4" fillId="0" borderId="0" xfId="1" applyNumberFormat="1" applyFont="1" applyFill="1" applyBorder="1"/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 wrapText="1"/>
    </xf>
    <xf numFmtId="166" fontId="4" fillId="0" borderId="0" xfId="1" applyNumberFormat="1" applyFont="1" applyBorder="1"/>
    <xf numFmtId="0" fontId="4" fillId="0" borderId="0" xfId="1" applyFont="1" applyBorder="1" applyAlignment="1">
      <alignment horizontal="right"/>
    </xf>
    <xf numFmtId="5" fontId="4" fillId="3" borderId="0" xfId="1" applyNumberFormat="1" applyFont="1" applyFill="1" applyBorder="1"/>
    <xf numFmtId="7" fontId="4" fillId="2" borderId="0" xfId="1" applyNumberFormat="1" applyFont="1" applyFill="1" applyBorder="1"/>
    <xf numFmtId="0" fontId="4" fillId="0" borderId="0" xfId="1" applyNumberFormat="1" applyFont="1"/>
    <xf numFmtId="166" fontId="4" fillId="2" borderId="0" xfId="1" applyNumberFormat="1" applyFont="1" applyFill="1" applyBorder="1"/>
    <xf numFmtId="0" fontId="5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5" fontId="0" fillId="0" borderId="1" xfId="0" applyNumberFormat="1" applyBorder="1"/>
    <xf numFmtId="5" fontId="0" fillId="0" borderId="2" xfId="0" applyNumberFormat="1" applyBorder="1"/>
    <xf numFmtId="5" fontId="0" fillId="0" borderId="3" xfId="0" applyNumberFormat="1" applyBorder="1"/>
    <xf numFmtId="10" fontId="0" fillId="0" borderId="0" xfId="0" applyNumberFormat="1"/>
    <xf numFmtId="10" fontId="4" fillId="2" borderId="0" xfId="1" applyNumberFormat="1" applyFont="1" applyFill="1" applyBorder="1"/>
    <xf numFmtId="0" fontId="3" fillId="0" borderId="0" xfId="2" applyFont="1"/>
    <xf numFmtId="0" fontId="4" fillId="0" borderId="0" xfId="2" applyFont="1"/>
    <xf numFmtId="0" fontId="10" fillId="0" borderId="0" xfId="3" applyFont="1" applyAlignment="1" applyProtection="1"/>
    <xf numFmtId="0" fontId="4" fillId="0" borderId="0" xfId="2" applyNumberFormat="1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Continuous"/>
    </xf>
    <xf numFmtId="0" fontId="4" fillId="0" borderId="0" xfId="2" applyFont="1" applyBorder="1"/>
    <xf numFmtId="0" fontId="4" fillId="0" borderId="0" xfId="2" applyFont="1" applyBorder="1" applyAlignment="1">
      <alignment horizontal="right"/>
    </xf>
    <xf numFmtId="0" fontId="4" fillId="0" borderId="0" xfId="2" applyNumberFormat="1" applyFont="1" applyBorder="1"/>
    <xf numFmtId="167" fontId="4" fillId="2" borderId="0" xfId="2" applyNumberFormat="1" applyFont="1" applyFill="1" applyBorder="1"/>
    <xf numFmtId="0" fontId="4" fillId="0" borderId="0" xfId="2" applyFont="1" applyBorder="1" applyAlignment="1">
      <alignment horizontal="left"/>
    </xf>
    <xf numFmtId="0" fontId="4" fillId="0" borderId="0" xfId="2" applyFont="1" applyBorder="1" applyAlignment="1">
      <alignment horizontal="centerContinuous"/>
    </xf>
    <xf numFmtId="0" fontId="4" fillId="0" borderId="0" xfId="2" applyFont="1" applyAlignment="1">
      <alignment horizontal="right"/>
    </xf>
    <xf numFmtId="0" fontId="4" fillId="3" borderId="0" xfId="2" applyFont="1" applyFill="1" applyBorder="1"/>
    <xf numFmtId="0" fontId="4" fillId="0" borderId="0" xfId="2" applyFont="1" applyBorder="1" applyAlignment="1">
      <alignment horizontal="center"/>
    </xf>
    <xf numFmtId="0" fontId="4" fillId="2" borderId="0" xfId="2" applyFont="1" applyFill="1" applyBorder="1"/>
    <xf numFmtId="0" fontId="4" fillId="0" borderId="0" xfId="2" applyFont="1" applyFill="1" applyBorder="1"/>
    <xf numFmtId="9" fontId="4" fillId="0" borderId="0" xfId="2" applyNumberFormat="1" applyFont="1"/>
    <xf numFmtId="167" fontId="4" fillId="4" borderId="0" xfId="2" applyNumberFormat="1" applyFont="1" applyFill="1" applyBorder="1"/>
    <xf numFmtId="3" fontId="4" fillId="0" borderId="0" xfId="2" applyNumberFormat="1" applyFont="1"/>
    <xf numFmtId="167" fontId="4" fillId="7" borderId="0" xfId="2" applyNumberFormat="1" applyFont="1" applyFill="1" applyBorder="1"/>
    <xf numFmtId="0" fontId="1" fillId="0" borderId="0" xfId="4"/>
    <xf numFmtId="0" fontId="1" fillId="6" borderId="0" xfId="4" applyFill="1"/>
    <xf numFmtId="0" fontId="11" fillId="0" borderId="0" xfId="4" applyFont="1" applyAlignment="1">
      <alignment horizontal="left"/>
    </xf>
    <xf numFmtId="0" fontId="1" fillId="0" borderId="0" xfId="4" applyAlignment="1">
      <alignment horizontal="center"/>
    </xf>
    <xf numFmtId="0" fontId="12" fillId="0" borderId="0" xfId="4" applyFont="1" applyAlignment="1">
      <alignment horizontal="left"/>
    </xf>
    <xf numFmtId="0" fontId="11" fillId="0" borderId="0" xfId="4" applyFont="1" applyAlignment="1">
      <alignment horizontal="left"/>
    </xf>
    <xf numFmtId="0" fontId="11" fillId="0" borderId="0" xfId="4" applyFont="1" applyAlignment="1"/>
    <xf numFmtId="0" fontId="1" fillId="9" borderId="0" xfId="4" applyFill="1"/>
    <xf numFmtId="0" fontId="11" fillId="0" borderId="0" xfId="4" applyFont="1"/>
    <xf numFmtId="0" fontId="1" fillId="0" borderId="0" xfId="4" applyAlignment="1">
      <alignment horizontal="left"/>
    </xf>
    <xf numFmtId="0" fontId="13" fillId="8" borderId="0" xfId="4" applyFont="1" applyFill="1"/>
    <xf numFmtId="0" fontId="4" fillId="0" borderId="0" xfId="2" applyFont="1" applyAlignment="1">
      <alignment horizontal="center"/>
    </xf>
    <xf numFmtId="0" fontId="4" fillId="4" borderId="0" xfId="2" applyFont="1" applyFill="1" applyBorder="1"/>
  </cellXfs>
  <cellStyles count="5">
    <cellStyle name="Hyperlink 2" xfId="3"/>
    <cellStyle name="Normal" xfId="0" builtinId="0" customBuiltin="1"/>
    <cellStyle name="Normal 2" xfId="1"/>
    <cellStyle name="Normal 2 2" xfId="2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Ch4_Q30!$K$1</c:f>
          <c:strCache>
            <c:ptCount val="1"/>
            <c:pt idx="0">
              <c:v>Sensitivity of Maximum_in_money_market to Interest reate on cash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Ch4_Q30!$A$5:$A$43</c:f>
              <c:numCache>
                <c:formatCode>0.00%</c:formatCode>
                <c:ptCount val="39"/>
                <c:pt idx="0">
                  <c:v>9.9999997764825821E-3</c:v>
                </c:pt>
                <c:pt idx="1">
                  <c:v>1.4999999664723873E-2</c:v>
                </c:pt>
                <c:pt idx="2">
                  <c:v>1.9999999552965164E-2</c:v>
                </c:pt>
                <c:pt idx="3">
                  <c:v>2.4999998509883881E-2</c:v>
                </c:pt>
                <c:pt idx="4">
                  <c:v>2.9999999329447746E-2</c:v>
                </c:pt>
                <c:pt idx="5">
                  <c:v>3.5000000149011612E-2</c:v>
                </c:pt>
                <c:pt idx="6">
                  <c:v>3.9999999105930328E-2</c:v>
                </c:pt>
                <c:pt idx="7">
                  <c:v>4.4999998062849045E-2</c:v>
                </c:pt>
                <c:pt idx="8">
                  <c:v>4.9999997019767761E-2</c:v>
                </c:pt>
                <c:pt idx="9">
                  <c:v>5.4999999701976776E-2</c:v>
                </c:pt>
                <c:pt idx="10">
                  <c:v>5.9999998658895493E-2</c:v>
                </c:pt>
                <c:pt idx="11">
                  <c:v>6.4999997615814209E-2</c:v>
                </c:pt>
                <c:pt idx="12">
                  <c:v>7.0000000298023224E-2</c:v>
                </c:pt>
                <c:pt idx="13">
                  <c:v>7.4999995529651642E-2</c:v>
                </c:pt>
                <c:pt idx="14">
                  <c:v>7.9999998211860657E-2</c:v>
                </c:pt>
                <c:pt idx="15">
                  <c:v>8.5000000894069672E-2</c:v>
                </c:pt>
                <c:pt idx="16">
                  <c:v>8.999999612569809E-2</c:v>
                </c:pt>
                <c:pt idx="17">
                  <c:v>9.4999998807907104E-2</c:v>
                </c:pt>
                <c:pt idx="18">
                  <c:v>9.9999994039535522E-2</c:v>
                </c:pt>
                <c:pt idx="19">
                  <c:v>0.10499999672174454</c:v>
                </c:pt>
                <c:pt idx="20">
                  <c:v>0.10999999940395355</c:v>
                </c:pt>
                <c:pt idx="21">
                  <c:v>0.11499999463558197</c:v>
                </c:pt>
                <c:pt idx="22">
                  <c:v>0.11999999731779099</c:v>
                </c:pt>
                <c:pt idx="23">
                  <c:v>0.125</c:v>
                </c:pt>
                <c:pt idx="24">
                  <c:v>0.12999999523162842</c:v>
                </c:pt>
                <c:pt idx="25">
                  <c:v>0.13499999046325684</c:v>
                </c:pt>
                <c:pt idx="26">
                  <c:v>0.14000000059604645</c:v>
                </c:pt>
                <c:pt idx="27">
                  <c:v>0.14499999582767487</c:v>
                </c:pt>
                <c:pt idx="28">
                  <c:v>0.14999999105930328</c:v>
                </c:pt>
                <c:pt idx="29">
                  <c:v>0.1550000011920929</c:v>
                </c:pt>
                <c:pt idx="30">
                  <c:v>0.15999999642372131</c:v>
                </c:pt>
                <c:pt idx="31">
                  <c:v>0.16499999165534973</c:v>
                </c:pt>
                <c:pt idx="32">
                  <c:v>0.17000000178813934</c:v>
                </c:pt>
                <c:pt idx="33">
                  <c:v>0.17499999701976776</c:v>
                </c:pt>
                <c:pt idx="34">
                  <c:v>0.17999999225139618</c:v>
                </c:pt>
                <c:pt idx="35">
                  <c:v>0.18500000238418579</c:v>
                </c:pt>
                <c:pt idx="36">
                  <c:v>0.18999999761581421</c:v>
                </c:pt>
                <c:pt idx="37">
                  <c:v>0.19499999284744263</c:v>
                </c:pt>
                <c:pt idx="38">
                  <c:v>0.19999998807907104</c:v>
                </c:pt>
              </c:numCache>
            </c:numRef>
          </c:cat>
          <c:val>
            <c:numRef>
              <c:f>Ch4_Q30!$K$5:$K$43</c:f>
              <c:numCache>
                <c:formatCode>General</c:formatCode>
                <c:ptCount val="39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87686.57</c:v>
                </c:pt>
                <c:pt idx="33">
                  <c:v>87962.96</c:v>
                </c:pt>
                <c:pt idx="34">
                  <c:v>88235.29</c:v>
                </c:pt>
                <c:pt idx="35">
                  <c:v>88503.65</c:v>
                </c:pt>
                <c:pt idx="36">
                  <c:v>88768.12</c:v>
                </c:pt>
                <c:pt idx="37">
                  <c:v>89028.78</c:v>
                </c:pt>
                <c:pt idx="38">
                  <c:v>89285.71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09696"/>
        <c:axId val="450910088"/>
      </c:lineChart>
      <c:catAx>
        <c:axId val="450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 reate on cash ($B$6)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450910088"/>
        <c:crosses val="autoZero"/>
        <c:auto val="1"/>
        <c:lblAlgn val="ctr"/>
        <c:lblOffset val="100"/>
        <c:noMultiLvlLbl val="0"/>
      </c:catAx>
      <c:valAx>
        <c:axId val="45091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0969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190499</xdr:rowOff>
    </xdr:from>
    <xdr:to>
      <xdr:col>4</xdr:col>
      <xdr:colOff>809626</xdr:colOff>
      <xdr:row>37</xdr:row>
      <xdr:rowOff>161924</xdr:rowOff>
    </xdr:to>
    <xdr:sp macro="" textlink="">
      <xdr:nvSpPr>
        <xdr:cNvPr id="2" name="TextBox 1"/>
        <xdr:cNvSpPr txBox="1"/>
      </xdr:nvSpPr>
      <xdr:spPr>
        <a:xfrm>
          <a:off x="1" y="6095999"/>
          <a:ext cx="6096000" cy="11144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</a:p>
        <a:p>
          <a:r>
            <a:rPr lang="en-US" sz="1200"/>
            <a:t>After</a:t>
          </a:r>
          <a:r>
            <a:rPr lang="en-US" sz="1200" baseline="0"/>
            <a:t> adding new constraints of at least 180 million exposes to men and 160 million exposes to women, the new optimal solution is to purchase 1ad in MNF, 8 ads in The Simpsons, 1 ad in Sports Center, 1 ad in The Real World and 9 ads in Law &amp; Order SVU. The minimal cost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$2,022.000</a:t>
          </a:r>
          <a:r>
            <a:rPr lang="en-US" sz="1200"/>
            <a:t>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44</xdr:row>
      <xdr:rowOff>0</xdr:rowOff>
    </xdr:from>
    <xdr:to>
      <xdr:col>18</xdr:col>
      <xdr:colOff>0</xdr:colOff>
      <xdr:row>59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76200</xdr:colOff>
      <xdr:row>44</xdr:row>
      <xdr:rowOff>142876</xdr:rowOff>
    </xdr:from>
    <xdr:to>
      <xdr:col>9</xdr:col>
      <xdr:colOff>0</xdr:colOff>
      <xdr:row>52</xdr:row>
      <xdr:rowOff>161925</xdr:rowOff>
    </xdr:to>
    <xdr:sp macro="" textlink="">
      <xdr:nvSpPr>
        <xdr:cNvPr id="4" name="TextBox 3"/>
        <xdr:cNvSpPr txBox="1"/>
      </xdr:nvSpPr>
      <xdr:spPr>
        <a:xfrm>
          <a:off x="76200" y="10172701"/>
          <a:ext cx="5410200" cy="15430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/>
            <a:t>After</a:t>
          </a:r>
          <a:r>
            <a:rPr lang="en-US" sz="1200" baseline="0"/>
            <a:t> increasing the maximum amount allowed in any investment to $150,000, the one way sensitivity analysis to the money market rate on cash from 1% to 20% shows that the maximum amount of cash ever put in the money market will not change untill the market rate increases to 17%. With the increase of market rate from 16.5% to 20%, the maximum amount of cash in money market from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$87,500</a:t>
          </a:r>
          <a:r>
            <a:rPr lang="en-US" sz="1200"/>
            <a:t> to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$89,286</a:t>
          </a:r>
          <a:r>
            <a:rPr lang="en-US" sz="1200"/>
            <a:t> 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47</xdr:row>
      <xdr:rowOff>104775</xdr:rowOff>
    </xdr:from>
    <xdr:to>
      <xdr:col>4</xdr:col>
      <xdr:colOff>400050</xdr:colOff>
      <xdr:row>52</xdr:row>
      <xdr:rowOff>57150</xdr:rowOff>
    </xdr:to>
    <xdr:sp macro="" textlink="">
      <xdr:nvSpPr>
        <xdr:cNvPr id="2" name="TextBox 1"/>
        <xdr:cNvSpPr txBox="1"/>
      </xdr:nvSpPr>
      <xdr:spPr>
        <a:xfrm>
          <a:off x="57150" y="9248775"/>
          <a:ext cx="5181600" cy="904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/>
            <a:t>After</a:t>
          </a:r>
          <a:r>
            <a:rPr lang="en-US" sz="1200" baseline="0"/>
            <a:t> adding 2 more investments of F and G, the optimal final cash after 7 years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$406,377. The optimal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solution is to invest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$64,286 to A,</a:t>
          </a:r>
          <a:r>
            <a:rPr lang="en-US" sz="12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$0 to B,</a:t>
          </a:r>
          <a:r>
            <a:rPr lang="en-US" sz="12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$35,714</a:t>
          </a:r>
          <a:r>
            <a:rPr lang="en-US" sz="1200"/>
            <a:t> to C,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$75,000 to D,</a:t>
          </a:r>
          <a:r>
            <a:rPr lang="en-US" sz="12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$26,786 to E,</a:t>
          </a:r>
          <a:r>
            <a:rPr lang="en-US" sz="12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$75,000 to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 and</a:t>
          </a:r>
          <a:r>
            <a:rPr lang="en-US" sz="12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$75,000</a:t>
          </a:r>
          <a:r>
            <a:rPr lang="en-US" sz="1200"/>
            <a:t> to G.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7</xdr:col>
      <xdr:colOff>619125</xdr:colOff>
      <xdr:row>36</xdr:row>
      <xdr:rowOff>114300</xdr:rowOff>
    </xdr:to>
    <xdr:sp macro="" textlink="">
      <xdr:nvSpPr>
        <xdr:cNvPr id="2" name="TextBox 1"/>
        <xdr:cNvSpPr txBox="1"/>
      </xdr:nvSpPr>
      <xdr:spPr>
        <a:xfrm>
          <a:off x="57150" y="4762500"/>
          <a:ext cx="5638800" cy="2209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Plant 1 has 100 more capacity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(650 units), the optimal total cost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$164,150.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cost from Plant 1 to Region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is cheaper $119 than from Plant 2 to Region 1,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 more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units ship from Plant 3 to Region 1 will save $11,900 than original model.</a:t>
          </a:r>
          <a:endParaRPr lang="en-US" sz="1200">
            <a:effectLst/>
          </a:endParaRP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Plant 2 has 100 more capacity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(700 units), the optimal total cost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$176,050.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plan doesn't change so the total cost is the same as the original model.</a:t>
          </a:r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Plant 3 has 100 more capacity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(600 units), the optimal total cost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$168,850.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cost from Plant 3 to Region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is cheaper $72 than from Plant 2 to Region 1,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 more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units ship from Plant 3 to Region 1 will save $7200 than original model.</a:t>
          </a:r>
          <a:endParaRPr 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</xdr:row>
      <xdr:rowOff>66674</xdr:rowOff>
    </xdr:from>
    <xdr:to>
      <xdr:col>8</xdr:col>
      <xdr:colOff>219075</xdr:colOff>
      <xdr:row>32</xdr:row>
      <xdr:rowOff>19049</xdr:rowOff>
    </xdr:to>
    <xdr:sp macro="" textlink="">
      <xdr:nvSpPr>
        <xdr:cNvPr id="2" name="TextBox 1"/>
        <xdr:cNvSpPr txBox="1"/>
      </xdr:nvSpPr>
      <xdr:spPr>
        <a:xfrm>
          <a:off x="190500" y="5019674"/>
          <a:ext cx="5857875" cy="1095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/>
            <a:t>When</a:t>
          </a:r>
          <a:r>
            <a:rPr lang="en-US" sz="1200" baseline="0"/>
            <a:t>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only three of the four jobs must be completed, the optimal solution is that machine 2 is assigned to job 1, machine 3 is assigned to job 3, machine 4 is assigned to job 2, and machine 1 and 5 are not assigned to any jobs. With this optimal assignment, it takes 9 time units to complete all jobs.</a:t>
          </a:r>
          <a:endParaRPr lang="en-US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64</xdr:row>
      <xdr:rowOff>133350</xdr:rowOff>
    </xdr:from>
    <xdr:to>
      <xdr:col>6</xdr:col>
      <xdr:colOff>790575</xdr:colOff>
      <xdr:row>70</xdr:row>
      <xdr:rowOff>19050</xdr:rowOff>
    </xdr:to>
    <xdr:sp macro="" textlink="">
      <xdr:nvSpPr>
        <xdr:cNvPr id="2" name="TextBox 1"/>
        <xdr:cNvSpPr txBox="1"/>
      </xdr:nvSpPr>
      <xdr:spPr>
        <a:xfrm>
          <a:off x="85725" y="12325350"/>
          <a:ext cx="4829175" cy="1028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/>
            <a:t>After</a:t>
          </a:r>
          <a:r>
            <a:rPr lang="en-US" sz="1200" baseline="0"/>
            <a:t> modifying all arcs into double- arrowed in the network, the optimal solution is the same as original model. The shortest path is 1-4-6-10 and total distance is 198.</a:t>
          </a:r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Files%20HW%203/Barney%20J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M&amp;BIA/650/HWK5-BIA650-YingjunP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STS"/>
      <sheetName val="STS_1"/>
      <sheetName val="STS_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5Q12"/>
      <sheetName val="Ch5Q20"/>
    </sheetNames>
    <sheetDataSet>
      <sheetData sheetId="0">
        <row r="15">
          <cell r="J15">
            <v>2</v>
          </cell>
        </row>
        <row r="16">
          <cell r="J16">
            <v>3</v>
          </cell>
        </row>
        <row r="17">
          <cell r="J17">
            <v>2</v>
          </cell>
        </row>
        <row r="18">
          <cell r="J18">
            <v>3</v>
          </cell>
        </row>
        <row r="19">
          <cell r="J19">
            <v>2</v>
          </cell>
        </row>
        <row r="20">
          <cell r="J20">
            <v>8</v>
          </cell>
        </row>
      </sheetData>
      <sheetData sheetId="1">
        <row r="7">
          <cell r="B7">
            <v>4</v>
          </cell>
          <cell r="D7">
            <v>0</v>
          </cell>
          <cell r="F7">
            <v>200</v>
          </cell>
        </row>
        <row r="8">
          <cell r="B8">
            <v>5</v>
          </cell>
          <cell r="D8">
            <v>180</v>
          </cell>
          <cell r="F8">
            <v>200</v>
          </cell>
        </row>
        <row r="9">
          <cell r="B9">
            <v>6</v>
          </cell>
          <cell r="D9">
            <v>0</v>
          </cell>
          <cell r="F9">
            <v>200</v>
          </cell>
          <cell r="K9">
            <v>200</v>
          </cell>
        </row>
        <row r="10">
          <cell r="B10">
            <v>7</v>
          </cell>
          <cell r="D10">
            <v>0</v>
          </cell>
          <cell r="F10">
            <v>200</v>
          </cell>
          <cell r="K10">
            <v>300</v>
          </cell>
        </row>
        <row r="11">
          <cell r="B11">
            <v>4</v>
          </cell>
          <cell r="D11">
            <v>200</v>
          </cell>
          <cell r="F11">
            <v>200</v>
          </cell>
          <cell r="K11">
            <v>100</v>
          </cell>
        </row>
        <row r="12">
          <cell r="B12">
            <v>5</v>
          </cell>
          <cell r="D12">
            <v>100</v>
          </cell>
          <cell r="F12">
            <v>200</v>
          </cell>
        </row>
        <row r="13">
          <cell r="B13">
            <v>6</v>
          </cell>
          <cell r="D13">
            <v>0</v>
          </cell>
          <cell r="F13">
            <v>200</v>
          </cell>
        </row>
        <row r="14">
          <cell r="B14">
            <v>7</v>
          </cell>
          <cell r="D14">
            <v>0</v>
          </cell>
          <cell r="F14">
            <v>200</v>
          </cell>
          <cell r="K14">
            <v>0</v>
          </cell>
        </row>
        <row r="15">
          <cell r="B15">
            <v>4</v>
          </cell>
          <cell r="D15">
            <v>0</v>
          </cell>
          <cell r="F15">
            <v>200</v>
          </cell>
          <cell r="K15">
            <v>0</v>
          </cell>
        </row>
        <row r="16">
          <cell r="B16">
            <v>5</v>
          </cell>
          <cell r="D16">
            <v>0</v>
          </cell>
          <cell r="F16">
            <v>200</v>
          </cell>
        </row>
        <row r="17">
          <cell r="B17">
            <v>6</v>
          </cell>
          <cell r="D17">
            <v>0</v>
          </cell>
          <cell r="F17">
            <v>200</v>
          </cell>
        </row>
        <row r="18">
          <cell r="B18">
            <v>7</v>
          </cell>
          <cell r="D18">
            <v>100</v>
          </cell>
          <cell r="F18">
            <v>200</v>
          </cell>
          <cell r="K18">
            <v>400</v>
          </cell>
        </row>
        <row r="19">
          <cell r="B19">
            <v>5</v>
          </cell>
          <cell r="D19">
            <v>0</v>
          </cell>
          <cell r="F19">
            <v>200</v>
          </cell>
          <cell r="K19">
            <v>180</v>
          </cell>
        </row>
        <row r="20">
          <cell r="B20">
            <v>6</v>
          </cell>
          <cell r="D20">
            <v>200</v>
          </cell>
          <cell r="F20">
            <v>200</v>
          </cell>
        </row>
        <row r="21">
          <cell r="B21">
            <v>7</v>
          </cell>
          <cell r="D21">
            <v>0</v>
          </cell>
          <cell r="F21">
            <v>200</v>
          </cell>
        </row>
        <row r="22">
          <cell r="B22">
            <v>4</v>
          </cell>
          <cell r="D22">
            <v>0</v>
          </cell>
          <cell r="F22">
            <v>200</v>
          </cell>
        </row>
        <row r="23">
          <cell r="B23">
            <v>6</v>
          </cell>
          <cell r="D23">
            <v>200</v>
          </cell>
          <cell r="F23">
            <v>200</v>
          </cell>
        </row>
        <row r="24">
          <cell r="B24">
            <v>7</v>
          </cell>
          <cell r="D24">
            <v>80</v>
          </cell>
          <cell r="F2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1"/>
  <sheetViews>
    <sheetView tabSelected="1" workbookViewId="0">
      <selection activeCell="B40" sqref="B40"/>
    </sheetView>
  </sheetViews>
  <sheetFormatPr defaultRowHeight="15"/>
  <cols>
    <col min="1" max="1" width="25.7109375" style="3" customWidth="1"/>
    <col min="2" max="2" width="21.7109375" style="3" customWidth="1"/>
    <col min="3" max="3" width="14.140625" style="3" customWidth="1"/>
    <col min="4" max="4" width="17.7109375" style="3" customWidth="1"/>
    <col min="5" max="6" width="14.140625" style="3" customWidth="1"/>
    <col min="7" max="7" width="22.85546875" style="3" customWidth="1"/>
    <col min="8" max="8" width="14.140625" style="3" customWidth="1"/>
    <col min="9" max="9" width="16" style="3" customWidth="1"/>
    <col min="10" max="10" width="14.42578125" style="3" customWidth="1"/>
    <col min="11" max="11" width="21.42578125" style="3" customWidth="1"/>
    <col min="12" max="16384" width="9.140625" style="3"/>
  </cols>
  <sheetData>
    <row r="1" spans="1:12">
      <c r="A1" s="2" t="s">
        <v>9</v>
      </c>
    </row>
    <row r="3" spans="1:12">
      <c r="A3" s="2" t="s">
        <v>11</v>
      </c>
    </row>
    <row r="4" spans="1:12">
      <c r="A4" s="3" t="s">
        <v>23</v>
      </c>
    </row>
    <row r="5" spans="1:12">
      <c r="B5" s="4" t="s">
        <v>27</v>
      </c>
      <c r="C5" s="4" t="s">
        <v>18</v>
      </c>
      <c r="D5" s="4" t="s">
        <v>29</v>
      </c>
      <c r="E5" s="4" t="s">
        <v>19</v>
      </c>
      <c r="F5" s="4" t="s">
        <v>28</v>
      </c>
      <c r="G5" s="4" t="s">
        <v>21</v>
      </c>
      <c r="H5" s="4" t="s">
        <v>20</v>
      </c>
      <c r="I5" s="4" t="s">
        <v>30</v>
      </c>
    </row>
    <row r="6" spans="1:12">
      <c r="A6" s="5" t="s">
        <v>15</v>
      </c>
      <c r="B6" s="16">
        <v>5</v>
      </c>
      <c r="C6" s="16">
        <v>6</v>
      </c>
      <c r="D6" s="16">
        <v>5</v>
      </c>
      <c r="E6" s="16">
        <v>0.5</v>
      </c>
      <c r="F6" s="16">
        <v>0.7</v>
      </c>
      <c r="G6" s="16">
        <v>0.1</v>
      </c>
      <c r="H6" s="16">
        <v>0.1</v>
      </c>
      <c r="I6" s="16">
        <v>3</v>
      </c>
    </row>
    <row r="7" spans="1:12">
      <c r="A7" s="5" t="s">
        <v>16</v>
      </c>
      <c r="B7" s="16">
        <v>3</v>
      </c>
      <c r="C7" s="16">
        <v>5</v>
      </c>
      <c r="D7" s="16">
        <v>2</v>
      </c>
      <c r="E7" s="16">
        <v>0.5</v>
      </c>
      <c r="F7" s="16">
        <v>0.2</v>
      </c>
      <c r="G7" s="16">
        <v>0.1</v>
      </c>
      <c r="H7" s="16">
        <v>0.2</v>
      </c>
      <c r="I7" s="16">
        <v>5</v>
      </c>
    </row>
    <row r="8" spans="1:12">
      <c r="A8" s="5" t="s">
        <v>17</v>
      </c>
      <c r="B8" s="16">
        <v>1</v>
      </c>
      <c r="C8" s="16">
        <v>3</v>
      </c>
      <c r="D8" s="16">
        <v>0</v>
      </c>
      <c r="E8" s="16">
        <v>0.3</v>
      </c>
      <c r="F8" s="16">
        <v>0</v>
      </c>
      <c r="G8" s="16">
        <v>0</v>
      </c>
      <c r="H8" s="16">
        <v>0.3</v>
      </c>
      <c r="I8" s="16">
        <v>4</v>
      </c>
      <c r="K8" s="6"/>
      <c r="L8" s="6"/>
    </row>
    <row r="9" spans="1:12">
      <c r="A9" s="5" t="s">
        <v>12</v>
      </c>
      <c r="B9" s="16">
        <v>6</v>
      </c>
      <c r="C9" s="16">
        <v>1</v>
      </c>
      <c r="D9" s="16">
        <v>4</v>
      </c>
      <c r="E9" s="16">
        <v>0.1</v>
      </c>
      <c r="F9" s="16">
        <v>0.9</v>
      </c>
      <c r="G9" s="16">
        <v>0.6</v>
      </c>
      <c r="H9" s="16">
        <v>0.1</v>
      </c>
      <c r="I9" s="16">
        <v>3</v>
      </c>
      <c r="K9" s="6"/>
      <c r="L9" s="6"/>
    </row>
    <row r="10" spans="1:12">
      <c r="A10" s="5" t="s">
        <v>13</v>
      </c>
      <c r="B10" s="16">
        <v>4</v>
      </c>
      <c r="C10" s="16">
        <v>1</v>
      </c>
      <c r="D10" s="16">
        <v>2</v>
      </c>
      <c r="E10" s="16">
        <v>0.1</v>
      </c>
      <c r="F10" s="16">
        <v>0.1</v>
      </c>
      <c r="G10" s="16">
        <v>1.3</v>
      </c>
      <c r="H10" s="16">
        <v>0.2</v>
      </c>
      <c r="I10" s="16">
        <v>5</v>
      </c>
      <c r="K10" s="6"/>
      <c r="L10" s="6"/>
    </row>
    <row r="11" spans="1:12">
      <c r="A11" s="5" t="s">
        <v>14</v>
      </c>
      <c r="B11" s="16">
        <v>2</v>
      </c>
      <c r="C11" s="16">
        <v>1</v>
      </c>
      <c r="D11" s="16">
        <v>0</v>
      </c>
      <c r="E11" s="16">
        <v>0</v>
      </c>
      <c r="F11" s="16">
        <v>0</v>
      </c>
      <c r="G11" s="16">
        <v>0.4</v>
      </c>
      <c r="H11" s="16">
        <v>0.3</v>
      </c>
      <c r="I11" s="16">
        <v>4</v>
      </c>
      <c r="K11" s="6"/>
      <c r="L11" s="6"/>
    </row>
    <row r="12" spans="1:12">
      <c r="A12" s="5" t="s">
        <v>24</v>
      </c>
      <c r="B12" s="10">
        <f t="shared" ref="B12:I12" si="0">SUM(B6:B11)</f>
        <v>21</v>
      </c>
      <c r="C12" s="10">
        <f t="shared" si="0"/>
        <v>17</v>
      </c>
      <c r="D12" s="10">
        <f t="shared" si="0"/>
        <v>13</v>
      </c>
      <c r="E12" s="10">
        <f t="shared" si="0"/>
        <v>1.5000000000000002</v>
      </c>
      <c r="F12" s="10">
        <f t="shared" si="0"/>
        <v>1.9</v>
      </c>
      <c r="G12" s="10">
        <f t="shared" si="0"/>
        <v>2.5</v>
      </c>
      <c r="H12" s="10">
        <f t="shared" si="0"/>
        <v>1.2000000000000002</v>
      </c>
      <c r="I12" s="10">
        <f t="shared" si="0"/>
        <v>24</v>
      </c>
      <c r="K12" s="6"/>
      <c r="L12" s="6"/>
    </row>
    <row r="13" spans="1:12">
      <c r="B13" s="10"/>
      <c r="C13" s="10"/>
      <c r="D13" s="10"/>
      <c r="E13" s="10"/>
      <c r="F13" s="10"/>
      <c r="G13" s="10"/>
      <c r="H13" s="10"/>
      <c r="I13" s="10"/>
      <c r="K13" s="6"/>
      <c r="L13" s="6"/>
    </row>
    <row r="14" spans="1:12">
      <c r="A14" s="3" t="s">
        <v>22</v>
      </c>
      <c r="B14" s="17">
        <v>140</v>
      </c>
      <c r="C14" s="17">
        <v>100</v>
      </c>
      <c r="D14" s="17">
        <v>80</v>
      </c>
      <c r="E14" s="17">
        <v>9</v>
      </c>
      <c r="F14" s="17">
        <v>13</v>
      </c>
      <c r="G14" s="17">
        <v>15</v>
      </c>
      <c r="H14" s="17">
        <v>8</v>
      </c>
      <c r="I14" s="17">
        <v>140</v>
      </c>
    </row>
    <row r="15" spans="1:12">
      <c r="A15" s="3" t="s">
        <v>25</v>
      </c>
      <c r="B15" s="18">
        <f t="shared" ref="B15:I15" si="1">B14/B12</f>
        <v>6.666666666666667</v>
      </c>
      <c r="C15" s="18">
        <f t="shared" si="1"/>
        <v>5.882352941176471</v>
      </c>
      <c r="D15" s="18">
        <f t="shared" si="1"/>
        <v>6.1538461538461542</v>
      </c>
      <c r="E15" s="18">
        <f t="shared" si="1"/>
        <v>5.9999999999999991</v>
      </c>
      <c r="F15" s="18">
        <f t="shared" si="1"/>
        <v>6.8421052631578947</v>
      </c>
      <c r="G15" s="18">
        <f t="shared" si="1"/>
        <v>6</v>
      </c>
      <c r="H15" s="18">
        <f t="shared" si="1"/>
        <v>6.6666666666666661</v>
      </c>
      <c r="I15" s="18">
        <f t="shared" si="1"/>
        <v>5.833333333333333</v>
      </c>
    </row>
    <row r="16" spans="1:12">
      <c r="B16" s="7"/>
      <c r="C16" s="7"/>
      <c r="D16" s="7"/>
      <c r="E16" s="7"/>
      <c r="F16" s="7"/>
      <c r="G16" s="7"/>
      <c r="H16" s="7"/>
      <c r="I16" s="7"/>
    </row>
    <row r="17" spans="1:9">
      <c r="A17" s="2" t="s">
        <v>0</v>
      </c>
      <c r="B17" s="10"/>
      <c r="C17" s="10"/>
      <c r="D17" s="10"/>
      <c r="E17" s="10"/>
      <c r="F17" s="10"/>
      <c r="G17" s="10"/>
      <c r="H17" s="10"/>
      <c r="I17" s="10"/>
    </row>
    <row r="18" spans="1:9">
      <c r="B18" s="11" t="s">
        <v>27</v>
      </c>
      <c r="C18" s="11" t="s">
        <v>18</v>
      </c>
      <c r="D18" s="4" t="s">
        <v>29</v>
      </c>
      <c r="E18" s="4" t="s">
        <v>19</v>
      </c>
      <c r="F18" s="4" t="s">
        <v>28</v>
      </c>
      <c r="G18" s="4" t="s">
        <v>21</v>
      </c>
      <c r="H18" s="4" t="s">
        <v>20</v>
      </c>
      <c r="I18" s="4" t="s">
        <v>30</v>
      </c>
    </row>
    <row r="19" spans="1:9">
      <c r="A19" s="3" t="s">
        <v>10</v>
      </c>
      <c r="B19" s="19">
        <v>0</v>
      </c>
      <c r="C19" s="19">
        <v>1</v>
      </c>
      <c r="D19" s="19">
        <v>8</v>
      </c>
      <c r="E19" s="19">
        <v>1</v>
      </c>
      <c r="F19" s="19">
        <v>1</v>
      </c>
      <c r="G19" s="19">
        <v>0</v>
      </c>
      <c r="H19" s="19">
        <v>0</v>
      </c>
      <c r="I19" s="19">
        <v>9</v>
      </c>
    </row>
    <row r="20" spans="1:9">
      <c r="B20" s="7"/>
      <c r="C20" s="7"/>
      <c r="D20" s="7"/>
      <c r="E20" s="7"/>
      <c r="F20" s="7"/>
      <c r="G20" s="7"/>
      <c r="H20" s="7"/>
      <c r="I20" s="7"/>
    </row>
    <row r="21" spans="1:9">
      <c r="A21" s="2" t="s">
        <v>6</v>
      </c>
      <c r="B21" s="10"/>
      <c r="C21" s="10"/>
      <c r="D21" s="10"/>
      <c r="E21" s="10"/>
      <c r="F21" s="10"/>
      <c r="G21" s="12"/>
      <c r="H21" s="10"/>
      <c r="I21" s="10"/>
    </row>
    <row r="22" spans="1:9">
      <c r="B22" s="11" t="s">
        <v>8</v>
      </c>
      <c r="C22" s="11"/>
      <c r="D22" s="11" t="s">
        <v>7</v>
      </c>
      <c r="E22" s="10"/>
      <c r="F22" s="10"/>
      <c r="G22" s="11" t="s">
        <v>8</v>
      </c>
      <c r="H22" s="11"/>
      <c r="I22" s="11" t="s">
        <v>7</v>
      </c>
    </row>
    <row r="23" spans="1:9">
      <c r="A23" s="5" t="s">
        <v>15</v>
      </c>
      <c r="B23" s="7">
        <f t="shared" ref="B23:B28" si="2">SUMPRODUCT(B6:I6,Number_ads_purchased)</f>
        <v>74.2</v>
      </c>
      <c r="C23" s="14" t="s">
        <v>2</v>
      </c>
      <c r="D23" s="16">
        <v>60</v>
      </c>
      <c r="E23" s="10"/>
      <c r="F23" s="10" t="s">
        <v>31</v>
      </c>
      <c r="G23" s="7">
        <f>SUM(B23:B25)</f>
        <v>180.2</v>
      </c>
      <c r="H23" s="14" t="s">
        <v>2</v>
      </c>
      <c r="I23" s="16">
        <v>180</v>
      </c>
    </row>
    <row r="24" spans="1:9">
      <c r="A24" s="5" t="s">
        <v>16</v>
      </c>
      <c r="B24" s="7">
        <f t="shared" si="2"/>
        <v>66.7</v>
      </c>
      <c r="C24" s="14" t="s">
        <v>2</v>
      </c>
      <c r="D24" s="16">
        <v>60</v>
      </c>
      <c r="E24" s="10"/>
      <c r="F24" s="10" t="s">
        <v>32</v>
      </c>
      <c r="G24" s="7">
        <f>SUM(B26:B28)</f>
        <v>160.19999999999999</v>
      </c>
      <c r="H24" s="14" t="s">
        <v>2</v>
      </c>
      <c r="I24" s="16">
        <v>160</v>
      </c>
    </row>
    <row r="25" spans="1:9">
      <c r="A25" s="5" t="s">
        <v>17</v>
      </c>
      <c r="B25" s="7">
        <f t="shared" si="2"/>
        <v>39.299999999999997</v>
      </c>
      <c r="C25" s="14" t="s">
        <v>2</v>
      </c>
      <c r="D25" s="16">
        <v>28</v>
      </c>
      <c r="E25" s="10"/>
      <c r="F25" s="10"/>
      <c r="G25" s="13"/>
      <c r="H25" s="13"/>
      <c r="I25" s="10"/>
    </row>
    <row r="26" spans="1:9">
      <c r="A26" s="5" t="s">
        <v>12</v>
      </c>
      <c r="B26" s="7">
        <f t="shared" si="2"/>
        <v>61</v>
      </c>
      <c r="C26" s="14" t="s">
        <v>2</v>
      </c>
      <c r="D26" s="16">
        <v>60</v>
      </c>
      <c r="E26" s="10"/>
      <c r="F26" s="10"/>
      <c r="G26" s="10"/>
      <c r="H26" s="10"/>
      <c r="I26" s="10"/>
    </row>
    <row r="27" spans="1:9">
      <c r="A27" s="5" t="s">
        <v>13</v>
      </c>
      <c r="B27" s="7">
        <f t="shared" si="2"/>
        <v>62.2</v>
      </c>
      <c r="C27" s="14" t="s">
        <v>2</v>
      </c>
      <c r="D27" s="16">
        <v>60</v>
      </c>
      <c r="E27" s="10"/>
      <c r="F27" s="10"/>
      <c r="G27" s="10"/>
      <c r="H27" s="10"/>
      <c r="I27" s="10"/>
    </row>
    <row r="28" spans="1:9">
      <c r="A28" s="5" t="s">
        <v>14</v>
      </c>
      <c r="B28" s="7">
        <f t="shared" si="2"/>
        <v>37</v>
      </c>
      <c r="C28" s="14" t="s">
        <v>2</v>
      </c>
      <c r="D28" s="16">
        <v>28</v>
      </c>
      <c r="E28" s="10"/>
      <c r="F28" s="10"/>
      <c r="G28" s="10"/>
      <c r="H28" s="10"/>
      <c r="I28" s="10"/>
    </row>
    <row r="29" spans="1:9">
      <c r="B29" s="10"/>
      <c r="C29" s="10"/>
      <c r="D29" s="10"/>
      <c r="E29" s="10"/>
      <c r="F29" s="10"/>
      <c r="G29" s="10"/>
      <c r="H29" s="10"/>
      <c r="I29" s="10"/>
    </row>
    <row r="30" spans="1:9">
      <c r="A30" s="2" t="s">
        <v>26</v>
      </c>
      <c r="B30" s="10"/>
      <c r="C30" s="10"/>
      <c r="D30" s="10"/>
      <c r="E30" s="10"/>
      <c r="F30" s="10"/>
      <c r="G30" s="10"/>
      <c r="H30" s="10"/>
      <c r="I30" s="10"/>
    </row>
    <row r="31" spans="1:9">
      <c r="A31" s="8" t="s">
        <v>1</v>
      </c>
      <c r="B31" s="20">
        <f>SUMPRODUCT(B14:I14,Number_ads_purchased)</f>
        <v>2022</v>
      </c>
      <c r="C31" s="15"/>
      <c r="D31" s="9"/>
      <c r="E31" s="10"/>
      <c r="F31" s="10"/>
      <c r="G31" s="10"/>
      <c r="H31" s="10"/>
      <c r="I31" s="10"/>
    </row>
  </sheetData>
  <phoneticPr fontId="2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Normal="100" workbookViewId="0">
      <selection activeCell="B40" sqref="B40"/>
    </sheetView>
  </sheetViews>
  <sheetFormatPr defaultRowHeight="15"/>
  <cols>
    <col min="1" max="1" width="25.42578125" style="21" customWidth="1"/>
    <col min="2" max="6" width="15.7109375" style="21" customWidth="1"/>
    <col min="7" max="7" width="14.140625" style="21" customWidth="1"/>
    <col min="8" max="8" width="25.5703125" style="21" customWidth="1"/>
    <col min="9" max="16384" width="9.140625" style="21"/>
  </cols>
  <sheetData>
    <row r="1" spans="1:9">
      <c r="A1" s="26" t="s">
        <v>55</v>
      </c>
      <c r="H1" s="26"/>
    </row>
    <row r="2" spans="1:9">
      <c r="H2" s="36"/>
      <c r="I2" s="36"/>
    </row>
    <row r="3" spans="1:9">
      <c r="A3" s="26" t="s">
        <v>11</v>
      </c>
      <c r="H3" s="36"/>
      <c r="I3" s="36"/>
    </row>
    <row r="4" spans="1:9">
      <c r="A4" s="21" t="s">
        <v>54</v>
      </c>
      <c r="B4" s="37">
        <v>100000</v>
      </c>
      <c r="C4" s="23"/>
      <c r="D4" s="23"/>
      <c r="E4" s="23"/>
      <c r="F4" s="23"/>
      <c r="H4" s="36"/>
      <c r="I4" s="36"/>
    </row>
    <row r="5" spans="1:9">
      <c r="A5" s="21" t="s">
        <v>41</v>
      </c>
      <c r="B5" s="37">
        <v>150000</v>
      </c>
      <c r="C5" s="23"/>
      <c r="D5" s="23"/>
      <c r="E5" s="23"/>
      <c r="F5" s="23"/>
      <c r="H5" s="36"/>
      <c r="I5" s="36"/>
    </row>
    <row r="6" spans="1:9">
      <c r="A6" s="21" t="s">
        <v>53</v>
      </c>
      <c r="B6" s="46">
        <v>2.9999999329447746E-2</v>
      </c>
      <c r="C6" s="23"/>
      <c r="D6" s="23"/>
      <c r="E6" s="23"/>
      <c r="F6" s="23"/>
    </row>
    <row r="7" spans="1:9">
      <c r="B7" s="23"/>
      <c r="C7" s="23"/>
      <c r="D7" s="23"/>
      <c r="E7" s="23"/>
      <c r="F7" s="23"/>
    </row>
    <row r="8" spans="1:9">
      <c r="A8" s="21" t="s">
        <v>52</v>
      </c>
      <c r="B8" s="23"/>
      <c r="C8" s="23"/>
      <c r="D8" s="23"/>
      <c r="E8" s="23"/>
      <c r="F8" s="23"/>
      <c r="H8" s="36"/>
    </row>
    <row r="9" spans="1:9">
      <c r="B9" s="23" t="s">
        <v>50</v>
      </c>
      <c r="C9" s="23"/>
      <c r="D9" s="23"/>
      <c r="E9" s="23"/>
      <c r="F9" s="23"/>
    </row>
    <row r="10" spans="1:9">
      <c r="A10" s="29" t="s">
        <v>39</v>
      </c>
      <c r="B10" s="33" t="s">
        <v>49</v>
      </c>
      <c r="C10" s="33" t="s">
        <v>48</v>
      </c>
      <c r="D10" s="33" t="s">
        <v>47</v>
      </c>
      <c r="E10" s="33" t="s">
        <v>46</v>
      </c>
      <c r="F10" s="33" t="s">
        <v>45</v>
      </c>
    </row>
    <row r="11" spans="1:9">
      <c r="A11" s="29">
        <v>1</v>
      </c>
      <c r="B11" s="35">
        <v>1</v>
      </c>
      <c r="C11" s="35">
        <v>0</v>
      </c>
      <c r="D11" s="35">
        <v>1</v>
      </c>
      <c r="E11" s="35">
        <v>0</v>
      </c>
      <c r="F11" s="35">
        <v>0</v>
      </c>
    </row>
    <row r="12" spans="1:9">
      <c r="A12" s="29">
        <v>2</v>
      </c>
      <c r="B12" s="35">
        <v>0</v>
      </c>
      <c r="C12" s="35">
        <v>1</v>
      </c>
      <c r="D12" s="35">
        <v>0</v>
      </c>
      <c r="E12" s="35">
        <v>0</v>
      </c>
      <c r="F12" s="35">
        <v>0</v>
      </c>
    </row>
    <row r="13" spans="1:9">
      <c r="A13" s="29">
        <v>3</v>
      </c>
      <c r="B13" s="35">
        <v>0</v>
      </c>
      <c r="C13" s="35">
        <v>0</v>
      </c>
      <c r="D13" s="35">
        <v>0</v>
      </c>
      <c r="E13" s="35">
        <v>0</v>
      </c>
      <c r="F13" s="35">
        <v>1</v>
      </c>
    </row>
    <row r="14" spans="1:9">
      <c r="A14" s="29">
        <v>4</v>
      </c>
      <c r="B14" s="35">
        <v>0</v>
      </c>
      <c r="C14" s="35">
        <v>0</v>
      </c>
      <c r="D14" s="35">
        <v>0</v>
      </c>
      <c r="E14" s="35">
        <v>1</v>
      </c>
      <c r="F14" s="35">
        <v>0</v>
      </c>
    </row>
    <row r="15" spans="1:9">
      <c r="B15" s="23"/>
      <c r="C15" s="23"/>
      <c r="D15" s="23"/>
      <c r="E15" s="23"/>
      <c r="F15" s="23"/>
    </row>
    <row r="16" spans="1:9">
      <c r="A16" s="21" t="s">
        <v>51</v>
      </c>
      <c r="B16" s="23"/>
      <c r="C16" s="23"/>
      <c r="D16" s="23"/>
      <c r="E16" s="23"/>
      <c r="F16" s="23"/>
    </row>
    <row r="17" spans="1:7">
      <c r="B17" s="23" t="s">
        <v>50</v>
      </c>
      <c r="C17" s="23"/>
      <c r="D17" s="23"/>
      <c r="E17" s="23"/>
      <c r="F17" s="23"/>
    </row>
    <row r="18" spans="1:7">
      <c r="A18" s="29" t="s">
        <v>39</v>
      </c>
      <c r="B18" s="33" t="s">
        <v>49</v>
      </c>
      <c r="C18" s="33" t="s">
        <v>48</v>
      </c>
      <c r="D18" s="33" t="s">
        <v>47</v>
      </c>
      <c r="E18" s="33" t="s">
        <v>46</v>
      </c>
      <c r="F18" s="33" t="s">
        <v>45</v>
      </c>
    </row>
    <row r="19" spans="1:7">
      <c r="A19" s="29">
        <v>1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</row>
    <row r="20" spans="1:7">
      <c r="A20" s="29">
        <v>2</v>
      </c>
      <c r="B20" s="35">
        <v>0.5</v>
      </c>
      <c r="C20" s="35">
        <v>0</v>
      </c>
      <c r="D20" s="35">
        <v>1.2</v>
      </c>
      <c r="E20" s="35">
        <v>0</v>
      </c>
      <c r="F20" s="35">
        <v>0</v>
      </c>
    </row>
    <row r="21" spans="1:7">
      <c r="A21" s="29">
        <v>3</v>
      </c>
      <c r="B21" s="35">
        <v>1</v>
      </c>
      <c r="C21" s="35">
        <v>0.5</v>
      </c>
      <c r="D21" s="35">
        <v>0</v>
      </c>
      <c r="E21" s="35">
        <v>0</v>
      </c>
      <c r="F21" s="35">
        <v>0</v>
      </c>
    </row>
    <row r="22" spans="1:7">
      <c r="A22" s="29">
        <v>4</v>
      </c>
      <c r="B22" s="35">
        <v>0</v>
      </c>
      <c r="C22" s="35">
        <v>1</v>
      </c>
      <c r="D22" s="35">
        <v>0</v>
      </c>
      <c r="E22" s="35">
        <v>0</v>
      </c>
      <c r="F22" s="35">
        <v>1.5</v>
      </c>
    </row>
    <row r="23" spans="1:7">
      <c r="A23" s="29">
        <v>5</v>
      </c>
      <c r="B23" s="35">
        <v>0</v>
      </c>
      <c r="C23" s="35">
        <v>0</v>
      </c>
      <c r="D23" s="35">
        <v>0</v>
      </c>
      <c r="E23" s="35">
        <v>1.9</v>
      </c>
      <c r="F23" s="35">
        <v>0</v>
      </c>
    </row>
    <row r="24" spans="1:7">
      <c r="B24" s="23"/>
      <c r="C24" s="23"/>
      <c r="D24" s="23"/>
      <c r="E24" s="23"/>
      <c r="F24" s="23"/>
    </row>
    <row r="25" spans="1:7">
      <c r="A25" s="26" t="s">
        <v>44</v>
      </c>
      <c r="B25" s="23"/>
      <c r="C25" s="23"/>
      <c r="D25" s="23"/>
      <c r="E25" s="23"/>
      <c r="F25" s="23"/>
    </row>
    <row r="26" spans="1:7">
      <c r="A26" s="21" t="s">
        <v>43</v>
      </c>
      <c r="B26" s="34">
        <v>100000</v>
      </c>
      <c r="C26" s="34">
        <v>50000</v>
      </c>
      <c r="D26" s="34">
        <v>0</v>
      </c>
      <c r="E26" s="34">
        <v>150000</v>
      </c>
      <c r="F26" s="34">
        <v>125000.00000043304</v>
      </c>
    </row>
    <row r="27" spans="1:7">
      <c r="B27" s="33" t="s">
        <v>42</v>
      </c>
      <c r="C27" s="33" t="s">
        <v>42</v>
      </c>
      <c r="D27" s="33" t="s">
        <v>42</v>
      </c>
      <c r="E27" s="33" t="s">
        <v>42</v>
      </c>
      <c r="F27" s="33" t="s">
        <v>42</v>
      </c>
    </row>
    <row r="28" spans="1:7">
      <c r="A28" s="21" t="s">
        <v>41</v>
      </c>
      <c r="B28" s="32">
        <f>$B$5</f>
        <v>150000</v>
      </c>
      <c r="C28" s="32">
        <f>$B$5</f>
        <v>150000</v>
      </c>
      <c r="D28" s="32">
        <f>$B$5</f>
        <v>150000</v>
      </c>
      <c r="E28" s="32">
        <f>$B$5</f>
        <v>150000</v>
      </c>
      <c r="F28" s="32">
        <f>$B$5</f>
        <v>150000</v>
      </c>
    </row>
    <row r="29" spans="1:7">
      <c r="B29" s="23"/>
      <c r="C29" s="23"/>
      <c r="D29" s="23"/>
      <c r="E29" s="23"/>
      <c r="F29" s="23"/>
    </row>
    <row r="30" spans="1:7">
      <c r="A30" s="26" t="s">
        <v>40</v>
      </c>
      <c r="B30" s="23"/>
      <c r="C30" s="23"/>
      <c r="D30" s="23"/>
      <c r="E30" s="23"/>
      <c r="F30" s="23"/>
    </row>
    <row r="31" spans="1:7" ht="30" customHeight="1">
      <c r="A31" s="29" t="s">
        <v>39</v>
      </c>
      <c r="B31" s="31" t="s">
        <v>38</v>
      </c>
      <c r="C31" s="31" t="s">
        <v>37</v>
      </c>
      <c r="D31" s="31" t="s">
        <v>36</v>
      </c>
      <c r="E31" s="31" t="s">
        <v>35</v>
      </c>
      <c r="F31" s="23"/>
    </row>
    <row r="32" spans="1:7">
      <c r="A32" s="29">
        <v>1</v>
      </c>
      <c r="B32" s="27">
        <f>B4</f>
        <v>100000</v>
      </c>
      <c r="C32" s="27">
        <f>SUMPRODUCT(B19:F19,Dollars_invested)</f>
        <v>0</v>
      </c>
      <c r="D32" s="27">
        <f>SUMPRODUCT(B11:F11,Dollars_invested)</f>
        <v>100000</v>
      </c>
      <c r="E32" s="27">
        <f>B32+C32-D32</f>
        <v>0</v>
      </c>
      <c r="F32" s="30" t="s">
        <v>2</v>
      </c>
      <c r="G32" s="21">
        <v>0</v>
      </c>
    </row>
    <row r="33" spans="1:7">
      <c r="A33" s="29">
        <v>2</v>
      </c>
      <c r="B33" s="27">
        <f>E32*(1+$B$6)</f>
        <v>0</v>
      </c>
      <c r="C33" s="27">
        <f>SUMPRODUCT(B20:F20,Dollars_invested)</f>
        <v>50000</v>
      </c>
      <c r="D33" s="27">
        <f>SUMPRODUCT(B12:F12,Dollars_invested)</f>
        <v>50000</v>
      </c>
      <c r="E33" s="27">
        <f>B33+C33-D33</f>
        <v>0</v>
      </c>
      <c r="F33" s="30" t="s">
        <v>2</v>
      </c>
      <c r="G33" s="21">
        <v>0</v>
      </c>
    </row>
    <row r="34" spans="1:7">
      <c r="A34" s="29">
        <v>3</v>
      </c>
      <c r="B34" s="27">
        <f>E33*(1+$B$6)</f>
        <v>0</v>
      </c>
      <c r="C34" s="27">
        <f>SUMPRODUCT(B21:F21,Dollars_invested)</f>
        <v>125000</v>
      </c>
      <c r="D34" s="27">
        <f>SUMPRODUCT(B13:F13,Dollars_invested)</f>
        <v>125000.00000043304</v>
      </c>
      <c r="E34" s="27">
        <f>B34+C34-D34</f>
        <v>-4.3303589336574078E-7</v>
      </c>
      <c r="F34" s="30" t="s">
        <v>2</v>
      </c>
      <c r="G34" s="21">
        <v>0</v>
      </c>
    </row>
    <row r="35" spans="1:7">
      <c r="A35" s="29">
        <v>4</v>
      </c>
      <c r="B35" s="27">
        <f>E34*(1+$B$6)</f>
        <v>-4.4602696987633981E-7</v>
      </c>
      <c r="C35" s="27">
        <f>SUMPRODUCT(B22:F22,Dollars_invested)</f>
        <v>237500.00000064954</v>
      </c>
      <c r="D35" s="27">
        <f>SUMPRODUCT(B14:F14,Dollars_invested)</f>
        <v>150000</v>
      </c>
      <c r="E35" s="27">
        <f>B35+C35-D35</f>
        <v>87500.000000203523</v>
      </c>
      <c r="F35" s="30" t="s">
        <v>2</v>
      </c>
      <c r="G35" s="21">
        <v>0</v>
      </c>
    </row>
    <row r="36" spans="1:7">
      <c r="A36" s="29">
        <v>5</v>
      </c>
      <c r="B36" s="28">
        <f>E35*(1+$B$6)</f>
        <v>90124.999941536313</v>
      </c>
      <c r="C36" s="27">
        <f>SUMPRODUCT(B23:F23,Dollars_invested)</f>
        <v>285000</v>
      </c>
      <c r="D36" s="23"/>
      <c r="E36" s="23"/>
      <c r="F36" s="23"/>
    </row>
    <row r="37" spans="1:7">
      <c r="B37" s="23"/>
      <c r="C37" s="23"/>
      <c r="D37" s="23"/>
      <c r="E37" s="23"/>
      <c r="F37" s="23"/>
    </row>
    <row r="38" spans="1:7">
      <c r="A38" s="26" t="s">
        <v>34</v>
      </c>
      <c r="B38" s="25">
        <f>SUM(B36:C36)</f>
        <v>375124.99994153634</v>
      </c>
      <c r="C38" s="23"/>
      <c r="D38" s="24"/>
      <c r="E38" s="23"/>
      <c r="F38" s="23"/>
    </row>
    <row r="40" spans="1:7">
      <c r="A40" s="21" t="s">
        <v>33</v>
      </c>
      <c r="B40" s="22">
        <f>MAX(Cash_after_investing)</f>
        <v>87500.000000203523</v>
      </c>
    </row>
  </sheetData>
  <printOptions headings="1" gridLines="1"/>
  <pageMargins left="0.75" right="0.75" top="1" bottom="1" header="0.5" footer="0.5"/>
  <pageSetup scale="54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/>
  <sheetData>
    <row r="1" spans="1:2">
      <c r="A1">
        <v>1</v>
      </c>
    </row>
    <row r="2" spans="1:2">
      <c r="A2" t="s">
        <v>56</v>
      </c>
    </row>
    <row r="3" spans="1:2">
      <c r="A3">
        <v>1</v>
      </c>
    </row>
    <row r="4" spans="1:2">
      <c r="A4">
        <v>0.01</v>
      </c>
    </row>
    <row r="5" spans="1:2">
      <c r="A5">
        <v>0.2</v>
      </c>
    </row>
    <row r="6" spans="1:2">
      <c r="A6">
        <v>5.0000000000000001E-3</v>
      </c>
    </row>
    <row r="8" spans="1:2">
      <c r="A8" s="1"/>
      <c r="B8" s="1"/>
    </row>
    <row r="9" spans="1:2">
      <c r="A9" t="s">
        <v>57</v>
      </c>
    </row>
    <row r="10" spans="1:2">
      <c r="A10" t="s">
        <v>58</v>
      </c>
    </row>
    <row r="15" spans="1:2">
      <c r="B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5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workbookViewId="0">
      <selection activeCell="F4" sqref="F4"/>
    </sheetView>
  </sheetViews>
  <sheetFormatPr defaultRowHeight="15"/>
  <sheetData>
    <row r="1" spans="1:11">
      <c r="A1" s="38" t="s">
        <v>59</v>
      </c>
      <c r="K1" s="41" t="str">
        <f>CONCATENATE("Sensitivity of ",$K$4," to ","Interest reate on cash")</f>
        <v>Sensitivity of Maximum_in_money_market to Interest reate on cash</v>
      </c>
    </row>
    <row r="3" spans="1:11">
      <c r="A3" t="s">
        <v>60</v>
      </c>
      <c r="K3" t="s">
        <v>62</v>
      </c>
    </row>
    <row r="4" spans="1:11" ht="144.75">
      <c r="B4" s="39" t="s">
        <v>61</v>
      </c>
      <c r="J4" s="41">
        <f>MATCH($K$4,OutputAddresses,0)</f>
        <v>1</v>
      </c>
      <c r="K4" s="40" t="s">
        <v>61</v>
      </c>
    </row>
    <row r="5" spans="1:11">
      <c r="A5" s="45">
        <v>9.9999997764825821E-3</v>
      </c>
      <c r="B5" s="42">
        <v>87500</v>
      </c>
      <c r="K5">
        <f>INDEX(OutputValues,1,$J$4)</f>
        <v>87500</v>
      </c>
    </row>
    <row r="6" spans="1:11">
      <c r="A6" s="45">
        <v>1.4999999664723873E-2</v>
      </c>
      <c r="B6" s="43">
        <v>87500</v>
      </c>
      <c r="K6">
        <f>INDEX(OutputValues,2,$J$4)</f>
        <v>87500</v>
      </c>
    </row>
    <row r="7" spans="1:11">
      <c r="A7" s="45">
        <v>1.9999999552965164E-2</v>
      </c>
      <c r="B7" s="43">
        <v>87500</v>
      </c>
      <c r="K7">
        <f>INDEX(OutputValues,3,$J$4)</f>
        <v>87500</v>
      </c>
    </row>
    <row r="8" spans="1:11">
      <c r="A8" s="45">
        <v>2.4999998509883881E-2</v>
      </c>
      <c r="B8" s="43">
        <v>87500</v>
      </c>
      <c r="K8">
        <f>INDEX(OutputValues,4,$J$4)</f>
        <v>87500</v>
      </c>
    </row>
    <row r="9" spans="1:11">
      <c r="A9" s="45">
        <v>2.9999999329447746E-2</v>
      </c>
      <c r="B9" s="43">
        <v>87500</v>
      </c>
      <c r="K9">
        <f>INDEX(OutputValues,5,$J$4)</f>
        <v>87500</v>
      </c>
    </row>
    <row r="10" spans="1:11">
      <c r="A10" s="45">
        <v>3.5000000149011612E-2</v>
      </c>
      <c r="B10" s="43">
        <v>87500</v>
      </c>
      <c r="K10">
        <f>INDEX(OutputValues,6,$J$4)</f>
        <v>87500</v>
      </c>
    </row>
    <row r="11" spans="1:11">
      <c r="A11" s="45">
        <v>3.9999999105930328E-2</v>
      </c>
      <c r="B11" s="43">
        <v>87500</v>
      </c>
      <c r="K11">
        <f>INDEX(OutputValues,7,$J$4)</f>
        <v>87500</v>
      </c>
    </row>
    <row r="12" spans="1:11">
      <c r="A12" s="45">
        <v>4.4999998062849045E-2</v>
      </c>
      <c r="B12" s="43">
        <v>87500</v>
      </c>
      <c r="K12">
        <f>INDEX(OutputValues,8,$J$4)</f>
        <v>87500</v>
      </c>
    </row>
    <row r="13" spans="1:11">
      <c r="A13" s="45">
        <v>4.9999997019767761E-2</v>
      </c>
      <c r="B13" s="43">
        <v>87500</v>
      </c>
      <c r="K13">
        <f>INDEX(OutputValues,9,$J$4)</f>
        <v>87500</v>
      </c>
    </row>
    <row r="14" spans="1:11">
      <c r="A14" s="45">
        <v>5.4999999701976776E-2</v>
      </c>
      <c r="B14" s="43">
        <v>87500</v>
      </c>
      <c r="K14">
        <f>INDEX(OutputValues,10,$J$4)</f>
        <v>87500</v>
      </c>
    </row>
    <row r="15" spans="1:11">
      <c r="A15" s="45">
        <v>5.9999998658895493E-2</v>
      </c>
      <c r="B15" s="43">
        <v>87500</v>
      </c>
      <c r="K15">
        <f>INDEX(OutputValues,11,$J$4)</f>
        <v>87500</v>
      </c>
    </row>
    <row r="16" spans="1:11">
      <c r="A16" s="45">
        <v>6.4999997615814209E-2</v>
      </c>
      <c r="B16" s="43">
        <v>87500</v>
      </c>
      <c r="K16">
        <f>INDEX(OutputValues,12,$J$4)</f>
        <v>87500</v>
      </c>
    </row>
    <row r="17" spans="1:11">
      <c r="A17" s="45">
        <v>7.0000000298023224E-2</v>
      </c>
      <c r="B17" s="43">
        <v>87500</v>
      </c>
      <c r="K17">
        <f>INDEX(OutputValues,13,$J$4)</f>
        <v>87500</v>
      </c>
    </row>
    <row r="18" spans="1:11">
      <c r="A18" s="45">
        <v>7.4999995529651642E-2</v>
      </c>
      <c r="B18" s="43">
        <v>87500</v>
      </c>
      <c r="K18">
        <f>INDEX(OutputValues,14,$J$4)</f>
        <v>87500</v>
      </c>
    </row>
    <row r="19" spans="1:11">
      <c r="A19" s="45">
        <v>7.9999998211860657E-2</v>
      </c>
      <c r="B19" s="43">
        <v>87500</v>
      </c>
      <c r="K19">
        <f>INDEX(OutputValues,15,$J$4)</f>
        <v>87500</v>
      </c>
    </row>
    <row r="20" spans="1:11">
      <c r="A20" s="45">
        <v>8.5000000894069672E-2</v>
      </c>
      <c r="B20" s="43">
        <v>87500</v>
      </c>
      <c r="K20">
        <f>INDEX(OutputValues,16,$J$4)</f>
        <v>87500</v>
      </c>
    </row>
    <row r="21" spans="1:11">
      <c r="A21" s="45">
        <v>8.999999612569809E-2</v>
      </c>
      <c r="B21" s="43">
        <v>87500</v>
      </c>
      <c r="K21">
        <f>INDEX(OutputValues,17,$J$4)</f>
        <v>87500</v>
      </c>
    </row>
    <row r="22" spans="1:11">
      <c r="A22" s="45">
        <v>9.4999998807907104E-2</v>
      </c>
      <c r="B22" s="43">
        <v>87500</v>
      </c>
      <c r="K22">
        <f>INDEX(OutputValues,18,$J$4)</f>
        <v>87500</v>
      </c>
    </row>
    <row r="23" spans="1:11">
      <c r="A23" s="45">
        <v>9.9999994039535522E-2</v>
      </c>
      <c r="B23" s="43">
        <v>87500</v>
      </c>
      <c r="K23">
        <f>INDEX(OutputValues,19,$J$4)</f>
        <v>87500</v>
      </c>
    </row>
    <row r="24" spans="1:11">
      <c r="A24" s="45">
        <v>0.10499999672174454</v>
      </c>
      <c r="B24" s="43">
        <v>87500</v>
      </c>
      <c r="K24">
        <f>INDEX(OutputValues,20,$J$4)</f>
        <v>87500</v>
      </c>
    </row>
    <row r="25" spans="1:11">
      <c r="A25" s="45">
        <v>0.10999999940395355</v>
      </c>
      <c r="B25" s="43">
        <v>87500</v>
      </c>
      <c r="K25">
        <f>INDEX(OutputValues,21,$J$4)</f>
        <v>87500</v>
      </c>
    </row>
    <row r="26" spans="1:11">
      <c r="A26" s="45">
        <v>0.11499999463558197</v>
      </c>
      <c r="B26" s="43">
        <v>87500</v>
      </c>
      <c r="K26">
        <f>INDEX(OutputValues,22,$J$4)</f>
        <v>87500</v>
      </c>
    </row>
    <row r="27" spans="1:11">
      <c r="A27" s="45">
        <v>0.11999999731779099</v>
      </c>
      <c r="B27" s="43">
        <v>87500</v>
      </c>
      <c r="K27">
        <f>INDEX(OutputValues,23,$J$4)</f>
        <v>87500</v>
      </c>
    </row>
    <row r="28" spans="1:11">
      <c r="A28" s="45">
        <v>0.125</v>
      </c>
      <c r="B28" s="43">
        <v>87500</v>
      </c>
      <c r="K28">
        <f>INDEX(OutputValues,24,$J$4)</f>
        <v>87500</v>
      </c>
    </row>
    <row r="29" spans="1:11">
      <c r="A29" s="45">
        <v>0.12999999523162842</v>
      </c>
      <c r="B29" s="43">
        <v>87500</v>
      </c>
      <c r="K29">
        <f>INDEX(OutputValues,25,$J$4)</f>
        <v>87500</v>
      </c>
    </row>
    <row r="30" spans="1:11">
      <c r="A30" s="45">
        <v>0.13499999046325684</v>
      </c>
      <c r="B30" s="43">
        <v>87500</v>
      </c>
      <c r="K30">
        <f>INDEX(OutputValues,26,$J$4)</f>
        <v>87500</v>
      </c>
    </row>
    <row r="31" spans="1:11">
      <c r="A31" s="45">
        <v>0.14000000059604645</v>
      </c>
      <c r="B31" s="43">
        <v>87500</v>
      </c>
      <c r="K31">
        <f>INDEX(OutputValues,27,$J$4)</f>
        <v>87500</v>
      </c>
    </row>
    <row r="32" spans="1:11">
      <c r="A32" s="45">
        <v>0.14499999582767487</v>
      </c>
      <c r="B32" s="43">
        <v>87500</v>
      </c>
      <c r="K32">
        <f>INDEX(OutputValues,28,$J$4)</f>
        <v>87500</v>
      </c>
    </row>
    <row r="33" spans="1:11">
      <c r="A33" s="45">
        <v>0.14999999105930328</v>
      </c>
      <c r="B33" s="43">
        <v>87500</v>
      </c>
      <c r="K33">
        <f>INDEX(OutputValues,29,$J$4)</f>
        <v>87500</v>
      </c>
    </row>
    <row r="34" spans="1:11">
      <c r="A34" s="45">
        <v>0.1550000011920929</v>
      </c>
      <c r="B34" s="43">
        <v>87500</v>
      </c>
      <c r="K34">
        <f>INDEX(OutputValues,30,$J$4)</f>
        <v>87500</v>
      </c>
    </row>
    <row r="35" spans="1:11">
      <c r="A35" s="45">
        <v>0.15999999642372131</v>
      </c>
      <c r="B35" s="43">
        <v>87500</v>
      </c>
      <c r="K35">
        <f>INDEX(OutputValues,31,$J$4)</f>
        <v>87500</v>
      </c>
    </row>
    <row r="36" spans="1:11">
      <c r="A36" s="45">
        <v>0.16499999165534973</v>
      </c>
      <c r="B36" s="43">
        <v>87500</v>
      </c>
      <c r="K36">
        <f>INDEX(OutputValues,32,$J$4)</f>
        <v>87500</v>
      </c>
    </row>
    <row r="37" spans="1:11">
      <c r="A37" s="45">
        <v>0.17000000178813934</v>
      </c>
      <c r="B37" s="43">
        <v>87686.57</v>
      </c>
      <c r="K37">
        <f>INDEX(OutputValues,33,$J$4)</f>
        <v>87686.57</v>
      </c>
    </row>
    <row r="38" spans="1:11">
      <c r="A38" s="45">
        <v>0.17499999701976776</v>
      </c>
      <c r="B38" s="43">
        <v>87962.96</v>
      </c>
      <c r="K38">
        <f>INDEX(OutputValues,34,$J$4)</f>
        <v>87962.96</v>
      </c>
    </row>
    <row r="39" spans="1:11">
      <c r="A39" s="45">
        <v>0.17999999225139618</v>
      </c>
      <c r="B39" s="43">
        <v>88235.29</v>
      </c>
      <c r="K39">
        <f>INDEX(OutputValues,35,$J$4)</f>
        <v>88235.29</v>
      </c>
    </row>
    <row r="40" spans="1:11">
      <c r="A40" s="45">
        <v>0.18500000238418579</v>
      </c>
      <c r="B40" s="43">
        <v>88503.65</v>
      </c>
      <c r="K40">
        <f>INDEX(OutputValues,36,$J$4)</f>
        <v>88503.65</v>
      </c>
    </row>
    <row r="41" spans="1:11">
      <c r="A41" s="45">
        <v>0.18999999761581421</v>
      </c>
      <c r="B41" s="43">
        <v>88768.12</v>
      </c>
      <c r="K41">
        <f>INDEX(OutputValues,37,$J$4)</f>
        <v>88768.12</v>
      </c>
    </row>
    <row r="42" spans="1:11">
      <c r="A42" s="45">
        <v>0.19499999284744263</v>
      </c>
      <c r="B42" s="43">
        <v>89028.78</v>
      </c>
      <c r="K42">
        <f>INDEX(OutputValues,38,$J$4)</f>
        <v>89028.78</v>
      </c>
    </row>
    <row r="43" spans="1:11">
      <c r="A43" s="45">
        <v>0.19999998807907104</v>
      </c>
      <c r="B43" s="44">
        <v>89285.71</v>
      </c>
      <c r="K43">
        <f>INDEX(OutputValues,39,$J$4)</f>
        <v>89285.71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Normal="100" workbookViewId="0">
      <selection activeCell="D8" sqref="D8"/>
    </sheetView>
  </sheetViews>
  <sheetFormatPr defaultRowHeight="15"/>
  <cols>
    <col min="1" max="1" width="25.42578125" style="21" customWidth="1"/>
    <col min="2" max="6" width="15.7109375" style="21" customWidth="1"/>
    <col min="7" max="7" width="14.140625" style="21" customWidth="1"/>
    <col min="8" max="8" width="14.85546875" style="21" customWidth="1"/>
    <col min="9" max="16384" width="9.140625" style="21"/>
  </cols>
  <sheetData>
    <row r="1" spans="1:9">
      <c r="A1" s="26" t="s">
        <v>55</v>
      </c>
      <c r="H1" s="26"/>
    </row>
    <row r="2" spans="1:9">
      <c r="H2" s="36"/>
      <c r="I2" s="36"/>
    </row>
    <row r="3" spans="1:9">
      <c r="A3" s="26" t="s">
        <v>11</v>
      </c>
      <c r="H3" s="36"/>
      <c r="I3" s="36"/>
    </row>
    <row r="4" spans="1:9">
      <c r="A4" s="21" t="s">
        <v>54</v>
      </c>
      <c r="B4" s="37">
        <v>100000</v>
      </c>
      <c r="C4" s="23"/>
      <c r="D4" s="23"/>
      <c r="E4" s="23"/>
      <c r="F4" s="23"/>
      <c r="H4" s="36"/>
      <c r="I4" s="36"/>
    </row>
    <row r="5" spans="1:9">
      <c r="A5" s="21" t="s">
        <v>41</v>
      </c>
      <c r="B5" s="37">
        <v>75000</v>
      </c>
      <c r="C5" s="23"/>
      <c r="D5" s="23"/>
      <c r="E5" s="23"/>
      <c r="F5" s="23"/>
      <c r="H5" s="36"/>
      <c r="I5" s="36"/>
    </row>
    <row r="6" spans="1:9">
      <c r="A6" s="21" t="s">
        <v>53</v>
      </c>
      <c r="B6" s="46">
        <v>2.9999999329447746E-2</v>
      </c>
      <c r="C6" s="23"/>
      <c r="D6" s="23"/>
      <c r="E6" s="23"/>
      <c r="F6" s="23"/>
    </row>
    <row r="7" spans="1:9">
      <c r="B7" s="23"/>
      <c r="C7" s="23"/>
      <c r="D7" s="23"/>
      <c r="E7" s="23"/>
      <c r="F7" s="23"/>
    </row>
    <row r="8" spans="1:9">
      <c r="A8" s="21" t="s">
        <v>52</v>
      </c>
      <c r="B8" s="23"/>
      <c r="C8" s="23"/>
      <c r="D8" s="23"/>
      <c r="E8" s="23"/>
      <c r="F8" s="23"/>
      <c r="H8" s="36"/>
    </row>
    <row r="9" spans="1:9">
      <c r="B9" s="23" t="s">
        <v>50</v>
      </c>
      <c r="C9" s="23"/>
      <c r="D9" s="23"/>
      <c r="E9" s="23"/>
      <c r="F9" s="23"/>
    </row>
    <row r="10" spans="1:9">
      <c r="A10" s="29" t="s">
        <v>39</v>
      </c>
      <c r="B10" s="33" t="s">
        <v>49</v>
      </c>
      <c r="C10" s="33" t="s">
        <v>48</v>
      </c>
      <c r="D10" s="33" t="s">
        <v>47</v>
      </c>
      <c r="E10" s="33" t="s">
        <v>46</v>
      </c>
      <c r="F10" s="33" t="s">
        <v>45</v>
      </c>
      <c r="G10" s="33" t="s">
        <v>63</v>
      </c>
      <c r="H10" s="33" t="s">
        <v>64</v>
      </c>
    </row>
    <row r="11" spans="1:9">
      <c r="A11" s="29">
        <v>1</v>
      </c>
      <c r="B11" s="35">
        <v>1</v>
      </c>
      <c r="C11" s="35">
        <v>0</v>
      </c>
      <c r="D11" s="35">
        <v>1</v>
      </c>
      <c r="E11" s="35">
        <v>0</v>
      </c>
      <c r="F11" s="35">
        <v>0</v>
      </c>
      <c r="G11" s="35">
        <v>0</v>
      </c>
      <c r="H11" s="35">
        <v>0</v>
      </c>
    </row>
    <row r="12" spans="1:9">
      <c r="A12" s="29">
        <v>2</v>
      </c>
      <c r="B12" s="35">
        <v>0</v>
      </c>
      <c r="C12" s="35">
        <v>1</v>
      </c>
      <c r="D12" s="35">
        <v>0</v>
      </c>
      <c r="E12" s="35">
        <v>0</v>
      </c>
      <c r="F12" s="35">
        <v>0</v>
      </c>
      <c r="G12" s="35">
        <v>1</v>
      </c>
      <c r="H12" s="35">
        <v>0</v>
      </c>
    </row>
    <row r="13" spans="1:9">
      <c r="A13" s="29">
        <v>3</v>
      </c>
      <c r="B13" s="35">
        <v>0</v>
      </c>
      <c r="C13" s="35">
        <v>0</v>
      </c>
      <c r="D13" s="35">
        <v>0</v>
      </c>
      <c r="E13" s="35">
        <v>0</v>
      </c>
      <c r="F13" s="35">
        <v>1</v>
      </c>
      <c r="G13" s="35">
        <v>0</v>
      </c>
      <c r="H13" s="35">
        <v>1</v>
      </c>
    </row>
    <row r="14" spans="1:9">
      <c r="A14" s="29">
        <v>4</v>
      </c>
      <c r="B14" s="35">
        <v>0</v>
      </c>
      <c r="C14" s="35">
        <v>0</v>
      </c>
      <c r="D14" s="35">
        <v>0</v>
      </c>
      <c r="E14" s="35">
        <v>1</v>
      </c>
      <c r="F14" s="35">
        <v>0</v>
      </c>
      <c r="G14" s="35">
        <v>0</v>
      </c>
      <c r="H14" s="35">
        <v>0</v>
      </c>
    </row>
    <row r="15" spans="1:9">
      <c r="A15" s="29">
        <v>5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</row>
    <row r="16" spans="1:9">
      <c r="A16" s="29">
        <v>6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</row>
    <row r="17" spans="1:8">
      <c r="B17" s="23"/>
      <c r="C17" s="23"/>
      <c r="D17" s="23"/>
      <c r="E17" s="23"/>
      <c r="F17" s="23"/>
    </row>
    <row r="18" spans="1:8">
      <c r="A18" s="21" t="s">
        <v>51</v>
      </c>
      <c r="B18" s="23"/>
      <c r="C18" s="23"/>
      <c r="D18" s="23"/>
      <c r="E18" s="23"/>
      <c r="F18" s="23"/>
    </row>
    <row r="19" spans="1:8">
      <c r="B19" s="23" t="s">
        <v>50</v>
      </c>
      <c r="C19" s="23"/>
      <c r="D19" s="23"/>
      <c r="E19" s="23"/>
      <c r="F19" s="23"/>
    </row>
    <row r="20" spans="1:8">
      <c r="A20" s="29" t="s">
        <v>39</v>
      </c>
      <c r="B20" s="33" t="s">
        <v>49</v>
      </c>
      <c r="C20" s="33" t="s">
        <v>48</v>
      </c>
      <c r="D20" s="33" t="s">
        <v>47</v>
      </c>
      <c r="E20" s="33" t="s">
        <v>46</v>
      </c>
      <c r="F20" s="33" t="s">
        <v>45</v>
      </c>
      <c r="G20" s="33" t="s">
        <v>63</v>
      </c>
      <c r="H20" s="33" t="s">
        <v>64</v>
      </c>
    </row>
    <row r="21" spans="1:8">
      <c r="A21" s="29">
        <v>1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</row>
    <row r="22" spans="1:8">
      <c r="A22" s="29">
        <v>2</v>
      </c>
      <c r="B22" s="35">
        <v>0.5</v>
      </c>
      <c r="C22" s="35">
        <v>0</v>
      </c>
      <c r="D22" s="35">
        <v>1.2</v>
      </c>
      <c r="E22" s="35">
        <v>0</v>
      </c>
      <c r="F22" s="35">
        <v>0</v>
      </c>
      <c r="G22" s="35">
        <v>0</v>
      </c>
      <c r="H22" s="35">
        <v>0</v>
      </c>
    </row>
    <row r="23" spans="1:8">
      <c r="A23" s="29">
        <v>3</v>
      </c>
      <c r="B23" s="35">
        <v>1</v>
      </c>
      <c r="C23" s="35">
        <v>0.5</v>
      </c>
      <c r="D23" s="35">
        <v>0</v>
      </c>
      <c r="E23" s="35">
        <v>0</v>
      </c>
      <c r="F23" s="35">
        <v>0</v>
      </c>
      <c r="G23" s="35">
        <v>0.5</v>
      </c>
      <c r="H23" s="35">
        <v>0</v>
      </c>
    </row>
    <row r="24" spans="1:8">
      <c r="A24" s="29">
        <v>4</v>
      </c>
      <c r="B24" s="35">
        <v>0</v>
      </c>
      <c r="C24" s="35">
        <v>1</v>
      </c>
      <c r="D24" s="35">
        <v>0</v>
      </c>
      <c r="E24" s="35">
        <v>0</v>
      </c>
      <c r="F24" s="35">
        <v>1.5</v>
      </c>
      <c r="G24" s="35">
        <v>0.5</v>
      </c>
      <c r="H24" s="35">
        <v>0</v>
      </c>
    </row>
    <row r="25" spans="1:8">
      <c r="A25" s="29">
        <v>5</v>
      </c>
      <c r="B25" s="35">
        <v>0</v>
      </c>
      <c r="C25" s="35">
        <v>0</v>
      </c>
      <c r="D25" s="35">
        <v>0</v>
      </c>
      <c r="E25" s="35">
        <v>1.9</v>
      </c>
      <c r="F25" s="35">
        <v>0</v>
      </c>
      <c r="G25" s="35">
        <v>0.5</v>
      </c>
      <c r="H25" s="35">
        <v>0.75</v>
      </c>
    </row>
    <row r="26" spans="1:8">
      <c r="A26" s="29">
        <v>6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0.5</v>
      </c>
      <c r="H26" s="35">
        <v>0.75</v>
      </c>
    </row>
    <row r="27" spans="1:8">
      <c r="A27" s="29">
        <v>7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0.75</v>
      </c>
    </row>
    <row r="28" spans="1:8">
      <c r="B28" s="23"/>
      <c r="C28" s="23"/>
      <c r="D28" s="23"/>
      <c r="E28" s="23"/>
      <c r="F28" s="23"/>
    </row>
    <row r="29" spans="1:8">
      <c r="A29" s="26" t="s">
        <v>44</v>
      </c>
      <c r="B29" s="23"/>
      <c r="C29" s="23"/>
      <c r="D29" s="23"/>
      <c r="E29" s="23"/>
      <c r="F29" s="23"/>
    </row>
    <row r="30" spans="1:8">
      <c r="A30" s="21" t="s">
        <v>43</v>
      </c>
      <c r="B30" s="34">
        <v>64285.714285565802</v>
      </c>
      <c r="C30" s="34">
        <v>0</v>
      </c>
      <c r="D30" s="34">
        <v>35714.285714434205</v>
      </c>
      <c r="E30" s="34">
        <v>75000</v>
      </c>
      <c r="F30" s="34">
        <v>26785.714285898041</v>
      </c>
      <c r="G30" s="34">
        <v>75000</v>
      </c>
      <c r="H30" s="34">
        <v>75000</v>
      </c>
    </row>
    <row r="31" spans="1:8">
      <c r="B31" s="33" t="s">
        <v>42</v>
      </c>
      <c r="C31" s="33" t="s">
        <v>42</v>
      </c>
      <c r="D31" s="33" t="s">
        <v>42</v>
      </c>
      <c r="E31" s="33" t="s">
        <v>42</v>
      </c>
      <c r="F31" s="33" t="s">
        <v>42</v>
      </c>
      <c r="G31" s="33" t="s">
        <v>42</v>
      </c>
      <c r="H31" s="33" t="s">
        <v>42</v>
      </c>
    </row>
    <row r="32" spans="1:8">
      <c r="A32" s="21" t="s">
        <v>41</v>
      </c>
      <c r="B32" s="32">
        <f>$B$5</f>
        <v>75000</v>
      </c>
      <c r="C32" s="32">
        <f>$B$5</f>
        <v>75000</v>
      </c>
      <c r="D32" s="32">
        <f>$B$5</f>
        <v>75000</v>
      </c>
      <c r="E32" s="32">
        <f>$B$5</f>
        <v>75000</v>
      </c>
      <c r="F32" s="32">
        <f>$B$5</f>
        <v>75000</v>
      </c>
      <c r="G32" s="32">
        <f t="shared" ref="G32:H32" si="0">$B$5</f>
        <v>75000</v>
      </c>
      <c r="H32" s="32">
        <f t="shared" si="0"/>
        <v>75000</v>
      </c>
    </row>
    <row r="33" spans="1:7">
      <c r="B33" s="23"/>
      <c r="C33" s="23"/>
      <c r="D33" s="23"/>
      <c r="E33" s="23"/>
      <c r="F33" s="23"/>
    </row>
    <row r="34" spans="1:7">
      <c r="A34" s="26" t="s">
        <v>40</v>
      </c>
      <c r="B34" s="23"/>
      <c r="C34" s="23"/>
      <c r="D34" s="23"/>
      <c r="E34" s="23"/>
      <c r="F34" s="23"/>
    </row>
    <row r="35" spans="1:7" ht="30" customHeight="1">
      <c r="A35" s="29" t="s">
        <v>39</v>
      </c>
      <c r="B35" s="31" t="s">
        <v>38</v>
      </c>
      <c r="C35" s="31" t="s">
        <v>37</v>
      </c>
      <c r="D35" s="31" t="s">
        <v>36</v>
      </c>
      <c r="E35" s="31" t="s">
        <v>35</v>
      </c>
      <c r="F35" s="23"/>
    </row>
    <row r="36" spans="1:7">
      <c r="A36" s="29">
        <v>1</v>
      </c>
      <c r="B36" s="27">
        <f>B4</f>
        <v>100000</v>
      </c>
      <c r="C36" s="27">
        <f>SUMPRODUCT(B21:H21,$B$30:$H$30)</f>
        <v>0</v>
      </c>
      <c r="D36" s="27">
        <f>SUMPRODUCT(B11:H11,$B$30:$H$30)</f>
        <v>100000</v>
      </c>
      <c r="E36" s="27">
        <f>B36+C36-D36</f>
        <v>0</v>
      </c>
      <c r="F36" s="30" t="s">
        <v>2</v>
      </c>
      <c r="G36" s="21">
        <v>0</v>
      </c>
    </row>
    <row r="37" spans="1:7">
      <c r="A37" s="29">
        <v>2</v>
      </c>
      <c r="B37" s="27">
        <f>E36*(1+$B$6)</f>
        <v>0</v>
      </c>
      <c r="C37" s="27">
        <f>SUMPRODUCT(B22:H22,$B$30:$H$30)</f>
        <v>75000.000000103944</v>
      </c>
      <c r="D37" s="27">
        <f>SUMPRODUCT(B12:H12,$B$30:$H$30)</f>
        <v>75000</v>
      </c>
      <c r="E37" s="27">
        <f>B37+C37-D37</f>
        <v>1.0394433047622442E-7</v>
      </c>
      <c r="F37" s="30" t="s">
        <v>2</v>
      </c>
      <c r="G37" s="21">
        <v>0</v>
      </c>
    </row>
    <row r="38" spans="1:7">
      <c r="A38" s="29">
        <v>3</v>
      </c>
      <c r="B38" s="27">
        <f>E37*(1+$B$6)</f>
        <v>1.0706266032081105E-7</v>
      </c>
      <c r="C38" s="27">
        <f>SUMPRODUCT(B23:H23,$B$30:$H$30)</f>
        <v>101785.7142855658</v>
      </c>
      <c r="D38" s="27">
        <f>SUMPRODUCT(B13:H13,$B$30:$H$30)</f>
        <v>101785.71428589804</v>
      </c>
      <c r="E38" s="27">
        <f>B38+C38-D38</f>
        <v>-2.2517633624374866E-7</v>
      </c>
      <c r="F38" s="30" t="s">
        <v>2</v>
      </c>
      <c r="G38" s="21">
        <v>0</v>
      </c>
    </row>
    <row r="39" spans="1:7">
      <c r="A39" s="29">
        <v>4</v>
      </c>
      <c r="B39" s="27">
        <f>E38*(1+$B$6)</f>
        <v>-2.3193162618006863E-7</v>
      </c>
      <c r="C39" s="27">
        <f>SUMPRODUCT(B24:H24,$B$30:$H$30)</f>
        <v>77678.571428847063</v>
      </c>
      <c r="D39" s="27">
        <f>SUMPRODUCT(B14:H14,$B$30:$H$30)</f>
        <v>75000</v>
      </c>
      <c r="E39" s="27">
        <f>B39+C39-D39</f>
        <v>2678.5714286151342</v>
      </c>
      <c r="F39" s="30" t="s">
        <v>2</v>
      </c>
      <c r="G39" s="21">
        <v>0</v>
      </c>
    </row>
    <row r="40" spans="1:7">
      <c r="A40" s="29">
        <v>5</v>
      </c>
      <c r="B40" s="28">
        <f>E39*(1+$B$6)</f>
        <v>2758.9285696774659</v>
      </c>
      <c r="C40" s="27">
        <f>SUMPRODUCT(B25:H25,$B$30:$H$30)</f>
        <v>236250</v>
      </c>
      <c r="D40" s="27">
        <f t="shared" ref="D40:D41" si="1">SUMPRODUCT(B15:H15,$B$30:$H$30)</f>
        <v>0</v>
      </c>
      <c r="E40" s="27">
        <f>B40+C40-D40</f>
        <v>239008.92856967746</v>
      </c>
      <c r="F40" s="30" t="s">
        <v>2</v>
      </c>
      <c r="G40" s="21">
        <v>0</v>
      </c>
    </row>
    <row r="41" spans="1:7">
      <c r="A41" s="29">
        <v>6</v>
      </c>
      <c r="B41" s="28">
        <f t="shared" ref="B41:B42" si="2">E40*(1+$B$6)</f>
        <v>246179.19626649981</v>
      </c>
      <c r="C41" s="27">
        <f>SUMPRODUCT(B26:H26,$B$30:$H$30)</f>
        <v>93750</v>
      </c>
      <c r="D41" s="27">
        <f t="shared" si="1"/>
        <v>0</v>
      </c>
      <c r="E41" s="27">
        <f t="shared" ref="E41" si="3">B41+C41-D41</f>
        <v>339929.19626649981</v>
      </c>
      <c r="F41" s="30" t="s">
        <v>2</v>
      </c>
      <c r="G41" s="21">
        <v>0</v>
      </c>
    </row>
    <row r="42" spans="1:7">
      <c r="A42" s="29">
        <v>7</v>
      </c>
      <c r="B42" s="28">
        <f t="shared" si="2"/>
        <v>350127.07192655449</v>
      </c>
      <c r="C42" s="27">
        <f>SUMPRODUCT(B27:H27,$B$30:$H$30)</f>
        <v>56250</v>
      </c>
      <c r="D42" s="23"/>
      <c r="E42" s="23"/>
      <c r="F42" s="23"/>
    </row>
    <row r="43" spans="1:7">
      <c r="B43" s="23"/>
      <c r="C43" s="23"/>
      <c r="D43" s="23"/>
      <c r="E43" s="23"/>
      <c r="F43" s="23"/>
    </row>
    <row r="44" spans="1:7">
      <c r="A44" s="26" t="s">
        <v>34</v>
      </c>
      <c r="B44" s="25">
        <f>SUM(B42:C42)</f>
        <v>406377.07192655449</v>
      </c>
      <c r="C44" s="23"/>
      <c r="D44" s="24"/>
      <c r="E44" s="23"/>
      <c r="F44" s="23"/>
    </row>
    <row r="46" spans="1:7">
      <c r="A46" s="21" t="s">
        <v>33</v>
      </c>
      <c r="B46" s="22">
        <f>MAX(E36:E41)</f>
        <v>339929.19626649981</v>
      </c>
    </row>
  </sheetData>
  <printOptions headings="1" gridLines="1"/>
  <pageMargins left="0.75" right="0.75" top="1" bottom="1" header="0.5" footer="0.5"/>
  <pageSetup scale="54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I7" sqref="I7"/>
    </sheetView>
  </sheetViews>
  <sheetFormatPr defaultRowHeight="15"/>
  <cols>
    <col min="1" max="1" width="12.5703125" style="48" customWidth="1"/>
    <col min="2" max="2" width="14.42578125" style="48" customWidth="1"/>
    <col min="3" max="6" width="9.140625" style="48"/>
    <col min="7" max="7" width="12.5703125" style="48" customWidth="1"/>
    <col min="8" max="8" width="10.5703125" style="48" customWidth="1"/>
    <col min="9" max="9" width="15.7109375" style="48" customWidth="1"/>
    <col min="10" max="256" width="9.140625" style="48"/>
    <col min="257" max="257" width="12.5703125" style="48" customWidth="1"/>
    <col min="258" max="258" width="14.42578125" style="48" customWidth="1"/>
    <col min="259" max="262" width="9.140625" style="48"/>
    <col min="263" max="263" width="12.5703125" style="48" customWidth="1"/>
    <col min="264" max="264" width="10.5703125" style="48" customWidth="1"/>
    <col min="265" max="265" width="12.7109375" style="48" customWidth="1"/>
    <col min="266" max="512" width="9.140625" style="48"/>
    <col min="513" max="513" width="12.5703125" style="48" customWidth="1"/>
    <col min="514" max="514" width="14.42578125" style="48" customWidth="1"/>
    <col min="515" max="518" width="9.140625" style="48"/>
    <col min="519" max="519" width="12.5703125" style="48" customWidth="1"/>
    <col min="520" max="520" width="10.5703125" style="48" customWidth="1"/>
    <col min="521" max="521" width="12.7109375" style="48" customWidth="1"/>
    <col min="522" max="768" width="9.140625" style="48"/>
    <col min="769" max="769" width="12.5703125" style="48" customWidth="1"/>
    <col min="770" max="770" width="14.42578125" style="48" customWidth="1"/>
    <col min="771" max="774" width="9.140625" style="48"/>
    <col min="775" max="775" width="12.5703125" style="48" customWidth="1"/>
    <col min="776" max="776" width="10.5703125" style="48" customWidth="1"/>
    <col min="777" max="777" width="12.7109375" style="48" customWidth="1"/>
    <col min="778" max="1024" width="9.140625" style="48"/>
    <col min="1025" max="1025" width="12.5703125" style="48" customWidth="1"/>
    <col min="1026" max="1026" width="14.42578125" style="48" customWidth="1"/>
    <col min="1027" max="1030" width="9.140625" style="48"/>
    <col min="1031" max="1031" width="12.5703125" style="48" customWidth="1"/>
    <col min="1032" max="1032" width="10.5703125" style="48" customWidth="1"/>
    <col min="1033" max="1033" width="12.7109375" style="48" customWidth="1"/>
    <col min="1034" max="1280" width="9.140625" style="48"/>
    <col min="1281" max="1281" width="12.5703125" style="48" customWidth="1"/>
    <col min="1282" max="1282" width="14.42578125" style="48" customWidth="1"/>
    <col min="1283" max="1286" width="9.140625" style="48"/>
    <col min="1287" max="1287" width="12.5703125" style="48" customWidth="1"/>
    <col min="1288" max="1288" width="10.5703125" style="48" customWidth="1"/>
    <col min="1289" max="1289" width="12.7109375" style="48" customWidth="1"/>
    <col min="1290" max="1536" width="9.140625" style="48"/>
    <col min="1537" max="1537" width="12.5703125" style="48" customWidth="1"/>
    <col min="1538" max="1538" width="14.42578125" style="48" customWidth="1"/>
    <col min="1539" max="1542" width="9.140625" style="48"/>
    <col min="1543" max="1543" width="12.5703125" style="48" customWidth="1"/>
    <col min="1544" max="1544" width="10.5703125" style="48" customWidth="1"/>
    <col min="1545" max="1545" width="12.7109375" style="48" customWidth="1"/>
    <col min="1546" max="1792" width="9.140625" style="48"/>
    <col min="1793" max="1793" width="12.5703125" style="48" customWidth="1"/>
    <col min="1794" max="1794" width="14.42578125" style="48" customWidth="1"/>
    <col min="1795" max="1798" width="9.140625" style="48"/>
    <col min="1799" max="1799" width="12.5703125" style="48" customWidth="1"/>
    <col min="1800" max="1800" width="10.5703125" style="48" customWidth="1"/>
    <col min="1801" max="1801" width="12.7109375" style="48" customWidth="1"/>
    <col min="1802" max="2048" width="9.140625" style="48"/>
    <col min="2049" max="2049" width="12.5703125" style="48" customWidth="1"/>
    <col min="2050" max="2050" width="14.42578125" style="48" customWidth="1"/>
    <col min="2051" max="2054" width="9.140625" style="48"/>
    <col min="2055" max="2055" width="12.5703125" style="48" customWidth="1"/>
    <col min="2056" max="2056" width="10.5703125" style="48" customWidth="1"/>
    <col min="2057" max="2057" width="12.7109375" style="48" customWidth="1"/>
    <col min="2058" max="2304" width="9.140625" style="48"/>
    <col min="2305" max="2305" width="12.5703125" style="48" customWidth="1"/>
    <col min="2306" max="2306" width="14.42578125" style="48" customWidth="1"/>
    <col min="2307" max="2310" width="9.140625" style="48"/>
    <col min="2311" max="2311" width="12.5703125" style="48" customWidth="1"/>
    <col min="2312" max="2312" width="10.5703125" style="48" customWidth="1"/>
    <col min="2313" max="2313" width="12.7109375" style="48" customWidth="1"/>
    <col min="2314" max="2560" width="9.140625" style="48"/>
    <col min="2561" max="2561" width="12.5703125" style="48" customWidth="1"/>
    <col min="2562" max="2562" width="14.42578125" style="48" customWidth="1"/>
    <col min="2563" max="2566" width="9.140625" style="48"/>
    <col min="2567" max="2567" width="12.5703125" style="48" customWidth="1"/>
    <col min="2568" max="2568" width="10.5703125" style="48" customWidth="1"/>
    <col min="2569" max="2569" width="12.7109375" style="48" customWidth="1"/>
    <col min="2570" max="2816" width="9.140625" style="48"/>
    <col min="2817" max="2817" width="12.5703125" style="48" customWidth="1"/>
    <col min="2818" max="2818" width="14.42578125" style="48" customWidth="1"/>
    <col min="2819" max="2822" width="9.140625" style="48"/>
    <col min="2823" max="2823" width="12.5703125" style="48" customWidth="1"/>
    <col min="2824" max="2824" width="10.5703125" style="48" customWidth="1"/>
    <col min="2825" max="2825" width="12.7109375" style="48" customWidth="1"/>
    <col min="2826" max="3072" width="9.140625" style="48"/>
    <col min="3073" max="3073" width="12.5703125" style="48" customWidth="1"/>
    <col min="3074" max="3074" width="14.42578125" style="48" customWidth="1"/>
    <col min="3075" max="3078" width="9.140625" style="48"/>
    <col min="3079" max="3079" width="12.5703125" style="48" customWidth="1"/>
    <col min="3080" max="3080" width="10.5703125" style="48" customWidth="1"/>
    <col min="3081" max="3081" width="12.7109375" style="48" customWidth="1"/>
    <col min="3082" max="3328" width="9.140625" style="48"/>
    <col min="3329" max="3329" width="12.5703125" style="48" customWidth="1"/>
    <col min="3330" max="3330" width="14.42578125" style="48" customWidth="1"/>
    <col min="3331" max="3334" width="9.140625" style="48"/>
    <col min="3335" max="3335" width="12.5703125" style="48" customWidth="1"/>
    <col min="3336" max="3336" width="10.5703125" style="48" customWidth="1"/>
    <col min="3337" max="3337" width="12.7109375" style="48" customWidth="1"/>
    <col min="3338" max="3584" width="9.140625" style="48"/>
    <col min="3585" max="3585" width="12.5703125" style="48" customWidth="1"/>
    <col min="3586" max="3586" width="14.42578125" style="48" customWidth="1"/>
    <col min="3587" max="3590" width="9.140625" style="48"/>
    <col min="3591" max="3591" width="12.5703125" style="48" customWidth="1"/>
    <col min="3592" max="3592" width="10.5703125" style="48" customWidth="1"/>
    <col min="3593" max="3593" width="12.7109375" style="48" customWidth="1"/>
    <col min="3594" max="3840" width="9.140625" style="48"/>
    <col min="3841" max="3841" width="12.5703125" style="48" customWidth="1"/>
    <col min="3842" max="3842" width="14.42578125" style="48" customWidth="1"/>
    <col min="3843" max="3846" width="9.140625" style="48"/>
    <col min="3847" max="3847" width="12.5703125" style="48" customWidth="1"/>
    <col min="3848" max="3848" width="10.5703125" style="48" customWidth="1"/>
    <col min="3849" max="3849" width="12.7109375" style="48" customWidth="1"/>
    <col min="3850" max="4096" width="9.140625" style="48"/>
    <col min="4097" max="4097" width="12.5703125" style="48" customWidth="1"/>
    <col min="4098" max="4098" width="14.42578125" style="48" customWidth="1"/>
    <col min="4099" max="4102" width="9.140625" style="48"/>
    <col min="4103" max="4103" width="12.5703125" style="48" customWidth="1"/>
    <col min="4104" max="4104" width="10.5703125" style="48" customWidth="1"/>
    <col min="4105" max="4105" width="12.7109375" style="48" customWidth="1"/>
    <col min="4106" max="4352" width="9.140625" style="48"/>
    <col min="4353" max="4353" width="12.5703125" style="48" customWidth="1"/>
    <col min="4354" max="4354" width="14.42578125" style="48" customWidth="1"/>
    <col min="4355" max="4358" width="9.140625" style="48"/>
    <col min="4359" max="4359" width="12.5703125" style="48" customWidth="1"/>
    <col min="4360" max="4360" width="10.5703125" style="48" customWidth="1"/>
    <col min="4361" max="4361" width="12.7109375" style="48" customWidth="1"/>
    <col min="4362" max="4608" width="9.140625" style="48"/>
    <col min="4609" max="4609" width="12.5703125" style="48" customWidth="1"/>
    <col min="4610" max="4610" width="14.42578125" style="48" customWidth="1"/>
    <col min="4611" max="4614" width="9.140625" style="48"/>
    <col min="4615" max="4615" width="12.5703125" style="48" customWidth="1"/>
    <col min="4616" max="4616" width="10.5703125" style="48" customWidth="1"/>
    <col min="4617" max="4617" width="12.7109375" style="48" customWidth="1"/>
    <col min="4618" max="4864" width="9.140625" style="48"/>
    <col min="4865" max="4865" width="12.5703125" style="48" customWidth="1"/>
    <col min="4866" max="4866" width="14.42578125" style="48" customWidth="1"/>
    <col min="4867" max="4870" width="9.140625" style="48"/>
    <col min="4871" max="4871" width="12.5703125" style="48" customWidth="1"/>
    <col min="4872" max="4872" width="10.5703125" style="48" customWidth="1"/>
    <col min="4873" max="4873" width="12.7109375" style="48" customWidth="1"/>
    <col min="4874" max="5120" width="9.140625" style="48"/>
    <col min="5121" max="5121" width="12.5703125" style="48" customWidth="1"/>
    <col min="5122" max="5122" width="14.42578125" style="48" customWidth="1"/>
    <col min="5123" max="5126" width="9.140625" style="48"/>
    <col min="5127" max="5127" width="12.5703125" style="48" customWidth="1"/>
    <col min="5128" max="5128" width="10.5703125" style="48" customWidth="1"/>
    <col min="5129" max="5129" width="12.7109375" style="48" customWidth="1"/>
    <col min="5130" max="5376" width="9.140625" style="48"/>
    <col min="5377" max="5377" width="12.5703125" style="48" customWidth="1"/>
    <col min="5378" max="5378" width="14.42578125" style="48" customWidth="1"/>
    <col min="5379" max="5382" width="9.140625" style="48"/>
    <col min="5383" max="5383" width="12.5703125" style="48" customWidth="1"/>
    <col min="5384" max="5384" width="10.5703125" style="48" customWidth="1"/>
    <col min="5385" max="5385" width="12.7109375" style="48" customWidth="1"/>
    <col min="5386" max="5632" width="9.140625" style="48"/>
    <col min="5633" max="5633" width="12.5703125" style="48" customWidth="1"/>
    <col min="5634" max="5634" width="14.42578125" style="48" customWidth="1"/>
    <col min="5635" max="5638" width="9.140625" style="48"/>
    <col min="5639" max="5639" width="12.5703125" style="48" customWidth="1"/>
    <col min="5640" max="5640" width="10.5703125" style="48" customWidth="1"/>
    <col min="5641" max="5641" width="12.7109375" style="48" customWidth="1"/>
    <col min="5642" max="5888" width="9.140625" style="48"/>
    <col min="5889" max="5889" width="12.5703125" style="48" customWidth="1"/>
    <col min="5890" max="5890" width="14.42578125" style="48" customWidth="1"/>
    <col min="5891" max="5894" width="9.140625" style="48"/>
    <col min="5895" max="5895" width="12.5703125" style="48" customWidth="1"/>
    <col min="5896" max="5896" width="10.5703125" style="48" customWidth="1"/>
    <col min="5897" max="5897" width="12.7109375" style="48" customWidth="1"/>
    <col min="5898" max="6144" width="9.140625" style="48"/>
    <col min="6145" max="6145" width="12.5703125" style="48" customWidth="1"/>
    <col min="6146" max="6146" width="14.42578125" style="48" customWidth="1"/>
    <col min="6147" max="6150" width="9.140625" style="48"/>
    <col min="6151" max="6151" width="12.5703125" style="48" customWidth="1"/>
    <col min="6152" max="6152" width="10.5703125" style="48" customWidth="1"/>
    <col min="6153" max="6153" width="12.7109375" style="48" customWidth="1"/>
    <col min="6154" max="6400" width="9.140625" style="48"/>
    <col min="6401" max="6401" width="12.5703125" style="48" customWidth="1"/>
    <col min="6402" max="6402" width="14.42578125" style="48" customWidth="1"/>
    <col min="6403" max="6406" width="9.140625" style="48"/>
    <col min="6407" max="6407" width="12.5703125" style="48" customWidth="1"/>
    <col min="6408" max="6408" width="10.5703125" style="48" customWidth="1"/>
    <col min="6409" max="6409" width="12.7109375" style="48" customWidth="1"/>
    <col min="6410" max="6656" width="9.140625" style="48"/>
    <col min="6657" max="6657" width="12.5703125" style="48" customWidth="1"/>
    <col min="6658" max="6658" width="14.42578125" style="48" customWidth="1"/>
    <col min="6659" max="6662" width="9.140625" style="48"/>
    <col min="6663" max="6663" width="12.5703125" style="48" customWidth="1"/>
    <col min="6664" max="6664" width="10.5703125" style="48" customWidth="1"/>
    <col min="6665" max="6665" width="12.7109375" style="48" customWidth="1"/>
    <col min="6666" max="6912" width="9.140625" style="48"/>
    <col min="6913" max="6913" width="12.5703125" style="48" customWidth="1"/>
    <col min="6914" max="6914" width="14.42578125" style="48" customWidth="1"/>
    <col min="6915" max="6918" width="9.140625" style="48"/>
    <col min="6919" max="6919" width="12.5703125" style="48" customWidth="1"/>
    <col min="6920" max="6920" width="10.5703125" style="48" customWidth="1"/>
    <col min="6921" max="6921" width="12.7109375" style="48" customWidth="1"/>
    <col min="6922" max="7168" width="9.140625" style="48"/>
    <col min="7169" max="7169" width="12.5703125" style="48" customWidth="1"/>
    <col min="7170" max="7170" width="14.42578125" style="48" customWidth="1"/>
    <col min="7171" max="7174" width="9.140625" style="48"/>
    <col min="7175" max="7175" width="12.5703125" style="48" customWidth="1"/>
    <col min="7176" max="7176" width="10.5703125" style="48" customWidth="1"/>
    <col min="7177" max="7177" width="12.7109375" style="48" customWidth="1"/>
    <col min="7178" max="7424" width="9.140625" style="48"/>
    <col min="7425" max="7425" width="12.5703125" style="48" customWidth="1"/>
    <col min="7426" max="7426" width="14.42578125" style="48" customWidth="1"/>
    <col min="7427" max="7430" width="9.140625" style="48"/>
    <col min="7431" max="7431" width="12.5703125" style="48" customWidth="1"/>
    <col min="7432" max="7432" width="10.5703125" style="48" customWidth="1"/>
    <col min="7433" max="7433" width="12.7109375" style="48" customWidth="1"/>
    <col min="7434" max="7680" width="9.140625" style="48"/>
    <col min="7681" max="7681" width="12.5703125" style="48" customWidth="1"/>
    <col min="7682" max="7682" width="14.42578125" style="48" customWidth="1"/>
    <col min="7683" max="7686" width="9.140625" style="48"/>
    <col min="7687" max="7687" width="12.5703125" style="48" customWidth="1"/>
    <col min="7688" max="7688" width="10.5703125" style="48" customWidth="1"/>
    <col min="7689" max="7689" width="12.7109375" style="48" customWidth="1"/>
    <col min="7690" max="7936" width="9.140625" style="48"/>
    <col min="7937" max="7937" width="12.5703125" style="48" customWidth="1"/>
    <col min="7938" max="7938" width="14.42578125" style="48" customWidth="1"/>
    <col min="7939" max="7942" width="9.140625" style="48"/>
    <col min="7943" max="7943" width="12.5703125" style="48" customWidth="1"/>
    <col min="7944" max="7944" width="10.5703125" style="48" customWidth="1"/>
    <col min="7945" max="7945" width="12.7109375" style="48" customWidth="1"/>
    <col min="7946" max="8192" width="9.140625" style="48"/>
    <col min="8193" max="8193" width="12.5703125" style="48" customWidth="1"/>
    <col min="8194" max="8194" width="14.42578125" style="48" customWidth="1"/>
    <col min="8195" max="8198" width="9.140625" style="48"/>
    <col min="8199" max="8199" width="12.5703125" style="48" customWidth="1"/>
    <col min="8200" max="8200" width="10.5703125" style="48" customWidth="1"/>
    <col min="8201" max="8201" width="12.7109375" style="48" customWidth="1"/>
    <col min="8202" max="8448" width="9.140625" style="48"/>
    <col min="8449" max="8449" width="12.5703125" style="48" customWidth="1"/>
    <col min="8450" max="8450" width="14.42578125" style="48" customWidth="1"/>
    <col min="8451" max="8454" width="9.140625" style="48"/>
    <col min="8455" max="8455" width="12.5703125" style="48" customWidth="1"/>
    <col min="8456" max="8456" width="10.5703125" style="48" customWidth="1"/>
    <col min="8457" max="8457" width="12.7109375" style="48" customWidth="1"/>
    <col min="8458" max="8704" width="9.140625" style="48"/>
    <col min="8705" max="8705" width="12.5703125" style="48" customWidth="1"/>
    <col min="8706" max="8706" width="14.42578125" style="48" customWidth="1"/>
    <col min="8707" max="8710" width="9.140625" style="48"/>
    <col min="8711" max="8711" width="12.5703125" style="48" customWidth="1"/>
    <col min="8712" max="8712" width="10.5703125" style="48" customWidth="1"/>
    <col min="8713" max="8713" width="12.7109375" style="48" customWidth="1"/>
    <col min="8714" max="8960" width="9.140625" style="48"/>
    <col min="8961" max="8961" width="12.5703125" style="48" customWidth="1"/>
    <col min="8962" max="8962" width="14.42578125" style="48" customWidth="1"/>
    <col min="8963" max="8966" width="9.140625" style="48"/>
    <col min="8967" max="8967" width="12.5703125" style="48" customWidth="1"/>
    <col min="8968" max="8968" width="10.5703125" style="48" customWidth="1"/>
    <col min="8969" max="8969" width="12.7109375" style="48" customWidth="1"/>
    <col min="8970" max="9216" width="9.140625" style="48"/>
    <col min="9217" max="9217" width="12.5703125" style="48" customWidth="1"/>
    <col min="9218" max="9218" width="14.42578125" style="48" customWidth="1"/>
    <col min="9219" max="9222" width="9.140625" style="48"/>
    <col min="9223" max="9223" width="12.5703125" style="48" customWidth="1"/>
    <col min="9224" max="9224" width="10.5703125" style="48" customWidth="1"/>
    <col min="9225" max="9225" width="12.7109375" style="48" customWidth="1"/>
    <col min="9226" max="9472" width="9.140625" style="48"/>
    <col min="9473" max="9473" width="12.5703125" style="48" customWidth="1"/>
    <col min="9474" max="9474" width="14.42578125" style="48" customWidth="1"/>
    <col min="9475" max="9478" width="9.140625" style="48"/>
    <col min="9479" max="9479" width="12.5703125" style="48" customWidth="1"/>
    <col min="9480" max="9480" width="10.5703125" style="48" customWidth="1"/>
    <col min="9481" max="9481" width="12.7109375" style="48" customWidth="1"/>
    <col min="9482" max="9728" width="9.140625" style="48"/>
    <col min="9729" max="9729" width="12.5703125" style="48" customWidth="1"/>
    <col min="9730" max="9730" width="14.42578125" style="48" customWidth="1"/>
    <col min="9731" max="9734" width="9.140625" style="48"/>
    <col min="9735" max="9735" width="12.5703125" style="48" customWidth="1"/>
    <col min="9736" max="9736" width="10.5703125" style="48" customWidth="1"/>
    <col min="9737" max="9737" width="12.7109375" style="48" customWidth="1"/>
    <col min="9738" max="9984" width="9.140625" style="48"/>
    <col min="9985" max="9985" width="12.5703125" style="48" customWidth="1"/>
    <col min="9986" max="9986" width="14.42578125" style="48" customWidth="1"/>
    <col min="9987" max="9990" width="9.140625" style="48"/>
    <col min="9991" max="9991" width="12.5703125" style="48" customWidth="1"/>
    <col min="9992" max="9992" width="10.5703125" style="48" customWidth="1"/>
    <col min="9993" max="9993" width="12.7109375" style="48" customWidth="1"/>
    <col min="9994" max="10240" width="9.140625" style="48"/>
    <col min="10241" max="10241" width="12.5703125" style="48" customWidth="1"/>
    <col min="10242" max="10242" width="14.42578125" style="48" customWidth="1"/>
    <col min="10243" max="10246" width="9.140625" style="48"/>
    <col min="10247" max="10247" width="12.5703125" style="48" customWidth="1"/>
    <col min="10248" max="10248" width="10.5703125" style="48" customWidth="1"/>
    <col min="10249" max="10249" width="12.7109375" style="48" customWidth="1"/>
    <col min="10250" max="10496" width="9.140625" style="48"/>
    <col min="10497" max="10497" width="12.5703125" style="48" customWidth="1"/>
    <col min="10498" max="10498" width="14.42578125" style="48" customWidth="1"/>
    <col min="10499" max="10502" width="9.140625" style="48"/>
    <col min="10503" max="10503" width="12.5703125" style="48" customWidth="1"/>
    <col min="10504" max="10504" width="10.5703125" style="48" customWidth="1"/>
    <col min="10505" max="10505" width="12.7109375" style="48" customWidth="1"/>
    <col min="10506" max="10752" width="9.140625" style="48"/>
    <col min="10753" max="10753" width="12.5703125" style="48" customWidth="1"/>
    <col min="10754" max="10754" width="14.42578125" style="48" customWidth="1"/>
    <col min="10755" max="10758" width="9.140625" style="48"/>
    <col min="10759" max="10759" width="12.5703125" style="48" customWidth="1"/>
    <col min="10760" max="10760" width="10.5703125" style="48" customWidth="1"/>
    <col min="10761" max="10761" width="12.7109375" style="48" customWidth="1"/>
    <col min="10762" max="11008" width="9.140625" style="48"/>
    <col min="11009" max="11009" width="12.5703125" style="48" customWidth="1"/>
    <col min="11010" max="11010" width="14.42578125" style="48" customWidth="1"/>
    <col min="11011" max="11014" width="9.140625" style="48"/>
    <col min="11015" max="11015" width="12.5703125" style="48" customWidth="1"/>
    <col min="11016" max="11016" width="10.5703125" style="48" customWidth="1"/>
    <col min="11017" max="11017" width="12.7109375" style="48" customWidth="1"/>
    <col min="11018" max="11264" width="9.140625" style="48"/>
    <col min="11265" max="11265" width="12.5703125" style="48" customWidth="1"/>
    <col min="11266" max="11266" width="14.42578125" style="48" customWidth="1"/>
    <col min="11267" max="11270" width="9.140625" style="48"/>
    <col min="11271" max="11271" width="12.5703125" style="48" customWidth="1"/>
    <col min="11272" max="11272" width="10.5703125" style="48" customWidth="1"/>
    <col min="11273" max="11273" width="12.7109375" style="48" customWidth="1"/>
    <col min="11274" max="11520" width="9.140625" style="48"/>
    <col min="11521" max="11521" width="12.5703125" style="48" customWidth="1"/>
    <col min="11522" max="11522" width="14.42578125" style="48" customWidth="1"/>
    <col min="11523" max="11526" width="9.140625" style="48"/>
    <col min="11527" max="11527" width="12.5703125" style="48" customWidth="1"/>
    <col min="11528" max="11528" width="10.5703125" style="48" customWidth="1"/>
    <col min="11529" max="11529" width="12.7109375" style="48" customWidth="1"/>
    <col min="11530" max="11776" width="9.140625" style="48"/>
    <col min="11777" max="11777" width="12.5703125" style="48" customWidth="1"/>
    <col min="11778" max="11778" width="14.42578125" style="48" customWidth="1"/>
    <col min="11779" max="11782" width="9.140625" style="48"/>
    <col min="11783" max="11783" width="12.5703125" style="48" customWidth="1"/>
    <col min="11784" max="11784" width="10.5703125" style="48" customWidth="1"/>
    <col min="11785" max="11785" width="12.7109375" style="48" customWidth="1"/>
    <col min="11786" max="12032" width="9.140625" style="48"/>
    <col min="12033" max="12033" width="12.5703125" style="48" customWidth="1"/>
    <col min="12034" max="12034" width="14.42578125" style="48" customWidth="1"/>
    <col min="12035" max="12038" width="9.140625" style="48"/>
    <col min="12039" max="12039" width="12.5703125" style="48" customWidth="1"/>
    <col min="12040" max="12040" width="10.5703125" style="48" customWidth="1"/>
    <col min="12041" max="12041" width="12.7109375" style="48" customWidth="1"/>
    <col min="12042" max="12288" width="9.140625" style="48"/>
    <col min="12289" max="12289" width="12.5703125" style="48" customWidth="1"/>
    <col min="12290" max="12290" width="14.42578125" style="48" customWidth="1"/>
    <col min="12291" max="12294" width="9.140625" style="48"/>
    <col min="12295" max="12295" width="12.5703125" style="48" customWidth="1"/>
    <col min="12296" max="12296" width="10.5703125" style="48" customWidth="1"/>
    <col min="12297" max="12297" width="12.7109375" style="48" customWidth="1"/>
    <col min="12298" max="12544" width="9.140625" style="48"/>
    <col min="12545" max="12545" width="12.5703125" style="48" customWidth="1"/>
    <col min="12546" max="12546" width="14.42578125" style="48" customWidth="1"/>
    <col min="12547" max="12550" width="9.140625" style="48"/>
    <col min="12551" max="12551" width="12.5703125" style="48" customWidth="1"/>
    <col min="12552" max="12552" width="10.5703125" style="48" customWidth="1"/>
    <col min="12553" max="12553" width="12.7109375" style="48" customWidth="1"/>
    <col min="12554" max="12800" width="9.140625" style="48"/>
    <col min="12801" max="12801" width="12.5703125" style="48" customWidth="1"/>
    <col min="12802" max="12802" width="14.42578125" style="48" customWidth="1"/>
    <col min="12803" max="12806" width="9.140625" style="48"/>
    <col min="12807" max="12807" width="12.5703125" style="48" customWidth="1"/>
    <col min="12808" max="12808" width="10.5703125" style="48" customWidth="1"/>
    <col min="12809" max="12809" width="12.7109375" style="48" customWidth="1"/>
    <col min="12810" max="13056" width="9.140625" style="48"/>
    <col min="13057" max="13057" width="12.5703125" style="48" customWidth="1"/>
    <col min="13058" max="13058" width="14.42578125" style="48" customWidth="1"/>
    <col min="13059" max="13062" width="9.140625" style="48"/>
    <col min="13063" max="13063" width="12.5703125" style="48" customWidth="1"/>
    <col min="13064" max="13064" width="10.5703125" style="48" customWidth="1"/>
    <col min="13065" max="13065" width="12.7109375" style="48" customWidth="1"/>
    <col min="13066" max="13312" width="9.140625" style="48"/>
    <col min="13313" max="13313" width="12.5703125" style="48" customWidth="1"/>
    <col min="13314" max="13314" width="14.42578125" style="48" customWidth="1"/>
    <col min="13315" max="13318" width="9.140625" style="48"/>
    <col min="13319" max="13319" width="12.5703125" style="48" customWidth="1"/>
    <col min="13320" max="13320" width="10.5703125" style="48" customWidth="1"/>
    <col min="13321" max="13321" width="12.7109375" style="48" customWidth="1"/>
    <col min="13322" max="13568" width="9.140625" style="48"/>
    <col min="13569" max="13569" width="12.5703125" style="48" customWidth="1"/>
    <col min="13570" max="13570" width="14.42578125" style="48" customWidth="1"/>
    <col min="13571" max="13574" width="9.140625" style="48"/>
    <col min="13575" max="13575" width="12.5703125" style="48" customWidth="1"/>
    <col min="13576" max="13576" width="10.5703125" style="48" customWidth="1"/>
    <col min="13577" max="13577" width="12.7109375" style="48" customWidth="1"/>
    <col min="13578" max="13824" width="9.140625" style="48"/>
    <col min="13825" max="13825" width="12.5703125" style="48" customWidth="1"/>
    <col min="13826" max="13826" width="14.42578125" style="48" customWidth="1"/>
    <col min="13827" max="13830" width="9.140625" style="48"/>
    <col min="13831" max="13831" width="12.5703125" style="48" customWidth="1"/>
    <col min="13832" max="13832" width="10.5703125" style="48" customWidth="1"/>
    <col min="13833" max="13833" width="12.7109375" style="48" customWidth="1"/>
    <col min="13834" max="14080" width="9.140625" style="48"/>
    <col min="14081" max="14081" width="12.5703125" style="48" customWidth="1"/>
    <col min="14082" max="14082" width="14.42578125" style="48" customWidth="1"/>
    <col min="14083" max="14086" width="9.140625" style="48"/>
    <col min="14087" max="14087" width="12.5703125" style="48" customWidth="1"/>
    <col min="14088" max="14088" width="10.5703125" style="48" customWidth="1"/>
    <col min="14089" max="14089" width="12.7109375" style="48" customWidth="1"/>
    <col min="14090" max="14336" width="9.140625" style="48"/>
    <col min="14337" max="14337" width="12.5703125" style="48" customWidth="1"/>
    <col min="14338" max="14338" width="14.42578125" style="48" customWidth="1"/>
    <col min="14339" max="14342" width="9.140625" style="48"/>
    <col min="14343" max="14343" width="12.5703125" style="48" customWidth="1"/>
    <col min="14344" max="14344" width="10.5703125" style="48" customWidth="1"/>
    <col min="14345" max="14345" width="12.7109375" style="48" customWidth="1"/>
    <col min="14346" max="14592" width="9.140625" style="48"/>
    <col min="14593" max="14593" width="12.5703125" style="48" customWidth="1"/>
    <col min="14594" max="14594" width="14.42578125" style="48" customWidth="1"/>
    <col min="14595" max="14598" width="9.140625" style="48"/>
    <col min="14599" max="14599" width="12.5703125" style="48" customWidth="1"/>
    <col min="14600" max="14600" width="10.5703125" style="48" customWidth="1"/>
    <col min="14601" max="14601" width="12.7109375" style="48" customWidth="1"/>
    <col min="14602" max="14848" width="9.140625" style="48"/>
    <col min="14849" max="14849" width="12.5703125" style="48" customWidth="1"/>
    <col min="14850" max="14850" width="14.42578125" style="48" customWidth="1"/>
    <col min="14851" max="14854" width="9.140625" style="48"/>
    <col min="14855" max="14855" width="12.5703125" style="48" customWidth="1"/>
    <col min="14856" max="14856" width="10.5703125" style="48" customWidth="1"/>
    <col min="14857" max="14857" width="12.7109375" style="48" customWidth="1"/>
    <col min="14858" max="15104" width="9.140625" style="48"/>
    <col min="15105" max="15105" width="12.5703125" style="48" customWidth="1"/>
    <col min="15106" max="15106" width="14.42578125" style="48" customWidth="1"/>
    <col min="15107" max="15110" width="9.140625" style="48"/>
    <col min="15111" max="15111" width="12.5703125" style="48" customWidth="1"/>
    <col min="15112" max="15112" width="10.5703125" style="48" customWidth="1"/>
    <col min="15113" max="15113" width="12.7109375" style="48" customWidth="1"/>
    <col min="15114" max="15360" width="9.140625" style="48"/>
    <col min="15361" max="15361" width="12.5703125" style="48" customWidth="1"/>
    <col min="15362" max="15362" width="14.42578125" style="48" customWidth="1"/>
    <col min="15363" max="15366" width="9.140625" style="48"/>
    <col min="15367" max="15367" width="12.5703125" style="48" customWidth="1"/>
    <col min="15368" max="15368" width="10.5703125" style="48" customWidth="1"/>
    <col min="15369" max="15369" width="12.7109375" style="48" customWidth="1"/>
    <col min="15370" max="15616" width="9.140625" style="48"/>
    <col min="15617" max="15617" width="12.5703125" style="48" customWidth="1"/>
    <col min="15618" max="15618" width="14.42578125" style="48" customWidth="1"/>
    <col min="15619" max="15622" width="9.140625" style="48"/>
    <col min="15623" max="15623" width="12.5703125" style="48" customWidth="1"/>
    <col min="15624" max="15624" width="10.5703125" style="48" customWidth="1"/>
    <col min="15625" max="15625" width="12.7109375" style="48" customWidth="1"/>
    <col min="15626" max="15872" width="9.140625" style="48"/>
    <col min="15873" max="15873" width="12.5703125" style="48" customWidth="1"/>
    <col min="15874" max="15874" width="14.42578125" style="48" customWidth="1"/>
    <col min="15875" max="15878" width="9.140625" style="48"/>
    <col min="15879" max="15879" width="12.5703125" style="48" customWidth="1"/>
    <col min="15880" max="15880" width="10.5703125" style="48" customWidth="1"/>
    <col min="15881" max="15881" width="12.7109375" style="48" customWidth="1"/>
    <col min="15882" max="16128" width="9.140625" style="48"/>
    <col min="16129" max="16129" width="12.5703125" style="48" customWidth="1"/>
    <col min="16130" max="16130" width="14.42578125" style="48" customWidth="1"/>
    <col min="16131" max="16134" width="9.140625" style="48"/>
    <col min="16135" max="16135" width="12.5703125" style="48" customWidth="1"/>
    <col min="16136" max="16136" width="10.5703125" style="48" customWidth="1"/>
    <col min="16137" max="16137" width="12.7109375" style="48" customWidth="1"/>
    <col min="16138" max="16384" width="9.140625" style="48"/>
  </cols>
  <sheetData>
    <row r="1" spans="1:11">
      <c r="A1" s="47" t="s">
        <v>65</v>
      </c>
      <c r="I1" s="47"/>
      <c r="J1" s="49"/>
      <c r="K1" s="50"/>
    </row>
    <row r="2" spans="1:11">
      <c r="I2" s="50"/>
      <c r="J2" s="50"/>
      <c r="K2" s="50"/>
    </row>
    <row r="3" spans="1:11">
      <c r="A3" s="47" t="s">
        <v>67</v>
      </c>
      <c r="I3" s="50"/>
      <c r="J3" s="50"/>
      <c r="K3" s="50"/>
    </row>
    <row r="4" spans="1:11">
      <c r="C4" s="51" t="s">
        <v>69</v>
      </c>
      <c r="D4" s="52"/>
      <c r="E4" s="52"/>
      <c r="F4" s="52"/>
      <c r="I4" s="50"/>
      <c r="J4" s="50"/>
      <c r="K4" s="50"/>
    </row>
    <row r="5" spans="1:11">
      <c r="B5" s="53"/>
      <c r="C5" s="54" t="s">
        <v>70</v>
      </c>
      <c r="D5" s="54" t="s">
        <v>71</v>
      </c>
      <c r="E5" s="54" t="s">
        <v>72</v>
      </c>
      <c r="F5" s="54" t="s">
        <v>73</v>
      </c>
      <c r="G5" s="53"/>
      <c r="H5" s="53"/>
      <c r="I5" s="55"/>
      <c r="J5" s="50"/>
      <c r="K5" s="50"/>
    </row>
    <row r="6" spans="1:11">
      <c r="A6" s="48" t="s">
        <v>74</v>
      </c>
      <c r="B6" s="53" t="s">
        <v>75</v>
      </c>
      <c r="C6" s="56">
        <v>131</v>
      </c>
      <c r="D6" s="56">
        <v>218</v>
      </c>
      <c r="E6" s="56">
        <v>266</v>
      </c>
      <c r="F6" s="56">
        <v>120</v>
      </c>
      <c r="G6" s="53"/>
      <c r="H6" s="53"/>
      <c r="I6" s="55"/>
      <c r="J6" s="50"/>
      <c r="K6" s="50"/>
    </row>
    <row r="7" spans="1:11">
      <c r="B7" s="53" t="s">
        <v>76</v>
      </c>
      <c r="C7" s="56">
        <v>250</v>
      </c>
      <c r="D7" s="56">
        <v>116</v>
      </c>
      <c r="E7" s="56">
        <v>263</v>
      </c>
      <c r="F7" s="56">
        <v>278</v>
      </c>
      <c r="G7" s="53"/>
      <c r="H7" s="53"/>
      <c r="I7" s="55"/>
      <c r="J7" s="50"/>
    </row>
    <row r="8" spans="1:11">
      <c r="B8" s="53" t="s">
        <v>77</v>
      </c>
      <c r="C8" s="56">
        <v>178</v>
      </c>
      <c r="D8" s="56">
        <v>132</v>
      </c>
      <c r="E8" s="56">
        <v>122</v>
      </c>
      <c r="F8" s="56">
        <v>180</v>
      </c>
      <c r="G8" s="53"/>
      <c r="H8" s="53"/>
      <c r="I8" s="55"/>
      <c r="J8" s="50"/>
    </row>
    <row r="9" spans="1:11">
      <c r="B9" s="53"/>
      <c r="C9" s="53"/>
      <c r="D9" s="53"/>
      <c r="E9" s="53"/>
      <c r="F9" s="53"/>
      <c r="G9" s="53"/>
      <c r="H9" s="53"/>
      <c r="I9" s="55"/>
      <c r="J9" s="50"/>
    </row>
    <row r="10" spans="1:11">
      <c r="A10" s="47" t="s">
        <v>78</v>
      </c>
      <c r="B10" s="53"/>
      <c r="C10" s="53"/>
      <c r="D10" s="53"/>
      <c r="E10" s="53"/>
      <c r="F10" s="53"/>
      <c r="G10" s="53"/>
      <c r="H10" s="53"/>
      <c r="I10" s="55"/>
      <c r="J10" s="50"/>
    </row>
    <row r="11" spans="1:11">
      <c r="B11" s="53"/>
      <c r="C11" s="57" t="s">
        <v>69</v>
      </c>
      <c r="D11" s="58"/>
      <c r="E11" s="58"/>
      <c r="F11" s="58"/>
      <c r="G11" s="53"/>
      <c r="H11" s="53"/>
      <c r="I11" s="53"/>
    </row>
    <row r="12" spans="1:11">
      <c r="B12" s="53"/>
      <c r="C12" s="54" t="s">
        <v>70</v>
      </c>
      <c r="D12" s="54" t="s">
        <v>71</v>
      </c>
      <c r="E12" s="54" t="s">
        <v>72</v>
      </c>
      <c r="F12" s="54" t="s">
        <v>73</v>
      </c>
      <c r="G12" s="54" t="s">
        <v>79</v>
      </c>
      <c r="H12" s="54"/>
      <c r="I12" s="54" t="s">
        <v>66</v>
      </c>
      <c r="K12" s="59"/>
    </row>
    <row r="13" spans="1:11">
      <c r="A13" s="48" t="s">
        <v>74</v>
      </c>
      <c r="B13" s="53" t="s">
        <v>75</v>
      </c>
      <c r="C13" s="60">
        <v>150</v>
      </c>
      <c r="D13" s="60">
        <v>0</v>
      </c>
      <c r="E13" s="60">
        <v>0</v>
      </c>
      <c r="F13" s="60">
        <v>300</v>
      </c>
      <c r="G13" s="53">
        <f t="shared" ref="G13:G15" si="0">SUM(C13:F13)</f>
        <v>450</v>
      </c>
      <c r="H13" s="61" t="s">
        <v>42</v>
      </c>
      <c r="I13" s="62">
        <v>450</v>
      </c>
    </row>
    <row r="14" spans="1:11">
      <c r="B14" s="53" t="s">
        <v>76</v>
      </c>
      <c r="C14" s="60">
        <v>0</v>
      </c>
      <c r="D14" s="60">
        <v>200</v>
      </c>
      <c r="E14" s="60">
        <v>0</v>
      </c>
      <c r="F14" s="60">
        <v>0</v>
      </c>
      <c r="G14" s="53">
        <f t="shared" si="0"/>
        <v>200</v>
      </c>
      <c r="H14" s="61" t="s">
        <v>42</v>
      </c>
      <c r="I14" s="62">
        <v>600</v>
      </c>
    </row>
    <row r="15" spans="1:11">
      <c r="B15" s="53" t="s">
        <v>77</v>
      </c>
      <c r="C15" s="60">
        <v>300</v>
      </c>
      <c r="D15" s="60">
        <v>0</v>
      </c>
      <c r="E15" s="60">
        <v>300</v>
      </c>
      <c r="F15" s="60">
        <v>0</v>
      </c>
      <c r="G15" s="53">
        <f t="shared" si="0"/>
        <v>600</v>
      </c>
      <c r="H15" s="61" t="s">
        <v>42</v>
      </c>
      <c r="I15" s="62">
        <v>600</v>
      </c>
    </row>
    <row r="16" spans="1:11">
      <c r="B16" s="53" t="s">
        <v>80</v>
      </c>
      <c r="C16" s="53">
        <f t="shared" ref="C16:F16" si="1">SUM(C13:C15)</f>
        <v>450</v>
      </c>
      <c r="D16" s="53">
        <f t="shared" si="1"/>
        <v>200</v>
      </c>
      <c r="E16" s="53">
        <f t="shared" si="1"/>
        <v>300</v>
      </c>
      <c r="F16" s="53">
        <f t="shared" si="1"/>
        <v>300</v>
      </c>
      <c r="G16" s="53"/>
      <c r="H16" s="53"/>
      <c r="I16" s="63"/>
    </row>
    <row r="17" spans="1:11">
      <c r="B17" s="53"/>
      <c r="C17" s="54" t="s">
        <v>2</v>
      </c>
      <c r="D17" s="54" t="s">
        <v>2</v>
      </c>
      <c r="E17" s="54" t="s">
        <v>2</v>
      </c>
      <c r="F17" s="54" t="s">
        <v>2</v>
      </c>
      <c r="G17" s="53"/>
      <c r="H17" s="53"/>
      <c r="I17" s="53"/>
      <c r="K17" s="59"/>
    </row>
    <row r="18" spans="1:11">
      <c r="B18" s="53" t="s">
        <v>68</v>
      </c>
      <c r="C18" s="62">
        <v>450</v>
      </c>
      <c r="D18" s="62">
        <v>200</v>
      </c>
      <c r="E18" s="62">
        <v>300</v>
      </c>
      <c r="F18" s="62">
        <v>300</v>
      </c>
      <c r="G18" s="53"/>
      <c r="H18" s="53"/>
      <c r="I18" s="53"/>
      <c r="K18" s="64"/>
    </row>
    <row r="19" spans="1:11">
      <c r="B19" s="53"/>
      <c r="C19" s="63"/>
      <c r="D19" s="63"/>
      <c r="E19" s="63"/>
      <c r="F19" s="63"/>
      <c r="G19" s="53"/>
      <c r="H19" s="53"/>
      <c r="I19" s="53"/>
    </row>
    <row r="20" spans="1:11">
      <c r="A20" s="47" t="s">
        <v>26</v>
      </c>
      <c r="B20" s="53"/>
      <c r="C20" s="53"/>
      <c r="D20" s="53"/>
      <c r="E20" s="53"/>
      <c r="F20" s="53"/>
      <c r="G20" s="53"/>
      <c r="H20" s="53"/>
      <c r="I20" s="53"/>
    </row>
    <row r="21" spans="1:11">
      <c r="A21" s="51" t="s">
        <v>1</v>
      </c>
      <c r="B21" s="65">
        <f>SUMPRODUCT($C$6:$F$8,Shipping_Plan)</f>
        <v>168850</v>
      </c>
      <c r="C21" s="53"/>
      <c r="D21" s="53"/>
      <c r="E21" s="53"/>
      <c r="F21" s="53"/>
      <c r="G21" s="53"/>
      <c r="H21" s="53"/>
      <c r="I21" s="53"/>
    </row>
    <row r="22" spans="1:11">
      <c r="A22" s="48" t="s">
        <v>81</v>
      </c>
      <c r="D22" s="67">
        <v>164150</v>
      </c>
    </row>
    <row r="23" spans="1:11">
      <c r="A23" s="48" t="s">
        <v>82</v>
      </c>
      <c r="D23" s="67">
        <v>176050</v>
      </c>
      <c r="E23" s="66"/>
    </row>
    <row r="24" spans="1:11">
      <c r="A24" s="48" t="s">
        <v>83</v>
      </c>
      <c r="D24" s="67">
        <v>168850</v>
      </c>
    </row>
  </sheetData>
  <printOptions horizontalCentered="1" verticalCentered="1" headings="1" gridLines="1" gridLinesSet="0"/>
  <pageMargins left="0.75" right="0.75" top="1" bottom="1" header="0.5" footer="0.5"/>
  <pageSetup scale="7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6" sqref="H6"/>
    </sheetView>
  </sheetViews>
  <sheetFormatPr defaultRowHeight="15"/>
  <cols>
    <col min="1" max="1" width="10.28515625" style="68" customWidth="1"/>
    <col min="2" max="2" width="15.85546875" style="68" customWidth="1"/>
    <col min="3" max="6" width="9.140625" style="68"/>
    <col min="7" max="7" width="15.5703125" style="68" customWidth="1"/>
    <col min="8" max="8" width="9.140625" style="68"/>
    <col min="9" max="9" width="16.5703125" style="68" customWidth="1"/>
    <col min="10" max="10" width="9.140625" style="68"/>
    <col min="11" max="11" width="29" style="68" customWidth="1"/>
    <col min="12" max="12" width="20.42578125" style="68" customWidth="1"/>
    <col min="13" max="16384" width="9.140625" style="68"/>
  </cols>
  <sheetData>
    <row r="1" spans="1:11">
      <c r="A1" s="73" t="s">
        <v>93</v>
      </c>
      <c r="B1" s="73"/>
      <c r="C1" s="73"/>
      <c r="D1" s="73"/>
      <c r="E1" s="73"/>
      <c r="F1" s="77"/>
    </row>
    <row r="3" spans="1:11">
      <c r="A3" s="70" t="s">
        <v>92</v>
      </c>
      <c r="B3" s="70"/>
      <c r="C3" s="70"/>
      <c r="D3" s="70"/>
    </row>
    <row r="4" spans="1:11">
      <c r="C4" s="68" t="s">
        <v>90</v>
      </c>
      <c r="K4" s="76"/>
    </row>
    <row r="5" spans="1:11">
      <c r="C5" s="68">
        <v>1</v>
      </c>
      <c r="D5" s="68">
        <v>2</v>
      </c>
      <c r="E5" s="68">
        <v>3</v>
      </c>
      <c r="F5" s="68">
        <v>4</v>
      </c>
    </row>
    <row r="6" spans="1:11">
      <c r="A6" s="68" t="s">
        <v>87</v>
      </c>
      <c r="B6" s="68">
        <v>1</v>
      </c>
      <c r="C6" s="75">
        <v>14</v>
      </c>
      <c r="D6" s="75">
        <v>5</v>
      </c>
      <c r="E6" s="75">
        <v>8</v>
      </c>
      <c r="F6" s="75">
        <v>7</v>
      </c>
    </row>
    <row r="7" spans="1:11">
      <c r="B7" s="68">
        <v>2</v>
      </c>
      <c r="C7" s="75">
        <v>2</v>
      </c>
      <c r="D7" s="75">
        <v>12</v>
      </c>
      <c r="E7" s="75">
        <v>6</v>
      </c>
      <c r="F7" s="75">
        <v>5</v>
      </c>
    </row>
    <row r="8" spans="1:11">
      <c r="B8" s="68">
        <v>3</v>
      </c>
      <c r="C8" s="75">
        <v>7</v>
      </c>
      <c r="D8" s="75">
        <v>8</v>
      </c>
      <c r="E8" s="75">
        <v>3</v>
      </c>
      <c r="F8" s="75">
        <v>9</v>
      </c>
    </row>
    <row r="9" spans="1:11">
      <c r="B9" s="68">
        <v>4</v>
      </c>
      <c r="C9" s="75">
        <v>2</v>
      </c>
      <c r="D9" s="75">
        <v>4</v>
      </c>
      <c r="E9" s="75">
        <v>6</v>
      </c>
      <c r="F9" s="75">
        <v>10</v>
      </c>
    </row>
    <row r="10" spans="1:11">
      <c r="B10" s="68">
        <v>5</v>
      </c>
      <c r="C10" s="75">
        <v>5</v>
      </c>
      <c r="D10" s="75">
        <v>5</v>
      </c>
      <c r="E10" s="75">
        <v>4</v>
      </c>
      <c r="F10" s="75">
        <v>8</v>
      </c>
    </row>
    <row r="12" spans="1:11">
      <c r="A12" s="70" t="s">
        <v>91</v>
      </c>
      <c r="B12" s="70"/>
      <c r="C12" s="70"/>
      <c r="D12" s="70"/>
      <c r="E12" s="70"/>
      <c r="F12" s="70"/>
      <c r="G12" s="70"/>
      <c r="H12" s="74"/>
      <c r="I12" s="74"/>
    </row>
    <row r="13" spans="1:11">
      <c r="A13" s="73"/>
      <c r="B13" s="73"/>
      <c r="C13" s="68" t="s">
        <v>90</v>
      </c>
      <c r="D13" s="73"/>
      <c r="E13" s="73"/>
      <c r="F13" s="73"/>
    </row>
    <row r="14" spans="1:11">
      <c r="C14" s="68">
        <v>1</v>
      </c>
      <c r="D14" s="68">
        <v>2</v>
      </c>
      <c r="E14" s="68">
        <v>3</v>
      </c>
      <c r="F14" s="68">
        <v>4</v>
      </c>
      <c r="G14" s="72" t="s">
        <v>89</v>
      </c>
      <c r="H14" s="73"/>
      <c r="I14" s="72" t="s">
        <v>88</v>
      </c>
    </row>
    <row r="15" spans="1:11">
      <c r="A15" s="68" t="s">
        <v>87</v>
      </c>
      <c r="B15" s="71">
        <v>1</v>
      </c>
      <c r="C15" s="78">
        <v>0</v>
      </c>
      <c r="D15" s="78">
        <v>0</v>
      </c>
      <c r="E15" s="78">
        <v>0</v>
      </c>
      <c r="F15" s="78">
        <v>0</v>
      </c>
      <c r="G15" s="68">
        <f>SUM(C15:F15)</f>
        <v>0</v>
      </c>
      <c r="H15" s="71" t="s">
        <v>42</v>
      </c>
      <c r="I15" s="75">
        <v>1</v>
      </c>
    </row>
    <row r="16" spans="1:11">
      <c r="B16" s="71">
        <v>2</v>
      </c>
      <c r="C16" s="78">
        <v>1</v>
      </c>
      <c r="D16" s="78">
        <v>0</v>
      </c>
      <c r="E16" s="78">
        <v>0</v>
      </c>
      <c r="F16" s="78">
        <v>0</v>
      </c>
      <c r="G16" s="68">
        <f>SUM(C16:F16)</f>
        <v>1</v>
      </c>
      <c r="H16" s="71" t="s">
        <v>42</v>
      </c>
      <c r="I16" s="75">
        <v>2</v>
      </c>
    </row>
    <row r="17" spans="1:9">
      <c r="B17" s="71">
        <v>3</v>
      </c>
      <c r="C17" s="78">
        <v>0</v>
      </c>
      <c r="D17" s="78">
        <v>0</v>
      </c>
      <c r="E17" s="78">
        <v>1</v>
      </c>
      <c r="F17" s="78">
        <v>0</v>
      </c>
      <c r="G17" s="68">
        <f>SUM(C17:F17)</f>
        <v>1</v>
      </c>
      <c r="H17" s="71" t="s">
        <v>42</v>
      </c>
      <c r="I17" s="75">
        <v>1</v>
      </c>
    </row>
    <row r="18" spans="1:9">
      <c r="B18" s="71">
        <v>4</v>
      </c>
      <c r="C18" s="78">
        <v>0</v>
      </c>
      <c r="D18" s="78">
        <v>1</v>
      </c>
      <c r="E18" s="78">
        <v>0</v>
      </c>
      <c r="F18" s="78">
        <v>0</v>
      </c>
      <c r="G18" s="68">
        <f>SUM(C18:F18)</f>
        <v>1</v>
      </c>
      <c r="H18" s="71" t="s">
        <v>42</v>
      </c>
      <c r="I18" s="75">
        <v>2</v>
      </c>
    </row>
    <row r="19" spans="1:9">
      <c r="B19" s="71">
        <v>5</v>
      </c>
      <c r="C19" s="78">
        <v>0</v>
      </c>
      <c r="D19" s="78">
        <v>0</v>
      </c>
      <c r="E19" s="78">
        <v>0</v>
      </c>
      <c r="F19" s="78">
        <v>0</v>
      </c>
      <c r="G19" s="68">
        <f>SUM(C19:F19)</f>
        <v>0</v>
      </c>
      <c r="H19" s="71" t="s">
        <v>42</v>
      </c>
      <c r="I19" s="75">
        <v>1</v>
      </c>
    </row>
    <row r="20" spans="1:9">
      <c r="B20" s="68" t="s">
        <v>86</v>
      </c>
      <c r="C20" s="68">
        <f>SUM(C15:C19)</f>
        <v>1</v>
      </c>
      <c r="D20" s="68">
        <f>SUM(D15:D19)</f>
        <v>1</v>
      </c>
      <c r="E20" s="68">
        <f>SUM(E15:E19)</f>
        <v>1</v>
      </c>
      <c r="F20" s="68">
        <f>SUM(F15:F19)</f>
        <v>0</v>
      </c>
      <c r="G20" s="68">
        <f>SUM(G15:G19)</f>
        <v>3</v>
      </c>
      <c r="H20" s="71" t="s">
        <v>2</v>
      </c>
      <c r="I20" s="75">
        <v>3</v>
      </c>
    </row>
    <row r="21" spans="1:9">
      <c r="C21" s="71" t="s">
        <v>42</v>
      </c>
      <c r="D21" s="71" t="s">
        <v>42</v>
      </c>
      <c r="E21" s="71" t="s">
        <v>42</v>
      </c>
      <c r="F21" s="71" t="s">
        <v>42</v>
      </c>
    </row>
    <row r="22" spans="1:9">
      <c r="B22" s="68" t="s">
        <v>85</v>
      </c>
      <c r="C22" s="68">
        <v>1</v>
      </c>
      <c r="D22" s="68">
        <v>1</v>
      </c>
      <c r="E22" s="68">
        <v>1</v>
      </c>
      <c r="F22" s="68">
        <v>1</v>
      </c>
    </row>
    <row r="24" spans="1:9">
      <c r="A24" s="70" t="s">
        <v>26</v>
      </c>
      <c r="B24" s="70"/>
    </row>
    <row r="25" spans="1:9">
      <c r="A25" s="68" t="s">
        <v>84</v>
      </c>
      <c r="B25" s="69">
        <f>SUMPRODUCT(C6:F10,C15:F19)</f>
        <v>9</v>
      </c>
    </row>
  </sheetData>
  <mergeCells count="3">
    <mergeCell ref="A12:G12"/>
    <mergeCell ref="A24:B24"/>
    <mergeCell ref="A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D74" sqref="D74"/>
    </sheetView>
  </sheetViews>
  <sheetFormatPr defaultRowHeight="15"/>
  <cols>
    <col min="1" max="1" width="14" style="48" customWidth="1"/>
    <col min="2" max="2" width="11.28515625" style="48" bestFit="1" customWidth="1"/>
    <col min="3" max="6" width="9.140625" style="48"/>
    <col min="7" max="7" width="12.5703125" style="48" customWidth="1"/>
    <col min="8" max="8" width="9.140625" style="48"/>
    <col min="9" max="9" width="18" style="48" bestFit="1" customWidth="1"/>
    <col min="10" max="10" width="9.140625" style="48"/>
    <col min="11" max="11" width="20.7109375" style="48" bestFit="1" customWidth="1"/>
    <col min="12" max="16384" width="9.140625" style="48"/>
  </cols>
  <sheetData>
    <row r="1" spans="1:12">
      <c r="A1" s="47" t="s">
        <v>94</v>
      </c>
    </row>
    <row r="3" spans="1:12">
      <c r="A3" s="47" t="s">
        <v>95</v>
      </c>
      <c r="F3" s="47" t="s">
        <v>96</v>
      </c>
      <c r="K3" s="47"/>
    </row>
    <row r="4" spans="1:12">
      <c r="A4" s="59" t="s">
        <v>97</v>
      </c>
      <c r="B4" s="59" t="s">
        <v>98</v>
      </c>
      <c r="C4" s="59" t="s">
        <v>99</v>
      </c>
      <c r="D4" s="59" t="s">
        <v>100</v>
      </c>
      <c r="F4" s="59" t="s">
        <v>101</v>
      </c>
      <c r="G4" s="59" t="s">
        <v>102</v>
      </c>
      <c r="H4" s="59"/>
      <c r="I4" s="59" t="s">
        <v>103</v>
      </c>
      <c r="K4" s="50"/>
      <c r="L4" s="50"/>
    </row>
    <row r="5" spans="1:12">
      <c r="A5" s="48">
        <v>1</v>
      </c>
      <c r="B5" s="48">
        <v>2</v>
      </c>
      <c r="C5" s="62">
        <v>70</v>
      </c>
      <c r="D5" s="60">
        <v>0</v>
      </c>
      <c r="F5" s="48">
        <v>1</v>
      </c>
      <c r="G5" s="48">
        <f t="shared" ref="G5:G14" si="0">SUMIF(Origin,F5,Flow)-SUMIF(Destination,F5,Flow)</f>
        <v>1</v>
      </c>
      <c r="H5" s="79" t="s">
        <v>104</v>
      </c>
      <c r="I5" s="48">
        <v>1</v>
      </c>
      <c r="K5" s="50"/>
      <c r="L5" s="50"/>
    </row>
    <row r="6" spans="1:12">
      <c r="A6" s="48">
        <v>1</v>
      </c>
      <c r="B6" s="48">
        <v>3</v>
      </c>
      <c r="C6" s="62">
        <v>63</v>
      </c>
      <c r="D6" s="60">
        <v>0</v>
      </c>
      <c r="F6" s="48">
        <v>2</v>
      </c>
      <c r="G6" s="48">
        <f t="shared" si="0"/>
        <v>0</v>
      </c>
      <c r="H6" s="79" t="s">
        <v>104</v>
      </c>
      <c r="I6" s="48">
        <v>0</v>
      </c>
      <c r="K6" s="50"/>
      <c r="L6" s="50"/>
    </row>
    <row r="7" spans="1:12">
      <c r="A7" s="48">
        <v>1</v>
      </c>
      <c r="B7" s="48">
        <v>4</v>
      </c>
      <c r="C7" s="62">
        <v>56</v>
      </c>
      <c r="D7" s="60">
        <v>1</v>
      </c>
      <c r="F7" s="48">
        <v>3</v>
      </c>
      <c r="G7" s="48">
        <f t="shared" si="0"/>
        <v>0</v>
      </c>
      <c r="H7" s="79" t="s">
        <v>104</v>
      </c>
      <c r="I7" s="48">
        <v>0</v>
      </c>
      <c r="K7" s="50"/>
      <c r="L7" s="50"/>
    </row>
    <row r="8" spans="1:12">
      <c r="A8" s="48">
        <v>2</v>
      </c>
      <c r="B8" s="48">
        <v>1</v>
      </c>
      <c r="C8" s="62">
        <v>70</v>
      </c>
      <c r="D8" s="60">
        <v>0</v>
      </c>
      <c r="F8" s="48">
        <v>4</v>
      </c>
      <c r="G8" s="48">
        <f t="shared" si="0"/>
        <v>0</v>
      </c>
      <c r="H8" s="79" t="s">
        <v>104</v>
      </c>
      <c r="I8" s="48">
        <v>0</v>
      </c>
      <c r="K8" s="50"/>
      <c r="L8" s="50"/>
    </row>
    <row r="9" spans="1:12">
      <c r="A9" s="48">
        <v>2</v>
      </c>
      <c r="B9" s="48">
        <v>3</v>
      </c>
      <c r="C9" s="62">
        <v>25</v>
      </c>
      <c r="D9" s="60">
        <v>0</v>
      </c>
      <c r="F9" s="48">
        <v>5</v>
      </c>
      <c r="G9" s="48">
        <f t="shared" si="0"/>
        <v>0</v>
      </c>
      <c r="H9" s="79" t="s">
        <v>104</v>
      </c>
      <c r="I9" s="48">
        <v>0</v>
      </c>
      <c r="K9" s="50"/>
      <c r="L9" s="50"/>
    </row>
    <row r="10" spans="1:12">
      <c r="A10" s="48">
        <v>2</v>
      </c>
      <c r="B10" s="48">
        <v>4</v>
      </c>
      <c r="C10" s="62">
        <v>19</v>
      </c>
      <c r="D10" s="60">
        <v>0</v>
      </c>
      <c r="F10" s="48">
        <v>6</v>
      </c>
      <c r="G10" s="48">
        <f t="shared" si="0"/>
        <v>0</v>
      </c>
      <c r="H10" s="79" t="s">
        <v>104</v>
      </c>
      <c r="I10" s="48">
        <v>0</v>
      </c>
      <c r="K10" s="50"/>
      <c r="L10" s="50"/>
    </row>
    <row r="11" spans="1:12">
      <c r="A11" s="48">
        <v>2</v>
      </c>
      <c r="B11" s="48">
        <v>5</v>
      </c>
      <c r="C11" s="62">
        <v>73</v>
      </c>
      <c r="D11" s="60">
        <v>0</v>
      </c>
      <c r="F11" s="48">
        <v>7</v>
      </c>
      <c r="G11" s="48">
        <f t="shared" si="0"/>
        <v>0</v>
      </c>
      <c r="H11" s="79" t="s">
        <v>104</v>
      </c>
      <c r="I11" s="48">
        <v>0</v>
      </c>
    </row>
    <row r="12" spans="1:12">
      <c r="A12" s="48">
        <v>2</v>
      </c>
      <c r="B12" s="48">
        <v>6</v>
      </c>
      <c r="C12" s="62">
        <v>50</v>
      </c>
      <c r="D12" s="60">
        <v>0</v>
      </c>
      <c r="F12" s="48">
        <v>8</v>
      </c>
      <c r="G12" s="48">
        <f t="shared" si="0"/>
        <v>0</v>
      </c>
      <c r="H12" s="79" t="s">
        <v>104</v>
      </c>
      <c r="I12" s="48">
        <v>0</v>
      </c>
    </row>
    <row r="13" spans="1:12">
      <c r="A13" s="48">
        <v>2</v>
      </c>
      <c r="B13" s="48">
        <v>7</v>
      </c>
      <c r="C13" s="62">
        <v>79</v>
      </c>
      <c r="D13" s="60">
        <v>0</v>
      </c>
      <c r="F13" s="48">
        <v>9</v>
      </c>
      <c r="G13" s="48">
        <f t="shared" si="0"/>
        <v>0</v>
      </c>
      <c r="H13" s="79" t="s">
        <v>104</v>
      </c>
      <c r="I13" s="48">
        <v>0</v>
      </c>
    </row>
    <row r="14" spans="1:12">
      <c r="A14" s="48">
        <v>3</v>
      </c>
      <c r="B14" s="48">
        <v>1</v>
      </c>
      <c r="C14" s="62">
        <v>63</v>
      </c>
      <c r="D14" s="60">
        <v>0</v>
      </c>
      <c r="F14" s="48">
        <v>10</v>
      </c>
      <c r="G14" s="48">
        <f t="shared" si="0"/>
        <v>-1</v>
      </c>
      <c r="H14" s="79" t="s">
        <v>104</v>
      </c>
      <c r="I14" s="48">
        <v>-1</v>
      </c>
    </row>
    <row r="15" spans="1:12">
      <c r="A15" s="48">
        <v>3</v>
      </c>
      <c r="B15" s="48">
        <v>2</v>
      </c>
      <c r="C15" s="62">
        <v>25</v>
      </c>
      <c r="D15" s="60">
        <v>0</v>
      </c>
    </row>
    <row r="16" spans="1:12">
      <c r="A16" s="48">
        <v>3</v>
      </c>
      <c r="B16" s="48">
        <v>4</v>
      </c>
      <c r="C16" s="62">
        <v>29</v>
      </c>
      <c r="D16" s="60">
        <v>0</v>
      </c>
    </row>
    <row r="17" spans="1:9">
      <c r="A17" s="48">
        <v>3</v>
      </c>
      <c r="B17" s="48">
        <v>5</v>
      </c>
      <c r="C17" s="62">
        <v>69</v>
      </c>
      <c r="D17" s="60">
        <v>0</v>
      </c>
      <c r="F17" s="59"/>
      <c r="G17" s="59"/>
      <c r="H17" s="59"/>
      <c r="I17" s="59"/>
    </row>
    <row r="18" spans="1:9">
      <c r="A18" s="48">
        <v>3</v>
      </c>
      <c r="B18" s="48">
        <v>6</v>
      </c>
      <c r="C18" s="62">
        <v>61</v>
      </c>
      <c r="D18" s="60">
        <v>0</v>
      </c>
    </row>
    <row r="19" spans="1:9">
      <c r="A19" s="48">
        <v>4</v>
      </c>
      <c r="B19" s="48">
        <v>1</v>
      </c>
      <c r="C19" s="62">
        <v>56</v>
      </c>
      <c r="D19" s="60">
        <v>0</v>
      </c>
    </row>
    <row r="20" spans="1:9">
      <c r="A20" s="48">
        <v>4</v>
      </c>
      <c r="B20" s="48">
        <v>2</v>
      </c>
      <c r="C20" s="62">
        <v>19</v>
      </c>
      <c r="D20" s="60">
        <v>0</v>
      </c>
    </row>
    <row r="21" spans="1:9">
      <c r="A21" s="48">
        <v>4</v>
      </c>
      <c r="B21" s="48">
        <v>3</v>
      </c>
      <c r="C21" s="62">
        <v>29</v>
      </c>
      <c r="D21" s="60">
        <v>0</v>
      </c>
    </row>
    <row r="22" spans="1:9">
      <c r="A22" s="48">
        <v>4</v>
      </c>
      <c r="B22" s="48">
        <v>5</v>
      </c>
      <c r="C22" s="62">
        <v>67</v>
      </c>
      <c r="D22" s="60">
        <v>0</v>
      </c>
    </row>
    <row r="23" spans="1:9">
      <c r="A23" s="48">
        <v>4</v>
      </c>
      <c r="B23" s="48">
        <v>6</v>
      </c>
      <c r="C23" s="62">
        <v>45</v>
      </c>
      <c r="D23" s="60">
        <v>1</v>
      </c>
    </row>
    <row r="24" spans="1:9">
      <c r="A24" s="48">
        <v>4</v>
      </c>
      <c r="B24" s="48">
        <v>9</v>
      </c>
      <c r="C24" s="62">
        <v>85</v>
      </c>
      <c r="D24" s="60">
        <v>0</v>
      </c>
    </row>
    <row r="25" spans="1:9">
      <c r="A25" s="48">
        <v>5</v>
      </c>
      <c r="B25" s="48">
        <v>2</v>
      </c>
      <c r="C25" s="62">
        <v>73</v>
      </c>
      <c r="D25" s="60">
        <v>0</v>
      </c>
    </row>
    <row r="26" spans="1:9">
      <c r="A26" s="48">
        <v>5</v>
      </c>
      <c r="B26" s="48">
        <v>3</v>
      </c>
      <c r="C26" s="62">
        <v>69</v>
      </c>
      <c r="D26" s="60">
        <v>0</v>
      </c>
    </row>
    <row r="27" spans="1:9">
      <c r="A27" s="48">
        <v>5</v>
      </c>
      <c r="B27" s="48">
        <v>4</v>
      </c>
      <c r="C27" s="62">
        <v>67</v>
      </c>
      <c r="D27" s="60">
        <v>0</v>
      </c>
    </row>
    <row r="28" spans="1:9">
      <c r="A28" s="48">
        <v>5</v>
      </c>
      <c r="B28" s="48">
        <v>6</v>
      </c>
      <c r="C28" s="62">
        <v>18</v>
      </c>
      <c r="D28" s="60">
        <v>0</v>
      </c>
    </row>
    <row r="29" spans="1:9">
      <c r="A29" s="48">
        <v>5</v>
      </c>
      <c r="B29" s="48">
        <v>7</v>
      </c>
      <c r="C29" s="62">
        <v>67</v>
      </c>
      <c r="D29" s="60">
        <v>0</v>
      </c>
    </row>
    <row r="30" spans="1:9">
      <c r="A30" s="48">
        <v>5</v>
      </c>
      <c r="B30" s="48">
        <v>8</v>
      </c>
      <c r="C30" s="62">
        <v>69</v>
      </c>
      <c r="D30" s="60">
        <v>0</v>
      </c>
    </row>
    <row r="31" spans="1:9">
      <c r="A31" s="48">
        <v>5</v>
      </c>
      <c r="B31" s="48">
        <v>9</v>
      </c>
      <c r="C31" s="62">
        <v>54</v>
      </c>
      <c r="D31" s="60">
        <v>0</v>
      </c>
    </row>
    <row r="32" spans="1:9">
      <c r="A32" s="48">
        <v>5</v>
      </c>
      <c r="B32" s="48">
        <v>10</v>
      </c>
      <c r="C32" s="62">
        <v>87</v>
      </c>
      <c r="D32" s="60">
        <v>0</v>
      </c>
    </row>
    <row r="33" spans="1:4">
      <c r="A33" s="48">
        <v>6</v>
      </c>
      <c r="B33" s="48">
        <v>2</v>
      </c>
      <c r="C33" s="62">
        <v>50</v>
      </c>
      <c r="D33" s="60">
        <v>0</v>
      </c>
    </row>
    <row r="34" spans="1:4">
      <c r="A34" s="48">
        <v>6</v>
      </c>
      <c r="B34" s="48">
        <v>3</v>
      </c>
      <c r="C34" s="62">
        <v>61</v>
      </c>
      <c r="D34" s="60">
        <v>0</v>
      </c>
    </row>
    <row r="35" spans="1:4">
      <c r="A35" s="48">
        <v>6</v>
      </c>
      <c r="B35" s="48">
        <v>4</v>
      </c>
      <c r="C35" s="62">
        <v>45</v>
      </c>
      <c r="D35" s="60">
        <v>0</v>
      </c>
    </row>
    <row r="36" spans="1:4">
      <c r="A36" s="48">
        <v>6</v>
      </c>
      <c r="B36" s="48">
        <v>5</v>
      </c>
      <c r="C36" s="62">
        <v>18</v>
      </c>
      <c r="D36" s="60">
        <v>0</v>
      </c>
    </row>
    <row r="37" spans="1:4">
      <c r="A37" s="48">
        <v>6</v>
      </c>
      <c r="B37" s="48">
        <v>7</v>
      </c>
      <c r="C37" s="62">
        <v>72</v>
      </c>
      <c r="D37" s="60">
        <v>0</v>
      </c>
    </row>
    <row r="38" spans="1:4">
      <c r="A38" s="48">
        <v>6</v>
      </c>
      <c r="B38" s="48">
        <v>8</v>
      </c>
      <c r="C38" s="62">
        <v>52</v>
      </c>
      <c r="D38" s="60">
        <v>0</v>
      </c>
    </row>
    <row r="39" spans="1:4">
      <c r="A39" s="48">
        <v>6</v>
      </c>
      <c r="B39" s="48">
        <v>9</v>
      </c>
      <c r="C39" s="62">
        <v>51</v>
      </c>
      <c r="D39" s="60">
        <v>0</v>
      </c>
    </row>
    <row r="40" spans="1:4">
      <c r="A40" s="48">
        <v>6</v>
      </c>
      <c r="B40" s="48">
        <v>10</v>
      </c>
      <c r="C40" s="62">
        <v>97</v>
      </c>
      <c r="D40" s="60">
        <v>1</v>
      </c>
    </row>
    <row r="41" spans="1:4">
      <c r="A41" s="48">
        <v>7</v>
      </c>
      <c r="B41" s="48">
        <v>2</v>
      </c>
      <c r="C41" s="62">
        <v>79</v>
      </c>
      <c r="D41" s="60">
        <v>0</v>
      </c>
    </row>
    <row r="42" spans="1:4">
      <c r="A42" s="48">
        <v>7</v>
      </c>
      <c r="B42" s="48">
        <v>5</v>
      </c>
      <c r="C42" s="62">
        <v>67</v>
      </c>
      <c r="D42" s="60">
        <v>0</v>
      </c>
    </row>
    <row r="43" spans="1:4">
      <c r="A43" s="48">
        <v>7</v>
      </c>
      <c r="B43" s="48">
        <v>6</v>
      </c>
      <c r="C43" s="62">
        <v>72</v>
      </c>
      <c r="D43" s="60">
        <v>0</v>
      </c>
    </row>
    <row r="44" spans="1:4">
      <c r="A44" s="48">
        <v>7</v>
      </c>
      <c r="B44" s="48">
        <v>8</v>
      </c>
      <c r="C44" s="62">
        <v>17</v>
      </c>
      <c r="D44" s="60">
        <v>0</v>
      </c>
    </row>
    <row r="45" spans="1:4">
      <c r="A45" s="48">
        <v>7</v>
      </c>
      <c r="B45" s="48">
        <v>9</v>
      </c>
      <c r="C45" s="62">
        <v>31</v>
      </c>
      <c r="D45" s="60">
        <v>0</v>
      </c>
    </row>
    <row r="46" spans="1:4">
      <c r="A46" s="48">
        <v>7</v>
      </c>
      <c r="B46" s="48">
        <v>10</v>
      </c>
      <c r="C46" s="62">
        <v>72</v>
      </c>
      <c r="D46" s="60">
        <v>0</v>
      </c>
    </row>
    <row r="47" spans="1:4">
      <c r="A47" s="48">
        <v>8</v>
      </c>
      <c r="B47" s="48">
        <v>5</v>
      </c>
      <c r="C47" s="62">
        <v>69</v>
      </c>
      <c r="D47" s="60">
        <v>0</v>
      </c>
    </row>
    <row r="48" spans="1:4">
      <c r="A48" s="48">
        <v>8</v>
      </c>
      <c r="B48" s="48">
        <v>6</v>
      </c>
      <c r="C48" s="62">
        <v>52</v>
      </c>
      <c r="D48" s="60">
        <v>0</v>
      </c>
    </row>
    <row r="49" spans="1:4">
      <c r="A49" s="48">
        <v>8</v>
      </c>
      <c r="B49" s="48">
        <v>7</v>
      </c>
      <c r="C49" s="62">
        <v>17</v>
      </c>
      <c r="D49" s="60">
        <v>0</v>
      </c>
    </row>
    <row r="50" spans="1:4">
      <c r="A50" s="48">
        <v>8</v>
      </c>
      <c r="B50" s="48">
        <v>9</v>
      </c>
      <c r="C50" s="62">
        <v>15</v>
      </c>
      <c r="D50" s="60">
        <v>0</v>
      </c>
    </row>
    <row r="51" spans="1:4">
      <c r="A51" s="48">
        <v>9</v>
      </c>
      <c r="B51" s="48">
        <v>4</v>
      </c>
      <c r="C51" s="62">
        <v>85</v>
      </c>
      <c r="D51" s="60">
        <v>0</v>
      </c>
    </row>
    <row r="52" spans="1:4">
      <c r="A52" s="48">
        <v>9</v>
      </c>
      <c r="B52" s="48">
        <v>5</v>
      </c>
      <c r="C52" s="62">
        <v>54</v>
      </c>
      <c r="D52" s="60">
        <v>0</v>
      </c>
    </row>
    <row r="53" spans="1:4">
      <c r="A53" s="48">
        <v>9</v>
      </c>
      <c r="B53" s="48">
        <v>6</v>
      </c>
      <c r="C53" s="62">
        <v>51</v>
      </c>
      <c r="D53" s="60">
        <v>0</v>
      </c>
    </row>
    <row r="54" spans="1:4">
      <c r="A54" s="48">
        <v>9</v>
      </c>
      <c r="B54" s="48">
        <v>7</v>
      </c>
      <c r="C54" s="62">
        <v>31</v>
      </c>
      <c r="D54" s="60">
        <v>0</v>
      </c>
    </row>
    <row r="55" spans="1:4">
      <c r="A55" s="48">
        <v>9</v>
      </c>
      <c r="B55" s="48">
        <v>8</v>
      </c>
      <c r="C55" s="62">
        <v>15</v>
      </c>
      <c r="D55" s="60">
        <v>0</v>
      </c>
    </row>
    <row r="56" spans="1:4">
      <c r="A56" s="48">
        <v>9</v>
      </c>
      <c r="B56" s="48">
        <v>10</v>
      </c>
      <c r="C56" s="62">
        <v>69</v>
      </c>
      <c r="D56" s="60">
        <v>0</v>
      </c>
    </row>
    <row r="57" spans="1:4">
      <c r="A57" s="48">
        <v>10</v>
      </c>
      <c r="B57" s="48">
        <v>5</v>
      </c>
      <c r="C57" s="62">
        <v>87</v>
      </c>
      <c r="D57" s="60">
        <v>0</v>
      </c>
    </row>
    <row r="58" spans="1:4">
      <c r="A58" s="48">
        <v>10</v>
      </c>
      <c r="B58" s="48">
        <v>6</v>
      </c>
      <c r="C58" s="62">
        <v>97</v>
      </c>
      <c r="D58" s="60">
        <v>0</v>
      </c>
    </row>
    <row r="59" spans="1:4">
      <c r="A59" s="48">
        <v>10</v>
      </c>
      <c r="B59" s="48">
        <v>7</v>
      </c>
      <c r="C59" s="62">
        <v>72</v>
      </c>
      <c r="D59" s="60">
        <v>0</v>
      </c>
    </row>
    <row r="60" spans="1:4">
      <c r="A60" s="48">
        <v>10</v>
      </c>
      <c r="B60" s="48">
        <v>9</v>
      </c>
      <c r="C60" s="62">
        <v>69</v>
      </c>
      <c r="D60" s="60">
        <v>0</v>
      </c>
    </row>
    <row r="62" spans="1:4">
      <c r="A62" s="47" t="s">
        <v>26</v>
      </c>
    </row>
    <row r="63" spans="1:4">
      <c r="A63" s="48" t="s">
        <v>105</v>
      </c>
      <c r="B63" s="80">
        <f>SUMPRODUCT(Distance,Flow)</f>
        <v>198</v>
      </c>
    </row>
  </sheetData>
  <printOptions headings="1" gridLines="1"/>
  <pageMargins left="0.75" right="0.75" top="1" bottom="1" header="0.5" footer="0.5"/>
  <pageSetup scale="5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43</vt:i4>
      </vt:variant>
    </vt:vector>
  </HeadingPairs>
  <TitlesOfParts>
    <vt:vector size="50" baseType="lpstr">
      <vt:lpstr>Ch4_Q1</vt:lpstr>
      <vt:lpstr>Barney-Jones</vt:lpstr>
      <vt:lpstr>Ch4_Q30</vt:lpstr>
      <vt:lpstr>Ch4_Q32</vt:lpstr>
      <vt:lpstr>Ch5_Q1</vt:lpstr>
      <vt:lpstr>Ch5_Q11</vt:lpstr>
      <vt:lpstr>Ch5_Q30</vt:lpstr>
      <vt:lpstr>Actual_exposures</vt:lpstr>
      <vt:lpstr>Capacity</vt:lpstr>
      <vt:lpstr>Ch4_Q32!Cash_after_investing</vt:lpstr>
      <vt:lpstr>Cash_after_investing</vt:lpstr>
      <vt:lpstr>Ch4_Q30!ChartData</vt:lpstr>
      <vt:lpstr>Demand</vt:lpstr>
      <vt:lpstr>Ch5_Q30!Destination</vt:lpstr>
      <vt:lpstr>Distance</vt:lpstr>
      <vt:lpstr>Ch4_Q32!Dollars_invested</vt:lpstr>
      <vt:lpstr>Dollars_invested</vt:lpstr>
      <vt:lpstr>Ch4_Q32!Final_cash</vt:lpstr>
      <vt:lpstr>Final_cash</vt:lpstr>
      <vt:lpstr>Ch5_Q30!Flow</vt:lpstr>
      <vt:lpstr>Ch4_Q30!InputValues</vt:lpstr>
      <vt:lpstr>Jobs_on_machine</vt:lpstr>
      <vt:lpstr>Machine_capacity</vt:lpstr>
      <vt:lpstr>Machine_capacity_requirment</vt:lpstr>
      <vt:lpstr>Machines_on_jobs</vt:lpstr>
      <vt:lpstr>Ch4_Q32!Maximum_in_money_market</vt:lpstr>
      <vt:lpstr>Maximum_in_money_market</vt:lpstr>
      <vt:lpstr>Ch4_Q32!Maximum_per_investment</vt:lpstr>
      <vt:lpstr>Maximum_per_investment</vt:lpstr>
      <vt:lpstr>Net_outflow</vt:lpstr>
      <vt:lpstr>Number_ads_purchased</vt:lpstr>
      <vt:lpstr>Origin</vt:lpstr>
      <vt:lpstr>Ch4_Q30!OutputAddresses</vt:lpstr>
      <vt:lpstr>Ch4_Q30!OutputValues</vt:lpstr>
      <vt:lpstr>'Barney-Jones'!Print_Area</vt:lpstr>
      <vt:lpstr>Ch4_Q1!Print_Area</vt:lpstr>
      <vt:lpstr>Ch4_Q32!Print_Area</vt:lpstr>
      <vt:lpstr>Ch5_Q1!Print_Area</vt:lpstr>
      <vt:lpstr>Ch5_Q30!Print_Area</vt:lpstr>
      <vt:lpstr>Required</vt:lpstr>
      <vt:lpstr>Required_exposures</vt:lpstr>
      <vt:lpstr>Required_net_outflow</vt:lpstr>
      <vt:lpstr>Shipping_Plan</vt:lpstr>
      <vt:lpstr>Ch5_Q1!Total_cost</vt:lpstr>
      <vt:lpstr>Total_cost</vt:lpstr>
      <vt:lpstr>Total_distance</vt:lpstr>
      <vt:lpstr>Total_jobs_on_machine</vt:lpstr>
      <vt:lpstr>Total_received</vt:lpstr>
      <vt:lpstr>Total_shipped</vt:lpstr>
      <vt:lpstr>Total_time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yingjunpan</cp:lastModifiedBy>
  <cp:lastPrinted>2010-07-05T19:06:48Z</cp:lastPrinted>
  <dcterms:created xsi:type="dcterms:W3CDTF">1999-05-08T15:18:53Z</dcterms:created>
  <dcterms:modified xsi:type="dcterms:W3CDTF">2017-03-12T21:35:47Z</dcterms:modified>
</cp:coreProperties>
</file>