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_at_UCD\post-doc\PAPER\"/>
    </mc:Choice>
  </mc:AlternateContent>
  <xr:revisionPtr revIDLastSave="0" documentId="13_ncr:1_{DD04F0BA-E7B9-4006-92E3-3D4AAE6D3B9C}" xr6:coauthVersionLast="47" xr6:coauthVersionMax="47" xr10:uidLastSave="{00000000-0000-0000-0000-000000000000}"/>
  <bookViews>
    <workbookView xWindow="28680" yWindow="-120" windowWidth="29040" windowHeight="15840" xr2:uid="{C344679B-FDF4-4210-AE66-E5F7C10852CB}"/>
  </bookViews>
  <sheets>
    <sheet name="salt" sheetId="3" r:id="rId1"/>
    <sheet name="lm0_6000" sheetId="107" r:id="rId2"/>
    <sheet name="lm1_6000" sheetId="198" r:id="rId3"/>
    <sheet name="lm2_6000_2" sheetId="201" r:id="rId4"/>
    <sheet name="lm0_4500" sheetId="161" r:id="rId5"/>
    <sheet name="lm1_4500" sheetId="197" r:id="rId6"/>
    <sheet name="lm2_4500" sheetId="200" r:id="rId7"/>
    <sheet name="lm0_3000" sheetId="223" r:id="rId8"/>
    <sheet name="lm1_3000" sheetId="172" r:id="rId9"/>
    <sheet name="lm2_3000" sheetId="171" r:id="rId10"/>
    <sheet name="lm0_500" sheetId="115" r:id="rId11"/>
    <sheet name="lm1_500" sheetId="203" r:id="rId12"/>
    <sheet name="lm2_500" sheetId="204" r:id="rId13"/>
    <sheet name="lm0_500_d" sheetId="180" r:id="rId14"/>
    <sheet name="lm0_3000_d" sheetId="182" r:id="rId15"/>
    <sheet name="lm0_4500_d" sheetId="183" r:id="rId16"/>
    <sheet name="lm0_6000_d" sheetId="185" r:id="rId17"/>
  </sheets>
  <definedNames>
    <definedName name="solver_adj" localSheetId="0" hidden="1">salt!$H$11,salt!$G$13:$I$17</definedName>
    <definedName name="solver_cvg" localSheetId="0" hidden="1">0.00000001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salt!$G$13:$I$17</definedName>
    <definedName name="solver_lhs10" localSheetId="0" hidden="1">salt!$N$13:$N$17</definedName>
    <definedName name="solver_lhs11" localSheetId="0" hidden="1">salt!$N$13:$N$17</definedName>
    <definedName name="solver_lhs12" localSheetId="0" hidden="1">salt!$N$2:$N$5</definedName>
    <definedName name="solver_lhs2" localSheetId="0" hidden="1">salt!$H$11</definedName>
    <definedName name="solver_lhs3" localSheetId="0" hidden="1">salt!$H$11</definedName>
    <definedName name="solver_lhs4" localSheetId="0" hidden="1">salt!$H$55:$H$59</definedName>
    <definedName name="solver_lhs5" localSheetId="0" hidden="1">salt!$H$61:$H$65</definedName>
    <definedName name="solver_lhs6" localSheetId="0" hidden="1">salt!$J$13:$J$17</definedName>
    <definedName name="solver_lhs7" localSheetId="0" hidden="1">salt!$L$72</definedName>
    <definedName name="solver_lhs8" localSheetId="0" hidden="1">salt!$N$15</definedName>
    <definedName name="solver_lhs9" localSheetId="0" hidden="1">salt!$L$72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7</definedName>
    <definedName name="solver_nwt" localSheetId="0" hidden="1">1</definedName>
    <definedName name="solver_opt" localSheetId="0" hidden="1">salt!$G$19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10" localSheetId="0" hidden="1">3</definedName>
    <definedName name="solver_rel11" localSheetId="0" hidden="1">3</definedName>
    <definedName name="solver_rel12" localSheetId="0" hidden="1">1</definedName>
    <definedName name="solver_rel2" localSheetId="0" hidden="1">1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2</definedName>
    <definedName name="solver_rel7" localSheetId="0" hidden="1">2</definedName>
    <definedName name="solver_rel8" localSheetId="0" hidden="1">2</definedName>
    <definedName name="solver_rel9" localSheetId="0" hidden="1">2</definedName>
    <definedName name="solver_rhs1" localSheetId="0" hidden="1">0</definedName>
    <definedName name="solver_rhs10" localSheetId="0" hidden="1">0</definedName>
    <definedName name="solver_rhs11" localSheetId="0" hidden="1">0</definedName>
    <definedName name="solver_rhs12" localSheetId="0" hidden="1">salt!$N$3:$N$6</definedName>
    <definedName name="solver_rhs2" localSheetId="0" hidden="1">77799</definedName>
    <definedName name="solver_rhs3" localSheetId="0" hidden="1">0</definedName>
    <definedName name="solver_rhs4" localSheetId="0" hidden="1">0</definedName>
    <definedName name="solver_rhs5" localSheetId="0" hidden="1">0</definedName>
    <definedName name="solver_rhs6" localSheetId="0" hidden="1">0</definedName>
    <definedName name="solver_rhs7" localSheetId="0" hidden="1">0</definedName>
    <definedName name="solver_rhs8" localSheetId="0" hidden="1">0</definedName>
    <definedName name="solver_rhs9" localSheetId="0" hidden="1">0</definedName>
    <definedName name="solver_rlx" localSheetId="0" hidden="1">2</definedName>
    <definedName name="solver_rsd" localSheetId="0" hidden="1">2019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4" i="3" l="1"/>
  <c r="J31" i="3"/>
  <c r="J13" i="3" l="1"/>
  <c r="G7" i="3" l="1"/>
  <c r="J14" i="3" l="1"/>
  <c r="H46" i="3" l="1"/>
  <c r="H67" i="3"/>
  <c r="I67" i="3"/>
  <c r="K68" i="3"/>
  <c r="H47" i="3" l="1"/>
  <c r="H34" i="3"/>
  <c r="H21" i="3" l="1"/>
  <c r="K13" i="3" l="1"/>
  <c r="L13" i="3" l="1"/>
  <c r="D19" i="3"/>
  <c r="I2" i="3" l="1"/>
  <c r="J2" i="3" s="1"/>
  <c r="M13" i="3"/>
  <c r="K2" i="3" l="1"/>
  <c r="M2" i="3" s="1"/>
  <c r="O2" i="3" s="1"/>
  <c r="L2" i="3"/>
  <c r="N2" i="3" s="1"/>
  <c r="P13" i="3"/>
  <c r="M14" i="3"/>
  <c r="M15" i="3"/>
  <c r="M16" i="3"/>
  <c r="M17" i="3"/>
  <c r="K85" i="3" l="1"/>
  <c r="I79" i="3"/>
  <c r="J79" i="3" s="1"/>
  <c r="E4" i="3" l="1"/>
  <c r="E2" i="3"/>
  <c r="D22" i="3" s="1"/>
  <c r="D20" i="3" l="1"/>
  <c r="H43" i="3"/>
  <c r="H42" i="3"/>
  <c r="H41" i="3"/>
  <c r="H40" i="3"/>
  <c r="H39" i="3"/>
  <c r="H38" i="3"/>
  <c r="H37" i="3"/>
  <c r="H36" i="3"/>
  <c r="H35" i="3"/>
  <c r="V2" i="3"/>
  <c r="U2" i="3"/>
  <c r="T2" i="3"/>
  <c r="S2" i="3"/>
  <c r="R2" i="3"/>
  <c r="Y4" i="3"/>
  <c r="Z4" i="3"/>
  <c r="AA4" i="3"/>
  <c r="AB4" i="3"/>
  <c r="AC4" i="3"/>
  <c r="Y5" i="3"/>
  <c r="Z5" i="3"/>
  <c r="AA5" i="3"/>
  <c r="AB5" i="3"/>
  <c r="AC5" i="3"/>
  <c r="Y6" i="3"/>
  <c r="Z6" i="3"/>
  <c r="AA6" i="3"/>
  <c r="AB6" i="3"/>
  <c r="AC6" i="3"/>
  <c r="AC3" i="3"/>
  <c r="AB3" i="3"/>
  <c r="AA3" i="3"/>
  <c r="Z3" i="3"/>
  <c r="Y3" i="3"/>
  <c r="M83" i="3"/>
  <c r="K83" i="3"/>
  <c r="I83" i="3"/>
  <c r="J83" i="3" s="1"/>
  <c r="M82" i="3"/>
  <c r="K82" i="3"/>
  <c r="I82" i="3"/>
  <c r="J82" i="3" s="1"/>
  <c r="M81" i="3"/>
  <c r="K81" i="3"/>
  <c r="I81" i="3"/>
  <c r="J81" i="3" s="1"/>
  <c r="M80" i="3"/>
  <c r="K80" i="3"/>
  <c r="I80" i="3"/>
  <c r="J80" i="3" s="1"/>
  <c r="M79" i="3"/>
  <c r="K79" i="3"/>
  <c r="K71" i="3"/>
  <c r="J71" i="3"/>
  <c r="J77" i="3" s="1"/>
  <c r="I71" i="3"/>
  <c r="H71" i="3"/>
  <c r="K70" i="3"/>
  <c r="K76" i="3" s="1"/>
  <c r="J70" i="3"/>
  <c r="J76" i="3" s="1"/>
  <c r="I70" i="3"/>
  <c r="H70" i="3"/>
  <c r="K69" i="3"/>
  <c r="K75" i="3" s="1"/>
  <c r="J69" i="3"/>
  <c r="J75" i="3" s="1"/>
  <c r="I69" i="3"/>
  <c r="H69" i="3"/>
  <c r="K74" i="3"/>
  <c r="J68" i="3"/>
  <c r="J74" i="3" s="1"/>
  <c r="I68" i="3"/>
  <c r="H68" i="3"/>
  <c r="K67" i="3"/>
  <c r="J67" i="3"/>
  <c r="J73" i="3" s="1"/>
  <c r="H73" i="3"/>
  <c r="H59" i="3"/>
  <c r="H58" i="3"/>
  <c r="H57" i="3"/>
  <c r="H56" i="3"/>
  <c r="H55" i="3"/>
  <c r="B39" i="3"/>
  <c r="I50" i="3"/>
  <c r="I49" i="3"/>
  <c r="I48" i="3"/>
  <c r="I47" i="3"/>
  <c r="I46" i="3"/>
  <c r="K46" i="3" s="1"/>
  <c r="B29" i="3"/>
  <c r="H50" i="3" s="1"/>
  <c r="G32" i="3"/>
  <c r="B22" i="3"/>
  <c r="I30" i="3"/>
  <c r="H30" i="3"/>
  <c r="I29" i="3"/>
  <c r="H29" i="3"/>
  <c r="I28" i="3"/>
  <c r="H28" i="3"/>
  <c r="I27" i="3"/>
  <c r="H27" i="3"/>
  <c r="I26" i="3"/>
  <c r="H26" i="3"/>
  <c r="I25" i="3"/>
  <c r="H25" i="3"/>
  <c r="I24" i="3"/>
  <c r="H24" i="3"/>
  <c r="I23" i="3"/>
  <c r="H23" i="3"/>
  <c r="I22" i="3"/>
  <c r="H22" i="3"/>
  <c r="I21" i="3"/>
  <c r="J21" i="3" s="1"/>
  <c r="J17" i="3"/>
  <c r="J16" i="3"/>
  <c r="G6" i="3"/>
  <c r="H83" i="3" s="1"/>
  <c r="J15" i="3"/>
  <c r="G5" i="3"/>
  <c r="K16" i="3" s="1"/>
  <c r="G4" i="3"/>
  <c r="H63" i="3" s="1"/>
  <c r="G3" i="3"/>
  <c r="H62" i="3" s="1"/>
  <c r="G2" i="3"/>
  <c r="L72" i="3" l="1"/>
  <c r="K77" i="3"/>
  <c r="R3" i="3" a="1"/>
  <c r="K73" i="3"/>
  <c r="H79" i="3"/>
  <c r="L79" i="3" s="1"/>
  <c r="L85" i="3"/>
  <c r="K15" i="3"/>
  <c r="L16" i="3"/>
  <c r="B30" i="3"/>
  <c r="K14" i="3"/>
  <c r="J49" i="3"/>
  <c r="K17" i="3"/>
  <c r="H64" i="3"/>
  <c r="H80" i="3"/>
  <c r="L80" i="3" s="1"/>
  <c r="H82" i="3"/>
  <c r="L82" i="3" s="1"/>
  <c r="L83" i="3"/>
  <c r="I51" i="3"/>
  <c r="J46" i="3"/>
  <c r="J47" i="3"/>
  <c r="J48" i="3"/>
  <c r="J50" i="3"/>
  <c r="K50" i="3" s="1"/>
  <c r="H61" i="3"/>
  <c r="H65" i="3"/>
  <c r="H81" i="3"/>
  <c r="L81" i="3" s="1"/>
  <c r="H48" i="3"/>
  <c r="H49" i="3"/>
  <c r="R3" i="3" l="1"/>
  <c r="V3" i="3"/>
  <c r="U3" i="3"/>
  <c r="T3" i="3"/>
  <c r="S3" i="3"/>
  <c r="L17" i="3"/>
  <c r="I5" i="3"/>
  <c r="N16" i="3"/>
  <c r="O16" i="3" s="1"/>
  <c r="L84" i="3"/>
  <c r="K49" i="3"/>
  <c r="K47" i="3"/>
  <c r="J51" i="3"/>
  <c r="L14" i="3"/>
  <c r="I3" i="3" s="1"/>
  <c r="L15" i="3"/>
  <c r="N15" i="3" s="1"/>
  <c r="O15" i="3" s="1"/>
  <c r="K48" i="3"/>
  <c r="H51" i="3"/>
  <c r="I6" i="3" l="1"/>
  <c r="J6" i="3" s="1"/>
  <c r="L86" i="3"/>
  <c r="G8" i="3" s="1"/>
  <c r="R4" i="3" a="1"/>
  <c r="K51" i="3"/>
  <c r="N17" i="3"/>
  <c r="O17" i="3" s="1"/>
  <c r="J5" i="3"/>
  <c r="L5" i="3" s="1"/>
  <c r="N5" i="3" s="1"/>
  <c r="M35" i="3" s="1"/>
  <c r="P16" i="3"/>
  <c r="N13" i="3"/>
  <c r="O13" i="3" s="1"/>
  <c r="N14" i="3"/>
  <c r="O14" i="3" s="1"/>
  <c r="I4" i="3"/>
  <c r="S4" i="3" l="1"/>
  <c r="R4" i="3"/>
  <c r="U4" i="3"/>
  <c r="V4" i="3"/>
  <c r="T4" i="3"/>
  <c r="D18" i="3"/>
  <c r="K5" i="3"/>
  <c r="M5" i="3" s="1"/>
  <c r="J3" i="3"/>
  <c r="P14" i="3"/>
  <c r="J4" i="3"/>
  <c r="L4" i="3" s="1"/>
  <c r="N4" i="3" s="1"/>
  <c r="L36" i="3" s="1"/>
  <c r="P15" i="3"/>
  <c r="J34" i="3"/>
  <c r="K6" i="3"/>
  <c r="M6" i="3" s="1"/>
  <c r="P17" i="3"/>
  <c r="M41" i="3"/>
  <c r="M34" i="3"/>
  <c r="M42" i="3"/>
  <c r="M37" i="3"/>
  <c r="M43" i="3"/>
  <c r="M40" i="3"/>
  <c r="M39" i="3"/>
  <c r="M38" i="3"/>
  <c r="M36" i="3"/>
  <c r="R5" i="3" l="1" a="1"/>
  <c r="L3" i="3"/>
  <c r="N3" i="3" s="1"/>
  <c r="K3" i="3"/>
  <c r="M3" i="3" s="1"/>
  <c r="K21" i="3" s="1"/>
  <c r="N25" i="3"/>
  <c r="O6" i="3"/>
  <c r="M24" i="3"/>
  <c r="O5" i="3"/>
  <c r="M22" i="3"/>
  <c r="M29" i="3"/>
  <c r="M21" i="3"/>
  <c r="M26" i="3"/>
  <c r="M23" i="3"/>
  <c r="M25" i="3"/>
  <c r="M30" i="3"/>
  <c r="M27" i="3"/>
  <c r="M28" i="3"/>
  <c r="J39" i="3"/>
  <c r="J40" i="3"/>
  <c r="J42" i="3"/>
  <c r="J35" i="3"/>
  <c r="J37" i="3"/>
  <c r="J41" i="3"/>
  <c r="J43" i="3"/>
  <c r="J38" i="3"/>
  <c r="J36" i="3"/>
  <c r="L6" i="3"/>
  <c r="N6" i="3" s="1"/>
  <c r="K4" i="3"/>
  <c r="M4" i="3" s="1"/>
  <c r="E18" i="3"/>
  <c r="D21" i="3" s="1"/>
  <c r="D23" i="3"/>
  <c r="J24" i="3"/>
  <c r="J27" i="3"/>
  <c r="J22" i="3"/>
  <c r="J23" i="3"/>
  <c r="J25" i="3"/>
  <c r="J29" i="3"/>
  <c r="J30" i="3"/>
  <c r="J26" i="3"/>
  <c r="J28" i="3"/>
  <c r="L42" i="3"/>
  <c r="L41" i="3"/>
  <c r="L43" i="3"/>
  <c r="L40" i="3"/>
  <c r="L39" i="3"/>
  <c r="L38" i="3"/>
  <c r="L34" i="3"/>
  <c r="L35" i="3"/>
  <c r="L37" i="3"/>
  <c r="N29" i="3"/>
  <c r="N27" i="3"/>
  <c r="N28" i="3"/>
  <c r="N21" i="3"/>
  <c r="N23" i="3"/>
  <c r="N24" i="3"/>
  <c r="N26" i="3"/>
  <c r="N22" i="3"/>
  <c r="N30" i="3"/>
  <c r="K40" i="3" l="1"/>
  <c r="K34" i="3"/>
  <c r="R5" i="3"/>
  <c r="U5" i="3"/>
  <c r="T5" i="3"/>
  <c r="S5" i="3"/>
  <c r="V5" i="3"/>
  <c r="N36" i="3"/>
  <c r="N34" i="3"/>
  <c r="K37" i="3"/>
  <c r="K39" i="3"/>
  <c r="K43" i="3"/>
  <c r="K38" i="3"/>
  <c r="K42" i="3"/>
  <c r="K36" i="3"/>
  <c r="K41" i="3"/>
  <c r="K35" i="3"/>
  <c r="O3" i="3"/>
  <c r="L26" i="3"/>
  <c r="O4" i="3"/>
  <c r="K30" i="3"/>
  <c r="N42" i="3"/>
  <c r="K27" i="3"/>
  <c r="K23" i="3"/>
  <c r="K26" i="3"/>
  <c r="K25" i="3"/>
  <c r="K22" i="3"/>
  <c r="K24" i="3"/>
  <c r="K29" i="3"/>
  <c r="K28" i="3"/>
  <c r="N35" i="3"/>
  <c r="N37" i="3"/>
  <c r="N40" i="3"/>
  <c r="N38" i="3"/>
  <c r="N39" i="3"/>
  <c r="N43" i="3"/>
  <c r="N41" i="3"/>
  <c r="L21" i="3"/>
  <c r="O21" i="3" s="1"/>
  <c r="L30" i="3"/>
  <c r="L29" i="3"/>
  <c r="L27" i="3"/>
  <c r="L28" i="3"/>
  <c r="L23" i="3"/>
  <c r="L24" i="3"/>
  <c r="L22" i="3"/>
  <c r="L25" i="3"/>
  <c r="O40" i="3" l="1"/>
  <c r="O34" i="3"/>
  <c r="O35" i="3"/>
  <c r="O36" i="3"/>
  <c r="O39" i="3"/>
  <c r="O37" i="3"/>
  <c r="O42" i="3"/>
  <c r="O41" i="3"/>
  <c r="O43" i="3"/>
  <c r="O38" i="3"/>
  <c r="O22" i="3"/>
  <c r="O23" i="3"/>
  <c r="R6" i="3" a="1"/>
  <c r="O24" i="3"/>
  <c r="T6" i="3" l="1"/>
  <c r="S6" i="3"/>
  <c r="R6" i="3"/>
  <c r="V6" i="3"/>
  <c r="U6" i="3"/>
  <c r="O25" i="3" l="1"/>
  <c r="R7" i="3" a="1"/>
  <c r="U7" i="3" l="1"/>
  <c r="R7" i="3"/>
  <c r="S7" i="3"/>
  <c r="V7" i="3"/>
  <c r="T7" i="3"/>
  <c r="O26" i="3" l="1"/>
  <c r="R8" i="3" a="1"/>
  <c r="V8" i="3" l="1"/>
  <c r="S8" i="3"/>
  <c r="U8" i="3"/>
  <c r="R8" i="3"/>
  <c r="T8" i="3"/>
  <c r="R9" i="3" l="1" a="1"/>
  <c r="O27" i="3"/>
  <c r="U9" i="3" l="1"/>
  <c r="R9" i="3"/>
  <c r="T9" i="3"/>
  <c r="V9" i="3"/>
  <c r="S9" i="3"/>
  <c r="R10" i="3" l="1" a="1"/>
  <c r="O28" i="3"/>
  <c r="U10" i="3" l="1"/>
  <c r="S10" i="3"/>
  <c r="R10" i="3"/>
  <c r="T10" i="3"/>
  <c r="V10" i="3"/>
  <c r="R11" i="3" l="1" a="1"/>
  <c r="O29" i="3"/>
  <c r="T11" i="3" l="1"/>
  <c r="V11" i="3"/>
  <c r="S11" i="3"/>
  <c r="U11" i="3"/>
  <c r="R11" i="3"/>
  <c r="O30" i="3" l="1"/>
  <c r="G19" i="3" l="1"/>
</calcChain>
</file>

<file path=xl/sharedStrings.xml><?xml version="1.0" encoding="utf-8"?>
<sst xmlns="http://schemas.openxmlformats.org/spreadsheetml/2006/main" count="1458" uniqueCount="208">
  <si>
    <t>beginning GW</t>
  </si>
  <si>
    <t>WYT</t>
  </si>
  <si>
    <t>averaged SW inflow</t>
  </si>
  <si>
    <t>Prob</t>
  </si>
  <si>
    <t>Xp</t>
  </si>
  <si>
    <t>ending GW</t>
  </si>
  <si>
    <t>C (10 percentile)</t>
  </si>
  <si>
    <t>Xa</t>
  </si>
  <si>
    <t>Xr</t>
  </si>
  <si>
    <t>Wpump</t>
  </si>
  <si>
    <t>R</t>
  </si>
  <si>
    <t>D (30 percentile)</t>
  </si>
  <si>
    <t>Vp</t>
  </si>
  <si>
    <t>BN (50 percentile)</t>
  </si>
  <si>
    <t>Yldp</t>
  </si>
  <si>
    <t>AN (70 percentile)</t>
  </si>
  <si>
    <t>alphap</t>
  </si>
  <si>
    <t>W (90 percentile)</t>
  </si>
  <si>
    <t>gammap</t>
  </si>
  <si>
    <t>Awp</t>
  </si>
  <si>
    <t>INIp</t>
  </si>
  <si>
    <t>Obj</t>
  </si>
  <si>
    <t>Va</t>
  </si>
  <si>
    <t>Permanent benefit</t>
  </si>
  <si>
    <t>year</t>
  </si>
  <si>
    <t>discount rate</t>
  </si>
  <si>
    <t>acre</t>
  </si>
  <si>
    <t>ylda</t>
  </si>
  <si>
    <t>alphaa</t>
  </si>
  <si>
    <t>gammaa</t>
  </si>
  <si>
    <t>Awa</t>
  </si>
  <si>
    <t>Cpu</t>
  </si>
  <si>
    <t>Cre($/acre)</t>
  </si>
  <si>
    <t>Cc1($/AF)</t>
  </si>
  <si>
    <t>Cc2($/AF)</t>
  </si>
  <si>
    <t>L(acre)</t>
  </si>
  <si>
    <t>cap(AF/acre/yr)</t>
  </si>
  <si>
    <t>phi</t>
  </si>
  <si>
    <t>sum</t>
  </si>
  <si>
    <t>SWc1</t>
  </si>
  <si>
    <t>Permanent cost</t>
  </si>
  <si>
    <t>stage</t>
  </si>
  <si>
    <t>Annual benefit</t>
  </si>
  <si>
    <t>T</t>
  </si>
  <si>
    <t>Xp,t,0</t>
  </si>
  <si>
    <t>retiring rate</t>
  </si>
  <si>
    <t xml:space="preserve">ratio </t>
  </si>
  <si>
    <t>max depth</t>
  </si>
  <si>
    <t>Sy</t>
  </si>
  <si>
    <t>original storage</t>
  </si>
  <si>
    <t>Annual cost</t>
  </si>
  <si>
    <t>pump</t>
  </si>
  <si>
    <t>recharge</t>
  </si>
  <si>
    <t>SW</t>
  </si>
  <si>
    <t>yearly cost</t>
  </si>
  <si>
    <t>starting Ho (ft)</t>
  </si>
  <si>
    <t>starting thickness Bo (ft)</t>
  </si>
  <si>
    <t>pump efficiency</t>
  </si>
  <si>
    <t>Cpump($/kWh)</t>
  </si>
  <si>
    <t>AF to m^3</t>
  </si>
  <si>
    <t>density (kg/m^3)</t>
  </si>
  <si>
    <t>g(m/s^2)</t>
  </si>
  <si>
    <t>ft to meter</t>
  </si>
  <si>
    <t>s.t.</t>
  </si>
  <si>
    <t>FtoP</t>
  </si>
  <si>
    <t>Land</t>
  </si>
  <si>
    <t>remaining land</t>
  </si>
  <si>
    <t>&gt;=</t>
  </si>
  <si>
    <t>Surface water</t>
  </si>
  <si>
    <t>remaining water</t>
  </si>
  <si>
    <t>GW mass balance</t>
  </si>
  <si>
    <t>pumping</t>
  </si>
  <si>
    <t>Salinity Parameters</t>
  </si>
  <si>
    <t>Cgw,t-1 (mg/L)</t>
  </si>
  <si>
    <t>Cgw,t (mg/L)</t>
  </si>
  <si>
    <t>Csw (mg/L)</t>
  </si>
  <si>
    <t>Croot (mg/L)</t>
  </si>
  <si>
    <t xml:space="preserve">θfc </t>
  </si>
  <si>
    <t>rd (ft)</t>
  </si>
  <si>
    <t>EC to C</t>
  </si>
  <si>
    <t>Cacc</t>
  </si>
  <si>
    <t>ECe-t,p</t>
  </si>
  <si>
    <t>ECe-t,a</t>
  </si>
  <si>
    <t>b,p</t>
  </si>
  <si>
    <t>b,a</t>
  </si>
  <si>
    <t>Cirr</t>
  </si>
  <si>
    <t xml:space="preserve">AR/pumping </t>
  </si>
  <si>
    <t>irrigation from sw</t>
  </si>
  <si>
    <t>total irrigation water</t>
  </si>
  <si>
    <t>Ks-salt, p</t>
  </si>
  <si>
    <t>Ks-salt, a</t>
  </si>
  <si>
    <t>Yp</t>
  </si>
  <si>
    <t>Ya</t>
  </si>
  <si>
    <t>Ky,a</t>
  </si>
  <si>
    <t>Ky,p</t>
  </si>
  <si>
    <t xml:space="preserve">yearly benefit (C) </t>
  </si>
  <si>
    <t xml:space="preserve">yearly benefit (D) </t>
  </si>
  <si>
    <t xml:space="preserve">yearly benefit (BN) </t>
  </si>
  <si>
    <t xml:space="preserve">yearly benefit (AN) </t>
  </si>
  <si>
    <t xml:space="preserve">yearly benefit (W) </t>
  </si>
  <si>
    <t>expected yearly benefit</t>
  </si>
  <si>
    <t>Microsoft Excel 16.0 Sensitivity Report</t>
  </si>
  <si>
    <t>Variable Cells</t>
  </si>
  <si>
    <t>Cell</t>
  </si>
  <si>
    <t>Name</t>
  </si>
  <si>
    <t>Final</t>
  </si>
  <si>
    <t>Value</t>
  </si>
  <si>
    <t>Reduced</t>
  </si>
  <si>
    <t>Gradient</t>
  </si>
  <si>
    <t>Constraints</t>
  </si>
  <si>
    <t>Lagrange</t>
  </si>
  <si>
    <t>Multiplier</t>
  </si>
  <si>
    <t>$H$11</t>
  </si>
  <si>
    <t>Xp Prob</t>
  </si>
  <si>
    <t>$G$13</t>
  </si>
  <si>
    <t>C (10 percentile) Xa</t>
  </si>
  <si>
    <t>$H$13</t>
  </si>
  <si>
    <t>C (10 percentile) Xr</t>
  </si>
  <si>
    <t>$I$13</t>
  </si>
  <si>
    <t>C (10 percentile) Wpump</t>
  </si>
  <si>
    <t>$G$14</t>
  </si>
  <si>
    <t>D (30 percentile) Xa</t>
  </si>
  <si>
    <t>$H$14</t>
  </si>
  <si>
    <t>D (30 percentile) Xr</t>
  </si>
  <si>
    <t>$I$14</t>
  </si>
  <si>
    <t>D (30 percentile) Wpump</t>
  </si>
  <si>
    <t>$G$15</t>
  </si>
  <si>
    <t>BN (50 percentile) Xa</t>
  </si>
  <si>
    <t>$H$15</t>
  </si>
  <si>
    <t>BN (50 percentile) Xr</t>
  </si>
  <si>
    <t>$I$15</t>
  </si>
  <si>
    <t>BN (50 percentile) Wpump</t>
  </si>
  <si>
    <t>$G$16</t>
  </si>
  <si>
    <t>AN (70 percentile) Xa</t>
  </si>
  <si>
    <t>$H$16</t>
  </si>
  <si>
    <t>AN (70 percentile) Xr</t>
  </si>
  <si>
    <t>$I$16</t>
  </si>
  <si>
    <t>AN (70 percentile) Wpump</t>
  </si>
  <si>
    <t>$G$17</t>
  </si>
  <si>
    <t>W (90 percentile) Xa</t>
  </si>
  <si>
    <t>$H$17</t>
  </si>
  <si>
    <t>W (90 percentile) Xr</t>
  </si>
  <si>
    <t>$I$17</t>
  </si>
  <si>
    <t>W (90 percentile) Wpump</t>
  </si>
  <si>
    <t>$L$72</t>
  </si>
  <si>
    <t xml:space="preserve">sum yearly benefit (BN) </t>
  </si>
  <si>
    <t>$H$55</t>
  </si>
  <si>
    <t>C (10 percentile) remaining land</t>
  </si>
  <si>
    <t>$H$56</t>
  </si>
  <si>
    <t>D (30 percentile) remaining land</t>
  </si>
  <si>
    <t>$H$57</t>
  </si>
  <si>
    <t>BN (50 percentile) remaining land</t>
  </si>
  <si>
    <t>$H$58</t>
  </si>
  <si>
    <t>AN (70 percentile) remaining land</t>
  </si>
  <si>
    <t>$H$59</t>
  </si>
  <si>
    <t>W (90 percentile) remaining land</t>
  </si>
  <si>
    <t>$H$61</t>
  </si>
  <si>
    <t>C (10 percentile) remaining water</t>
  </si>
  <si>
    <t>$H$62</t>
  </si>
  <si>
    <t>D (30 percentile) remaining water</t>
  </si>
  <si>
    <t>$H$63</t>
  </si>
  <si>
    <t>BN (50 percentile) remaining water</t>
  </si>
  <si>
    <t>$H$64</t>
  </si>
  <si>
    <t>AN (70 percentile) remaining water</t>
  </si>
  <si>
    <t>$H$65</t>
  </si>
  <si>
    <t>W (90 percentile) remaining water</t>
  </si>
  <si>
    <t>salt from irrigation over 10 years (mg)</t>
  </si>
  <si>
    <t>salt from AR over 10 years (mg)</t>
  </si>
  <si>
    <t>salt remaining in aquifer (mg)</t>
  </si>
  <si>
    <t>C(deep percolation)</t>
  </si>
  <si>
    <t>$J$13</t>
  </si>
  <si>
    <t xml:space="preserve">C (10 percentile) AR/pumping </t>
  </si>
  <si>
    <t>$J$14</t>
  </si>
  <si>
    <t xml:space="preserve">D (30 percentile) AR/pumping </t>
  </si>
  <si>
    <t>$J$15</t>
  </si>
  <si>
    <t xml:space="preserve">BN (50 percentile) AR/pumping </t>
  </si>
  <si>
    <t>$J$16</t>
  </si>
  <si>
    <t xml:space="preserve">AN (70 percentile) AR/pumping </t>
  </si>
  <si>
    <t>$J$17</t>
  </si>
  <si>
    <t xml:space="preserve">W (90 percentile) AR/pumping </t>
  </si>
  <si>
    <t>IF 0</t>
  </si>
  <si>
    <t>Actual Use</t>
  </si>
  <si>
    <t>Difference</t>
  </si>
  <si>
    <t>ECirr</t>
  </si>
  <si>
    <t>Wpump-Difference</t>
  </si>
  <si>
    <t>total salt input</t>
  </si>
  <si>
    <t>actual acreage</t>
  </si>
  <si>
    <t>EC to C (C&gt;4000)</t>
  </si>
  <si>
    <t>Worksheet: [Chapter2Model.xlsx]salt</t>
  </si>
  <si>
    <t>Report Created: 1/29/2021 11:02:54 PM</t>
  </si>
  <si>
    <t>Report Created: 1/29/2021 11:10:36 PM</t>
  </si>
  <si>
    <t>Report Created: 4/23/2021 3:15:07 PM</t>
  </si>
  <si>
    <t>Report Created: 4/23/2021 6:15:28 PM</t>
  </si>
  <si>
    <t>Report Created: 4/23/2021 6:16:30 PM</t>
  </si>
  <si>
    <t>Report Created: 4/24/2021 1:22:20 PM</t>
  </si>
  <si>
    <t>Report Created: 4/24/2021 1:26:16 PM</t>
  </si>
  <si>
    <t>Report Created: 4/24/2021 1:28:50 PM</t>
  </si>
  <si>
    <t>Report Created: 4/24/2021 1:43:32 PM</t>
  </si>
  <si>
    <t>expected sw (TAF)</t>
  </si>
  <si>
    <t>Report Created: 7/15/2021 10:28:38 PM</t>
  </si>
  <si>
    <t>Report Created: 7/15/2021 10:29:34 PM</t>
  </si>
  <si>
    <t>Report Created: 7/15/2021 10:38:55 PM</t>
  </si>
  <si>
    <t>Report Created: 7/15/2021 10:40:38 PM</t>
  </si>
  <si>
    <t>Worksheet: [Paper2_Model.xlsx]salt</t>
  </si>
  <si>
    <t>Report Created: 8/11/2021 1:12:37 PM</t>
  </si>
  <si>
    <t>Report Created: 8/11/2021 1:13:26 PM</t>
  </si>
  <si>
    <t>Decision Variables</t>
  </si>
  <si>
    <t>Report Created: 4/23/2021 6:18:43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</si>
</sst>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00"/>
    <numFmt numFmtId="165" formatCode="#,##0.0000"/>
    <numFmt numFmtId="166" formatCode="#,##0.0"/>
    <numFmt numFmtId="167" formatCode="0.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5">
    <xf numFmtId="0" fontId="0" fillId="0" borderId="0" xfId="0"/>
    <xf numFmtId="0" fontId="0" fillId="2" borderId="0" xfId="0" applyFill="1"/>
    <xf numFmtId="0" fontId="0" fillId="3" borderId="0" xfId="0" applyFill="1"/>
    <xf numFmtId="3" fontId="0" fillId="3" borderId="0" xfId="1" applyNumberFormat="1" applyFont="1" applyFill="1"/>
    <xf numFmtId="4" fontId="0" fillId="0" borderId="0" xfId="0" applyNumberFormat="1"/>
    <xf numFmtId="0" fontId="0" fillId="4" borderId="0" xfId="0" applyFill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2" fillId="4" borderId="0" xfId="0" applyFont="1" applyFill="1"/>
    <xf numFmtId="3" fontId="4" fillId="4" borderId="0" xfId="1" applyNumberFormat="1" applyFont="1" applyFill="1"/>
    <xf numFmtId="3" fontId="0" fillId="2" borderId="0" xfId="0" applyNumberFormat="1" applyFill="1"/>
    <xf numFmtId="3" fontId="0" fillId="2" borderId="0" xfId="1" applyNumberFormat="1" applyFont="1" applyFill="1"/>
    <xf numFmtId="0" fontId="0" fillId="5" borderId="0" xfId="0" applyFill="1"/>
    <xf numFmtId="3" fontId="0" fillId="5" borderId="0" xfId="0" applyNumberFormat="1" applyFill="1"/>
    <xf numFmtId="3" fontId="0" fillId="0" borderId="0" xfId="1" applyNumberFormat="1" applyFont="1"/>
    <xf numFmtId="43" fontId="0" fillId="2" borderId="0" xfId="0" applyNumberFormat="1" applyFill="1"/>
    <xf numFmtId="0" fontId="2" fillId="2" borderId="0" xfId="0" applyFont="1" applyFill="1"/>
    <xf numFmtId="3" fontId="2" fillId="2" borderId="0" xfId="1" applyNumberFormat="1" applyFont="1" applyFill="1"/>
    <xf numFmtId="0" fontId="2" fillId="6" borderId="0" xfId="0" applyFont="1" applyFill="1" applyAlignment="1">
      <alignment horizontal="center" vertical="center"/>
    </xf>
    <xf numFmtId="3" fontId="2" fillId="6" borderId="0" xfId="0" applyNumberFormat="1" applyFont="1" applyFill="1"/>
    <xf numFmtId="3" fontId="0" fillId="3" borderId="0" xfId="0" applyNumberFormat="1" applyFill="1"/>
    <xf numFmtId="3" fontId="5" fillId="2" borderId="0" xfId="0" applyNumberFormat="1" applyFont="1" applyFill="1"/>
    <xf numFmtId="166" fontId="0" fillId="5" borderId="0" xfId="0" applyNumberFormat="1" applyFill="1"/>
    <xf numFmtId="3" fontId="2" fillId="2" borderId="0" xfId="0" applyNumberFormat="1" applyFont="1" applyFill="1"/>
    <xf numFmtId="0" fontId="0" fillId="6" borderId="0" xfId="0" applyFill="1"/>
    <xf numFmtId="4" fontId="0" fillId="6" borderId="0" xfId="0" applyNumberFormat="1" applyFill="1"/>
    <xf numFmtId="3" fontId="0" fillId="6" borderId="0" xfId="0" applyNumberFormat="1" applyFill="1"/>
    <xf numFmtId="166" fontId="0" fillId="0" borderId="0" xfId="0" applyNumberFormat="1"/>
    <xf numFmtId="0" fontId="2" fillId="0" borderId="0" xfId="0" applyFont="1"/>
    <xf numFmtId="3" fontId="2" fillId="0" borderId="0" xfId="0" applyNumberFormat="1" applyFont="1"/>
    <xf numFmtId="4" fontId="0" fillId="4" borderId="0" xfId="0" applyNumberFormat="1" applyFill="1"/>
    <xf numFmtId="0" fontId="0" fillId="0" borderId="0" xfId="0" applyFill="1"/>
    <xf numFmtId="3" fontId="0" fillId="0" borderId="0" xfId="1" applyNumberFormat="1" applyFont="1" applyFill="1"/>
    <xf numFmtId="164" fontId="0" fillId="0" borderId="0" xfId="0" applyNumberFormat="1" applyFill="1"/>
    <xf numFmtId="4" fontId="0" fillId="0" borderId="0" xfId="0" applyNumberFormat="1" applyFill="1"/>
    <xf numFmtId="3" fontId="0" fillId="0" borderId="0" xfId="0" applyNumberFormat="1" applyFill="1"/>
    <xf numFmtId="165" fontId="0" fillId="0" borderId="0" xfId="0" applyNumberFormat="1" applyFill="1"/>
    <xf numFmtId="166" fontId="0" fillId="0" borderId="0" xfId="0" applyNumberFormat="1" applyFill="1"/>
    <xf numFmtId="0" fontId="0" fillId="7" borderId="0" xfId="0" applyFill="1"/>
    <xf numFmtId="3" fontId="0" fillId="7" borderId="0" xfId="0" applyNumberFormat="1" applyFill="1"/>
    <xf numFmtId="164" fontId="0" fillId="5" borderId="0" xfId="0" applyNumberFormat="1" applyFill="1"/>
    <xf numFmtId="0" fontId="0" fillId="0" borderId="3" xfId="0" applyFill="1" applyBorder="1" applyAlignment="1"/>
    <xf numFmtId="0" fontId="0" fillId="0" borderId="4" xfId="0" applyFill="1" applyBorder="1" applyAlignment="1"/>
    <xf numFmtId="3" fontId="0" fillId="4" borderId="0" xfId="0" applyNumberFormat="1" applyFill="1"/>
    <xf numFmtId="11" fontId="0" fillId="0" borderId="0" xfId="0" applyNumberFormat="1" applyFill="1"/>
    <xf numFmtId="11" fontId="0" fillId="0" borderId="0" xfId="1" applyNumberFormat="1" applyFont="1" applyFill="1"/>
    <xf numFmtId="167" fontId="0" fillId="0" borderId="0" xfId="0" applyNumberFormat="1"/>
    <xf numFmtId="166" fontId="0" fillId="7" borderId="0" xfId="0" applyNumberFormat="1" applyFill="1"/>
    <xf numFmtId="2" fontId="0" fillId="0" borderId="0" xfId="0" applyNumberFormat="1" applyFill="1"/>
    <xf numFmtId="0" fontId="0" fillId="4" borderId="3" xfId="0" applyFill="1" applyBorder="1" applyAlignment="1"/>
    <xf numFmtId="0" fontId="0" fillId="4" borderId="4" xfId="0" applyFill="1" applyBorder="1" applyAlignment="1"/>
    <xf numFmtId="1" fontId="0" fillId="0" borderId="0" xfId="0" applyNumberFormat="1"/>
    <xf numFmtId="0" fontId="8" fillId="0" borderId="1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4" fontId="0" fillId="5" borderId="0" xfId="0" applyNumberFormat="1" applyFill="1"/>
    <xf numFmtId="0" fontId="2" fillId="2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8" borderId="0" xfId="0" applyFill="1"/>
    <xf numFmtId="0" fontId="12" fillId="0" borderId="1" xfId="0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3" fontId="5" fillId="9" borderId="5" xfId="0" applyNumberFormat="1" applyFont="1" applyFill="1" applyBorder="1" applyAlignment="1">
      <alignment vertical="center"/>
    </xf>
    <xf numFmtId="3" fontId="0" fillId="9" borderId="5" xfId="0" applyNumberFormat="1" applyFill="1" applyBorder="1"/>
    <xf numFmtId="3" fontId="7" fillId="9" borderId="5" xfId="0" applyNumberFormat="1" applyFont="1" applyFill="1" applyBorder="1" applyAlignment="1">
      <alignment horizontal="right" vertical="center" wrapText="1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C3811-FFB8-47F4-AAE3-B3C3FD81AEA9}">
  <dimension ref="A1:AC86"/>
  <sheetViews>
    <sheetView tabSelected="1" zoomScaleNormal="100" workbookViewId="0">
      <selection activeCell="T28" sqref="T28"/>
    </sheetView>
  </sheetViews>
  <sheetFormatPr defaultRowHeight="14.5" x14ac:dyDescent="0.35"/>
  <cols>
    <col min="1" max="1" width="15.7265625" customWidth="1"/>
    <col min="2" max="2" width="10.81640625" style="7" bestFit="1" customWidth="1"/>
    <col min="3" max="3" width="18.90625" style="36" customWidth="1"/>
    <col min="4" max="4" width="13.81640625" style="36" customWidth="1"/>
    <col min="5" max="5" width="9.7265625" style="36" customWidth="1"/>
    <col min="6" max="6" width="16.6328125" bestFit="1" customWidth="1"/>
    <col min="7" max="7" width="18.7265625" customWidth="1"/>
    <col min="8" max="8" width="11.81640625" customWidth="1"/>
    <col min="9" max="9" width="10.26953125" customWidth="1"/>
    <col min="10" max="14" width="12.6328125" customWidth="1"/>
    <col min="15" max="15" width="16.453125" customWidth="1"/>
    <col min="16" max="16" width="15.81640625" bestFit="1" customWidth="1"/>
    <col min="17" max="29" width="8.7265625" customWidth="1"/>
  </cols>
  <sheetData>
    <row r="1" spans="1:29" x14ac:dyDescent="0.35">
      <c r="A1" s="2" t="s">
        <v>0</v>
      </c>
      <c r="B1" s="3">
        <v>10000000</v>
      </c>
      <c r="C1" s="39" t="s">
        <v>72</v>
      </c>
      <c r="D1" s="39"/>
      <c r="E1"/>
      <c r="F1" t="s">
        <v>1</v>
      </c>
      <c r="G1" t="s">
        <v>2</v>
      </c>
      <c r="H1" t="s">
        <v>3</v>
      </c>
      <c r="I1" t="s">
        <v>85</v>
      </c>
      <c r="J1" t="s">
        <v>183</v>
      </c>
      <c r="K1" t="s">
        <v>89</v>
      </c>
      <c r="L1" t="s">
        <v>90</v>
      </c>
      <c r="M1" t="s">
        <v>91</v>
      </c>
      <c r="N1" t="s">
        <v>92</v>
      </c>
      <c r="O1" t="s">
        <v>186</v>
      </c>
      <c r="Q1" s="1" t="s">
        <v>24</v>
      </c>
      <c r="R1" s="39">
        <v>1</v>
      </c>
      <c r="S1" s="39">
        <v>2</v>
      </c>
      <c r="T1" s="39">
        <v>3</v>
      </c>
      <c r="U1" s="39">
        <v>4</v>
      </c>
      <c r="V1" s="39">
        <v>5</v>
      </c>
      <c r="Y1">
        <v>1</v>
      </c>
      <c r="Z1">
        <v>2</v>
      </c>
      <c r="AA1">
        <v>3</v>
      </c>
      <c r="AB1">
        <v>4</v>
      </c>
      <c r="AC1">
        <v>5</v>
      </c>
    </row>
    <row r="2" spans="1:29" x14ac:dyDescent="0.35">
      <c r="A2" s="2" t="s">
        <v>5</v>
      </c>
      <c r="B2" s="3">
        <v>10000000</v>
      </c>
      <c r="C2" s="39" t="s">
        <v>73</v>
      </c>
      <c r="D2" s="39">
        <v>3000</v>
      </c>
      <c r="E2">
        <f>D2*1.233*10^6</f>
        <v>3699000000.0000005</v>
      </c>
      <c r="F2" t="s">
        <v>6</v>
      </c>
      <c r="G2" s="4">
        <f>19875.329623648*2.5*5</f>
        <v>248441.62029559998</v>
      </c>
      <c r="H2" s="5">
        <v>0.2</v>
      </c>
      <c r="I2" s="32">
        <f>($D$4*K13+$D$2*I13)/L13</f>
        <v>960.00000081089183</v>
      </c>
      <c r="J2" s="49">
        <f>IF(I2&lt;3200,I2/$D$8, IF(I2&lt;4000,5,I2/$D$9))</f>
        <v>1.5000000012670185</v>
      </c>
      <c r="K2" s="32">
        <f>IF(J2&lt;$D$13, 1, 1-$D$15/$D$11*(J2-$D$13))</f>
        <v>0.99999999979938869</v>
      </c>
      <c r="L2" s="32">
        <f>IF(J2&lt;$D$14, 1, 1-$D$16/$D$12*(J2-$D$14))</f>
        <v>1</v>
      </c>
      <c r="M2" s="32">
        <f>(1-$D$11*(1-K2))*$B$5</f>
        <v>0.99999999975926646</v>
      </c>
      <c r="N2" s="32">
        <f>(1-$D$12*(1-L2))*$B$11</f>
        <v>8</v>
      </c>
      <c r="O2" s="7">
        <f>M2*$H$11</f>
        <v>77798.840495955257</v>
      </c>
      <c r="Q2" s="1">
        <v>1</v>
      </c>
      <c r="R2" s="47">
        <f>$H$2</f>
        <v>0.2</v>
      </c>
      <c r="S2" s="47">
        <f>$H$3</f>
        <v>0.2</v>
      </c>
      <c r="T2" s="47">
        <f>$H$4</f>
        <v>0.2</v>
      </c>
      <c r="U2" s="47">
        <f>$H$5</f>
        <v>0.2</v>
      </c>
      <c r="V2" s="47">
        <f>$H$6</f>
        <v>0.2</v>
      </c>
      <c r="X2">
        <v>1</v>
      </c>
      <c r="Y2">
        <v>0.5</v>
      </c>
      <c r="Z2">
        <v>0.5</v>
      </c>
      <c r="AA2">
        <v>0</v>
      </c>
      <c r="AB2">
        <v>0</v>
      </c>
      <c r="AC2">
        <v>0</v>
      </c>
    </row>
    <row r="3" spans="1:29" x14ac:dyDescent="0.35">
      <c r="A3" t="s">
        <v>10</v>
      </c>
      <c r="B3" s="6">
        <v>3.5000000000000003E-2</v>
      </c>
      <c r="C3" s="13" t="s">
        <v>74</v>
      </c>
      <c r="D3" s="13">
        <v>6000</v>
      </c>
      <c r="E3"/>
      <c r="F3" t="s">
        <v>11</v>
      </c>
      <c r="G3" s="4">
        <f>30972.868135964*2.5*5</f>
        <v>387160.85169954994</v>
      </c>
      <c r="H3" s="5">
        <v>0.2</v>
      </c>
      <c r="I3" s="32">
        <f>($D$4*K14+$D$2*I14)/L14</f>
        <v>959.99980650323255</v>
      </c>
      <c r="J3" s="49">
        <f>IF(I3&lt;3200,I3/$D$8, IF(I3&lt;4000,5,I3/$D$9))</f>
        <v>1.4999996976613008</v>
      </c>
      <c r="K3" s="32">
        <f>IF(J3&lt;$D$13, 1, 1-$D$15/$D$11*(J3-$D$13))</f>
        <v>1</v>
      </c>
      <c r="L3" s="32">
        <f>IF(J3&lt;$D$14, 1, 1-$D$16/$D$12*(J3-$D$14))</f>
        <v>1</v>
      </c>
      <c r="M3" s="32">
        <f>(1-$D$11*(1-K3))*$B$5</f>
        <v>1</v>
      </c>
      <c r="N3" s="32">
        <f>(1-$D$12*(1-L3))*$B$11</f>
        <v>8</v>
      </c>
      <c r="O3" s="7">
        <f>M3*$H$11</f>
        <v>77798.840514684052</v>
      </c>
      <c r="Q3" s="1">
        <v>2</v>
      </c>
      <c r="R3" s="47">
        <f t="array" ref="R3:V3">MMULT(R2:V2,$Y$2:$AC$6)</f>
        <v>0.26</v>
      </c>
      <c r="S3" s="47">
        <v>0.26</v>
      </c>
      <c r="T3" s="47">
        <v>0.16000000000000003</v>
      </c>
      <c r="U3" s="47">
        <v>0.16000000000000003</v>
      </c>
      <c r="V3" s="47">
        <v>0.16000000000000003</v>
      </c>
      <c r="X3">
        <v>2</v>
      </c>
      <c r="Y3">
        <f>$H$2</f>
        <v>0.2</v>
      </c>
      <c r="Z3">
        <f>$H$3</f>
        <v>0.2</v>
      </c>
      <c r="AA3">
        <f>$H$4</f>
        <v>0.2</v>
      </c>
      <c r="AB3">
        <f>$H$5</f>
        <v>0.2</v>
      </c>
      <c r="AC3">
        <f>$H$6</f>
        <v>0.2</v>
      </c>
    </row>
    <row r="4" spans="1:29" x14ac:dyDescent="0.35">
      <c r="A4" t="s">
        <v>12</v>
      </c>
      <c r="B4" s="4">
        <v>4226.68</v>
      </c>
      <c r="C4" s="39" t="s">
        <v>75</v>
      </c>
      <c r="D4" s="39">
        <v>400</v>
      </c>
      <c r="E4">
        <f>D4*1.233*10^6</f>
        <v>493200000.00000006</v>
      </c>
      <c r="F4" t="s">
        <v>13</v>
      </c>
      <c r="G4" s="4">
        <f>42113.570033076*2.5*5</f>
        <v>526419.62541344995</v>
      </c>
      <c r="H4" s="5">
        <v>0.2</v>
      </c>
      <c r="I4" s="32">
        <f>($D$4*K15+$D$2*I15)/L15</f>
        <v>959.99997001728434</v>
      </c>
      <c r="J4" s="49">
        <f>IF(I4&lt;3200,I4/$D$8, IF(I4&lt;4000,5,I4/$D$9))</f>
        <v>1.4999999531520067</v>
      </c>
      <c r="K4" s="32">
        <f>IF(J4&lt;$D$13, 1, 1-$D$15/$D$11*(J4-$D$13))</f>
        <v>1</v>
      </c>
      <c r="L4" s="32">
        <f>IF(J4&lt;$D$14, 1, 1-$D$16/$D$12*(J4-$D$14))</f>
        <v>1</v>
      </c>
      <c r="M4" s="32">
        <f>(1-$D$11*(1-K4))*$B$5</f>
        <v>1</v>
      </c>
      <c r="N4" s="32">
        <f>(1-$D$12*(1-L4))*$B$11</f>
        <v>8</v>
      </c>
      <c r="O4" s="7">
        <f>M4*$H$11</f>
        <v>77798.840514684052</v>
      </c>
      <c r="Q4" s="1">
        <v>3</v>
      </c>
      <c r="R4" s="47">
        <f t="array" ref="R4:V4">MMULT(R3:V3,$Y$2:$AC$6)</f>
        <v>0.27800000000000002</v>
      </c>
      <c r="S4" s="47">
        <v>0.27800000000000002</v>
      </c>
      <c r="T4" s="47">
        <v>0.14800000000000002</v>
      </c>
      <c r="U4" s="47">
        <v>0.14800000000000002</v>
      </c>
      <c r="V4" s="47">
        <v>0.14800000000000002</v>
      </c>
      <c r="X4">
        <v>3</v>
      </c>
      <c r="Y4">
        <f>$H$2</f>
        <v>0.2</v>
      </c>
      <c r="Z4">
        <f>$H$3</f>
        <v>0.2</v>
      </c>
      <c r="AA4">
        <f>$H$4</f>
        <v>0.2</v>
      </c>
      <c r="AB4">
        <f>$H$5</f>
        <v>0.2</v>
      </c>
      <c r="AC4">
        <f>$H$6</f>
        <v>0.2</v>
      </c>
    </row>
    <row r="5" spans="1:29" x14ac:dyDescent="0.35">
      <c r="A5" t="s">
        <v>14</v>
      </c>
      <c r="B5" s="7">
        <v>1</v>
      </c>
      <c r="C5" s="65" t="s">
        <v>76</v>
      </c>
      <c r="D5" s="65">
        <v>400</v>
      </c>
      <c r="E5" s="32"/>
      <c r="F5" t="s">
        <v>15</v>
      </c>
      <c r="G5" s="4">
        <f>57261.496518348*2.5*5</f>
        <v>715768.7064793501</v>
      </c>
      <c r="H5" s="5">
        <v>0.2</v>
      </c>
      <c r="I5" s="32">
        <f>($D$4*K16+$D$2*I16)/L16</f>
        <v>959.99963521685515</v>
      </c>
      <c r="J5" s="49">
        <f>IF(I5&lt;3200,I5/$D$8, IF(I5&lt;4000,5,I5/$D$9))</f>
        <v>1.4999994300263362</v>
      </c>
      <c r="K5" s="32">
        <f>IF(J5&lt;$D$13, 1, 1-$D$15/$D$11*(J5-$D$13))</f>
        <v>1</v>
      </c>
      <c r="L5" s="32">
        <f>IF(J5&lt;$D$14, 1, 1-$D$16/$D$12*(J5-$D$14))</f>
        <v>1</v>
      </c>
      <c r="M5" s="32">
        <f>(1-$D$11*(1-K5))*$B$5</f>
        <v>1</v>
      </c>
      <c r="N5" s="32">
        <f>(1-$D$12*(1-L5))*$B$11</f>
        <v>8</v>
      </c>
      <c r="O5" s="7">
        <f>M5*$H$11</f>
        <v>77798.840514684052</v>
      </c>
      <c r="Q5" s="1">
        <v>4</v>
      </c>
      <c r="R5" s="47">
        <f t="array" ref="R5:V5">MMULT(R4:V4,$Y$2:$AC$6)</f>
        <v>0.28340000000000004</v>
      </c>
      <c r="S5" s="47">
        <v>0.28340000000000004</v>
      </c>
      <c r="T5" s="47">
        <v>0.14440000000000003</v>
      </c>
      <c r="U5" s="47">
        <v>0.14440000000000003</v>
      </c>
      <c r="V5" s="47">
        <v>0.14440000000000003</v>
      </c>
      <c r="X5">
        <v>4</v>
      </c>
      <c r="Y5">
        <f>$H$2</f>
        <v>0.2</v>
      </c>
      <c r="Z5">
        <f>$H$3</f>
        <v>0.2</v>
      </c>
      <c r="AA5">
        <f>$H$4</f>
        <v>0.2</v>
      </c>
      <c r="AB5">
        <f>$H$5</f>
        <v>0.2</v>
      </c>
      <c r="AC5">
        <f>$H$6</f>
        <v>0.2</v>
      </c>
    </row>
    <row r="6" spans="1:29" x14ac:dyDescent="0.35">
      <c r="A6" t="s">
        <v>16</v>
      </c>
      <c r="B6" s="4">
        <v>1502.85</v>
      </c>
      <c r="C6" s="65" t="s">
        <v>77</v>
      </c>
      <c r="D6" s="65">
        <v>0.121</v>
      </c>
      <c r="E6" s="32"/>
      <c r="F6" t="s">
        <v>17</v>
      </c>
      <c r="G6" s="4">
        <f>89233.88013358*2.5*5</f>
        <v>1115423.5016697501</v>
      </c>
      <c r="H6" s="5">
        <v>0.2</v>
      </c>
      <c r="I6" s="32">
        <f>($D$4*K17+$D$2*I17)/L17</f>
        <v>429.36674244484465</v>
      </c>
      <c r="J6" s="49">
        <f>IF(I6&lt;3200,I6/$D$8, IF(I6&lt;4000,5,I6/$D$9))</f>
        <v>0.67088553507006976</v>
      </c>
      <c r="K6" s="32">
        <f>IF(J6&lt;$D$13, 1, 1-$D$15/$D$11*(J6-$D$13))</f>
        <v>1</v>
      </c>
      <c r="L6" s="32">
        <f>IF(J6&lt;$D$14, 1, 1-$D$16/$D$12*(J6-$D$14))</f>
        <v>1</v>
      </c>
      <c r="M6" s="32">
        <f>(1-$D$11*(1-K6))*$B$5</f>
        <v>1</v>
      </c>
      <c r="N6" s="32">
        <f>(1-$D$12*(1-L6))*$B$11</f>
        <v>8</v>
      </c>
      <c r="O6" s="7">
        <f>M6*$H$11</f>
        <v>77798.840514684052</v>
      </c>
      <c r="Q6" s="1">
        <v>5</v>
      </c>
      <c r="R6" s="47">
        <f t="array" ref="R6:V6">MMULT(R5:V5,$Y$2:$AC$6)</f>
        <v>0.28502000000000005</v>
      </c>
      <c r="S6" s="47">
        <v>0.28502000000000005</v>
      </c>
      <c r="T6" s="47">
        <v>0.14332000000000003</v>
      </c>
      <c r="U6" s="47">
        <v>0.14332000000000003</v>
      </c>
      <c r="V6" s="47">
        <v>0.14332000000000003</v>
      </c>
      <c r="X6">
        <v>5</v>
      </c>
      <c r="Y6">
        <f>$H$2</f>
        <v>0.2</v>
      </c>
      <c r="Z6">
        <f>$H$3</f>
        <v>0.2</v>
      </c>
      <c r="AA6">
        <f>$H$4</f>
        <v>0.2</v>
      </c>
      <c r="AB6">
        <f>$H$5</f>
        <v>0.2</v>
      </c>
      <c r="AC6">
        <f>$H$6</f>
        <v>0.2</v>
      </c>
    </row>
    <row r="7" spans="1:29" x14ac:dyDescent="0.35">
      <c r="A7" t="s">
        <v>18</v>
      </c>
      <c r="B7" s="8">
        <v>7.9500000000000005E-3</v>
      </c>
      <c r="C7" s="65" t="s">
        <v>78</v>
      </c>
      <c r="D7" s="65">
        <v>3</v>
      </c>
      <c r="E7" s="32"/>
      <c r="F7" t="s">
        <v>198</v>
      </c>
      <c r="G7">
        <f>SUMPRODUCT(G2:G6,H2:H6)/1000</f>
        <v>598.64286111154001</v>
      </c>
      <c r="Q7" s="1">
        <v>6</v>
      </c>
      <c r="R7" s="47">
        <f t="array" ref="R7:V7">MMULT(R6:V6,$Y$2:$AC$6)</f>
        <v>0.28550600000000009</v>
      </c>
      <c r="S7" s="47">
        <v>0.28550600000000009</v>
      </c>
      <c r="T7" s="47">
        <v>0.14299600000000004</v>
      </c>
      <c r="U7" s="47">
        <v>0.14299600000000004</v>
      </c>
      <c r="V7" s="47">
        <v>0.14299600000000004</v>
      </c>
    </row>
    <row r="8" spans="1:29" x14ac:dyDescent="0.35">
      <c r="A8" t="s">
        <v>19</v>
      </c>
      <c r="B8" s="4">
        <v>4.07</v>
      </c>
      <c r="C8" s="39" t="s">
        <v>79</v>
      </c>
      <c r="D8" s="39">
        <v>640</v>
      </c>
      <c r="E8" s="32"/>
      <c r="F8" s="5" t="s">
        <v>180</v>
      </c>
      <c r="G8" s="5" t="str">
        <f>IF(ABS(L86)&lt;1,"YES","NO")</f>
        <v>YES</v>
      </c>
      <c r="Q8" s="1">
        <v>7</v>
      </c>
      <c r="R8" s="47">
        <f t="array" ref="R8:V8">MMULT(R7:V7,$Y$2:$AC$6)</f>
        <v>0.28565180000000007</v>
      </c>
      <c r="S8" s="47">
        <v>0.28565180000000007</v>
      </c>
      <c r="T8" s="47">
        <v>0.14289880000000005</v>
      </c>
      <c r="U8" s="47">
        <v>0.14289880000000005</v>
      </c>
      <c r="V8" s="47">
        <v>0.14289880000000005</v>
      </c>
    </row>
    <row r="9" spans="1:29" x14ac:dyDescent="0.35">
      <c r="A9" t="s">
        <v>20</v>
      </c>
      <c r="B9" s="7">
        <v>12000</v>
      </c>
      <c r="C9" s="40" t="s">
        <v>187</v>
      </c>
      <c r="D9" s="40">
        <v>800</v>
      </c>
      <c r="E9"/>
      <c r="Q9" s="1">
        <v>8</v>
      </c>
      <c r="R9" s="47">
        <f t="array" ref="R9:V9">MMULT(R8:V8,$Y$2:$AC$6)</f>
        <v>0.28569554000000008</v>
      </c>
      <c r="S9" s="47">
        <v>0.28569554000000008</v>
      </c>
      <c r="T9" s="47">
        <v>0.14286964000000005</v>
      </c>
      <c r="U9" s="47">
        <v>0.14286964000000005</v>
      </c>
      <c r="V9" s="47">
        <v>0.14286964000000005</v>
      </c>
    </row>
    <row r="10" spans="1:29" ht="14.5" customHeight="1" x14ac:dyDescent="0.35">
      <c r="A10" t="s">
        <v>22</v>
      </c>
      <c r="B10" s="4">
        <v>157.28</v>
      </c>
      <c r="C10" s="65" t="s">
        <v>80</v>
      </c>
      <c r="D10" s="65">
        <v>960</v>
      </c>
      <c r="E10" s="32"/>
      <c r="Q10" s="1">
        <v>9</v>
      </c>
      <c r="R10" s="47">
        <f t="array" ref="R10:V10">MMULT(R9:V9,$Y$2:$AC$6)</f>
        <v>0.28570866200000011</v>
      </c>
      <c r="S10" s="47">
        <v>0.28570866200000011</v>
      </c>
      <c r="T10" s="47">
        <v>0.14286089200000007</v>
      </c>
      <c r="U10" s="47">
        <v>0.14286089200000007</v>
      </c>
      <c r="V10" s="47">
        <v>0.14286089200000007</v>
      </c>
    </row>
    <row r="11" spans="1:29" x14ac:dyDescent="0.35">
      <c r="A11" t="s">
        <v>27</v>
      </c>
      <c r="B11" s="7">
        <v>8</v>
      </c>
      <c r="C11" s="39" t="s">
        <v>94</v>
      </c>
      <c r="D11" s="39">
        <v>1.2</v>
      </c>
      <c r="E11" s="32"/>
      <c r="F11" s="69" t="s">
        <v>206</v>
      </c>
      <c r="G11" s="69" t="s">
        <v>4</v>
      </c>
      <c r="H11" s="69">
        <v>77798.840514684052</v>
      </c>
      <c r="I11" s="69"/>
      <c r="Q11" s="1">
        <v>10</v>
      </c>
      <c r="R11" s="47">
        <f t="array" ref="R11:V11">MMULT(R10:V10,$Y$2:$AC$6)</f>
        <v>0.28571259860000014</v>
      </c>
      <c r="S11" s="47">
        <v>0.28571259860000014</v>
      </c>
      <c r="T11" s="47">
        <v>0.14285826760000006</v>
      </c>
      <c r="U11" s="47">
        <v>0.14285826760000006</v>
      </c>
      <c r="V11" s="47">
        <v>0.14285826760000006</v>
      </c>
    </row>
    <row r="12" spans="1:29" x14ac:dyDescent="0.35">
      <c r="A12" t="s">
        <v>28</v>
      </c>
      <c r="B12" s="7">
        <v>635.91</v>
      </c>
      <c r="C12" s="40" t="s">
        <v>93</v>
      </c>
      <c r="D12" s="48">
        <v>1.1000000000000001</v>
      </c>
      <c r="E12" s="32"/>
      <c r="F12" s="69" t="s">
        <v>1</v>
      </c>
      <c r="G12" s="69" t="s">
        <v>7</v>
      </c>
      <c r="H12" s="69" t="s">
        <v>8</v>
      </c>
      <c r="I12" s="69" t="s">
        <v>9</v>
      </c>
      <c r="J12" s="36" t="s">
        <v>86</v>
      </c>
      <c r="K12" s="36" t="s">
        <v>87</v>
      </c>
      <c r="L12" s="36" t="s">
        <v>88</v>
      </c>
      <c r="M12" s="36" t="s">
        <v>181</v>
      </c>
      <c r="N12" s="36" t="s">
        <v>182</v>
      </c>
      <c r="O12" s="36" t="s">
        <v>184</v>
      </c>
      <c r="P12" s="36" t="s">
        <v>185</v>
      </c>
      <c r="W12" s="7"/>
    </row>
    <row r="13" spans="1:29" x14ac:dyDescent="0.35">
      <c r="A13" t="s">
        <v>29</v>
      </c>
      <c r="B13" s="8">
        <v>2.941E-3</v>
      </c>
      <c r="C13" s="39" t="s">
        <v>81</v>
      </c>
      <c r="D13" s="39">
        <v>1.5</v>
      </c>
      <c r="E13" s="32"/>
      <c r="F13" s="69" t="s">
        <v>6</v>
      </c>
      <c r="G13" s="70">
        <v>0</v>
      </c>
      <c r="H13" s="70">
        <v>0</v>
      </c>
      <c r="I13" s="68">
        <v>68199.660599165611</v>
      </c>
      <c r="J13">
        <f>H13*I13</f>
        <v>0</v>
      </c>
      <c r="K13">
        <f>G2-H13*$B$20</f>
        <v>248441.62029559998</v>
      </c>
      <c r="L13" s="7">
        <f>I13+K13</f>
        <v>316641.28089476557</v>
      </c>
      <c r="M13" s="7">
        <f t="shared" ref="M13:M18" si="0">$H$11*$B$8+G13*$B$14</f>
        <v>316641.28089476412</v>
      </c>
      <c r="N13" s="44">
        <f>L13-M13</f>
        <v>1.4551915228366852E-9</v>
      </c>
      <c r="O13" s="7">
        <f>I13-N13</f>
        <v>68199.660599164155</v>
      </c>
      <c r="P13">
        <f>M13*I2*1.233*10^6</f>
        <v>374801951686101.75</v>
      </c>
    </row>
    <row r="14" spans="1:29" x14ac:dyDescent="0.35">
      <c r="A14" t="s">
        <v>30</v>
      </c>
      <c r="B14" s="4">
        <v>4.84</v>
      </c>
      <c r="C14" s="39" t="s">
        <v>82</v>
      </c>
      <c r="D14" s="39">
        <v>2</v>
      </c>
      <c r="E14" s="32"/>
      <c r="F14" s="69" t="s">
        <v>11</v>
      </c>
      <c r="G14" s="70">
        <v>36528.713530456116</v>
      </c>
      <c r="H14" s="70">
        <v>0</v>
      </c>
      <c r="I14" s="68">
        <v>106279.40268267346</v>
      </c>
      <c r="J14">
        <f>H14*I14</f>
        <v>0</v>
      </c>
      <c r="K14">
        <f>G3-H14*$B$20</f>
        <v>387160.85169954994</v>
      </c>
      <c r="L14" s="7">
        <f>I14+K14</f>
        <v>493440.25438222341</v>
      </c>
      <c r="M14" s="7">
        <f t="shared" si="0"/>
        <v>493440.25438217173</v>
      </c>
      <c r="N14" s="44">
        <f>L14-M14</f>
        <v>5.1688402891159058E-8</v>
      </c>
      <c r="O14" s="7">
        <f>I14-N14</f>
        <v>106279.40268262177</v>
      </c>
      <c r="P14">
        <f>M14*I3*1.233*10^6</f>
        <v>584075242581366</v>
      </c>
    </row>
    <row r="15" spans="1:29" x14ac:dyDescent="0.35">
      <c r="A15" s="13" t="s">
        <v>31</v>
      </c>
      <c r="B15" s="14">
        <v>50</v>
      </c>
      <c r="C15" s="39" t="s">
        <v>83</v>
      </c>
      <c r="D15" s="39">
        <v>0.19</v>
      </c>
      <c r="E15" s="32"/>
      <c r="F15" s="69" t="s">
        <v>13</v>
      </c>
      <c r="G15" s="70">
        <v>73199.521241870883</v>
      </c>
      <c r="H15" s="70">
        <v>0</v>
      </c>
      <c r="I15" s="68">
        <v>144507.33829182334</v>
      </c>
      <c r="J15">
        <f>H15*I15</f>
        <v>0</v>
      </c>
      <c r="K15">
        <f>G4-H15*$B$20</f>
        <v>526419.62541344995</v>
      </c>
      <c r="L15" s="7">
        <f>I15+K15</f>
        <v>670926.96370527335</v>
      </c>
      <c r="M15" s="7">
        <f t="shared" si="0"/>
        <v>670926.9637054191</v>
      </c>
      <c r="N15" s="44">
        <f>L15-M15</f>
        <v>-1.4575198292732239E-7</v>
      </c>
      <c r="O15" s="7">
        <f>I15-N15</f>
        <v>144507.33829196909</v>
      </c>
      <c r="P15">
        <f>M15*I4*1.233*10^6</f>
        <v>794162803595540.75</v>
      </c>
    </row>
    <row r="16" spans="1:29" x14ac:dyDescent="0.35">
      <c r="A16" t="s">
        <v>32</v>
      </c>
      <c r="B16" s="7">
        <v>300</v>
      </c>
      <c r="C16" s="39" t="s">
        <v>84</v>
      </c>
      <c r="D16" s="39">
        <v>7.2999999999999995E-2</v>
      </c>
      <c r="F16" s="69" t="s">
        <v>15</v>
      </c>
      <c r="G16" s="70">
        <v>123060.49374541012</v>
      </c>
      <c r="H16" s="70">
        <v>0</v>
      </c>
      <c r="I16" s="68">
        <v>196485.36414388593</v>
      </c>
      <c r="J16">
        <f>H16*I16</f>
        <v>0</v>
      </c>
      <c r="K16">
        <f>G5-H16*$B$20</f>
        <v>715768.7064793501</v>
      </c>
      <c r="L16" s="7">
        <f>I16+K16</f>
        <v>912254.07062323601</v>
      </c>
      <c r="M16" s="7">
        <f t="shared" si="0"/>
        <v>912254.07062254904</v>
      </c>
      <c r="N16" s="44">
        <f>L16-M16</f>
        <v>6.8696681410074234E-7</v>
      </c>
      <c r="O16" s="7">
        <f>I16-N16</f>
        <v>196485.36414319897</v>
      </c>
      <c r="P16">
        <f>M16*I5*1.233*10^6</f>
        <v>1079816488003036.5</v>
      </c>
    </row>
    <row r="17" spans="1:16" x14ac:dyDescent="0.35">
      <c r="A17" t="s">
        <v>33</v>
      </c>
      <c r="B17" s="7">
        <v>42</v>
      </c>
      <c r="F17" s="69" t="s">
        <v>17</v>
      </c>
      <c r="G17" s="70">
        <v>167670.40170952343</v>
      </c>
      <c r="H17" s="70">
        <v>0</v>
      </c>
      <c r="I17" s="68">
        <v>12742.523498515609</v>
      </c>
      <c r="J17">
        <f>H17*I17</f>
        <v>0</v>
      </c>
      <c r="K17">
        <f>G6-H17*$B$20</f>
        <v>1115423.5016697501</v>
      </c>
      <c r="L17" s="7">
        <f>I17+K17</f>
        <v>1128166.0251682657</v>
      </c>
      <c r="M17" s="7">
        <f t="shared" si="0"/>
        <v>1128166.0251688575</v>
      </c>
      <c r="N17" s="44">
        <f>L17-M17</f>
        <v>-5.918554961681366E-7</v>
      </c>
      <c r="O17" s="7">
        <f>I17-N17</f>
        <v>12742.523499107465</v>
      </c>
      <c r="P17">
        <f>M17*I6*1.233*10^6</f>
        <v>597261465444843.38</v>
      </c>
    </row>
    <row r="18" spans="1:16" x14ac:dyDescent="0.35">
      <c r="A18" t="s">
        <v>34</v>
      </c>
      <c r="B18" s="7">
        <v>30</v>
      </c>
      <c r="C18" s="36" t="s">
        <v>166</v>
      </c>
      <c r="D18" s="45">
        <f>($E$4*SUMPRODUCT(H2:H6,K13:K17)+$E$2*SUMPRODUCT(H2:H6,O13:O17))*$B$24</f>
        <v>6860235902622539</v>
      </c>
      <c r="E18" s="45">
        <f>SUMPRODUCT(H2:H6,P13:P17)*B24</f>
        <v>6860235902621778</v>
      </c>
      <c r="G18" s="52"/>
      <c r="H18" s="52"/>
      <c r="I18" s="52"/>
      <c r="M18" s="7"/>
    </row>
    <row r="19" spans="1:16" x14ac:dyDescent="0.35">
      <c r="A19" t="s">
        <v>35</v>
      </c>
      <c r="B19" s="15">
        <v>500000</v>
      </c>
      <c r="C19" s="33" t="s">
        <v>167</v>
      </c>
      <c r="D19" s="46">
        <f>$E$4*SUMPRODUCT(H2:H6,H13:H17)*$B$20*$B$24</f>
        <v>0</v>
      </c>
      <c r="E19" s="33"/>
      <c r="F19" s="9" t="s">
        <v>21</v>
      </c>
      <c r="G19" s="10">
        <f>-J31+G32-J44+K51</f>
        <v>-1581599609.0020812</v>
      </c>
    </row>
    <row r="20" spans="1:16" x14ac:dyDescent="0.35">
      <c r="A20" t="s">
        <v>36</v>
      </c>
      <c r="B20" s="7">
        <v>15</v>
      </c>
      <c r="C20" s="36" t="s">
        <v>168</v>
      </c>
      <c r="D20" s="45">
        <f>($B$1-SUMPRODUCT(H2:H6,I13:I17)*$B$24)*$E$2</f>
        <v>3.3082270688379564E+16</v>
      </c>
      <c r="F20" s="62" t="s">
        <v>23</v>
      </c>
      <c r="G20" s="1" t="s">
        <v>24</v>
      </c>
      <c r="H20" s="1" t="s">
        <v>25</v>
      </c>
      <c r="I20" s="1" t="s">
        <v>26</v>
      </c>
      <c r="J20" s="1" t="s">
        <v>95</v>
      </c>
      <c r="K20" s="1" t="s">
        <v>96</v>
      </c>
      <c r="L20" s="1" t="s">
        <v>97</v>
      </c>
      <c r="M20" s="1" t="s">
        <v>98</v>
      </c>
      <c r="N20" s="1" t="s">
        <v>99</v>
      </c>
      <c r="O20" s="1" t="s">
        <v>100</v>
      </c>
    </row>
    <row r="21" spans="1:16" x14ac:dyDescent="0.35">
      <c r="A21" t="s">
        <v>37</v>
      </c>
      <c r="B21" s="4">
        <v>0.15</v>
      </c>
      <c r="C21" s="31" t="s">
        <v>74</v>
      </c>
      <c r="D21" s="44">
        <f>(E18+D19+D20)/B2/(1.233*10^6)</f>
        <v>3239.4571444445533</v>
      </c>
      <c r="E21" s="35"/>
      <c r="F21" s="62"/>
      <c r="G21" s="1">
        <v>1</v>
      </c>
      <c r="H21" s="1">
        <f>1/(1+$B$3)^($B$23*$B$24+G21)</f>
        <v>0.96618357487922713</v>
      </c>
      <c r="I21" s="11">
        <f t="shared" ref="I21:I30" si="1">$H$11</f>
        <v>77798.840514684052</v>
      </c>
      <c r="J21" s="12">
        <f>H21*($B$4*$M$2*I21-($B$6+0.5*$B$7*I21)*I21)</f>
        <v>181499027.85301453</v>
      </c>
      <c r="K21" s="11">
        <f>H21*($B$4*$M$3*I21-($B$6+0.5*$B$7*I21)*I21)</f>
        <v>181499027.92949823</v>
      </c>
      <c r="L21" s="11">
        <f>H21*($B$4*$M$4*I21-($B$6+0.5*$B$7*I21)*I21)</f>
        <v>181499027.92949823</v>
      </c>
      <c r="M21" s="11">
        <f>H21*($B$4*$M$5*I21-($B$6+0.5*$B$7*I21)*I21)</f>
        <v>181499027.92949823</v>
      </c>
      <c r="N21" s="11">
        <f>H21*($B$4*$M$6*I21-($B$6+0.5*$B$7*I21)*I21)</f>
        <v>181499027.92949823</v>
      </c>
      <c r="O21" s="11">
        <f>SUMPRODUCT(J21:N21,R2:V2)</f>
        <v>181499027.9142015</v>
      </c>
    </row>
    <row r="22" spans="1:16" x14ac:dyDescent="0.35">
      <c r="A22" t="s">
        <v>39</v>
      </c>
      <c r="B22" s="15">
        <f>40000*2.5*5</f>
        <v>500000</v>
      </c>
      <c r="C22" s="33"/>
      <c r="D22" s="33">
        <f>(B24*E4*SUMPRODUCT(G2:G6,H2:H6)+E2*B1)/B2/(1.233*10^6)</f>
        <v>3239.4571444446169</v>
      </c>
      <c r="E22" s="33"/>
      <c r="F22" s="62"/>
      <c r="G22" s="1">
        <v>2</v>
      </c>
      <c r="H22" s="1">
        <f t="shared" ref="H22:H30" si="2">1/(1+$B$3)^($B$23*$B$24+G22)</f>
        <v>0.93351070036640305</v>
      </c>
      <c r="I22" s="11">
        <f t="shared" si="1"/>
        <v>77798.840514684052</v>
      </c>
      <c r="J22" s="12">
        <f t="shared" ref="J22:J30" si="3">H22*($B$4*$M$2*I22-($B$6+0.5*$B$7*I22)*I22)</f>
        <v>175361379.56812999</v>
      </c>
      <c r="K22" s="11">
        <f t="shared" ref="K22:K30" si="4">H22*($B$4*$M$3*I22-($B$6+0.5*$B$7*I22)*I22)</f>
        <v>175361379.64202726</v>
      </c>
      <c r="L22" s="11">
        <f t="shared" ref="L22:L30" si="5">H22*($B$4*$M$4*I22-($B$6+0.5*$B$7*I22)*I22)</f>
        <v>175361379.64202726</v>
      </c>
      <c r="M22" s="11">
        <f t="shared" ref="M22:M30" si="6">H22*($B$4*$M$5*I22-($B$6+0.5*$B$7*I22)*I22)</f>
        <v>175361379.64202726</v>
      </c>
      <c r="N22" s="11">
        <f t="shared" ref="N22:N30" si="7">H22*($B$4*$M$6*I22-($B$6+0.5*$B$7*I22)*I22)</f>
        <v>175361379.64202726</v>
      </c>
      <c r="O22" s="11">
        <f t="shared" ref="O22:O30" si="8">SUMPRODUCT(J22:N22,R3:V3)</f>
        <v>175361379.62281397</v>
      </c>
    </row>
    <row r="23" spans="1:16" x14ac:dyDescent="0.35">
      <c r="A23" s="2" t="s">
        <v>41</v>
      </c>
      <c r="B23" s="21">
        <v>0</v>
      </c>
      <c r="C23" s="36" t="s">
        <v>169</v>
      </c>
      <c r="D23" s="36">
        <f>D18/B24/(B21*SUMPRODUCT(H2:H6,L13:L17))/(1.233*10^6)</f>
        <v>5266.6666666666497</v>
      </c>
      <c r="F23" s="62"/>
      <c r="G23" s="1">
        <v>3</v>
      </c>
      <c r="H23" s="1">
        <f t="shared" si="2"/>
        <v>0.90194270566802237</v>
      </c>
      <c r="I23" s="11">
        <f t="shared" si="1"/>
        <v>77798.840514684052</v>
      </c>
      <c r="J23" s="12">
        <f t="shared" si="3"/>
        <v>169431284.60688889</v>
      </c>
      <c r="K23" s="11">
        <f t="shared" si="4"/>
        <v>169431284.67828724</v>
      </c>
      <c r="L23" s="11">
        <f t="shared" si="5"/>
        <v>169431284.67828724</v>
      </c>
      <c r="M23" s="11">
        <f t="shared" si="6"/>
        <v>169431284.67828724</v>
      </c>
      <c r="N23" s="11">
        <f t="shared" si="7"/>
        <v>169431284.67828724</v>
      </c>
      <c r="O23" s="11">
        <f t="shared" si="8"/>
        <v>169431284.6584385</v>
      </c>
    </row>
    <row r="24" spans="1:16" x14ac:dyDescent="0.35">
      <c r="A24" t="s">
        <v>43</v>
      </c>
      <c r="B24" s="7">
        <v>10</v>
      </c>
      <c r="F24" s="62"/>
      <c r="G24" s="1">
        <v>4</v>
      </c>
      <c r="H24" s="1">
        <f t="shared" si="2"/>
        <v>0.87144222769857238</v>
      </c>
      <c r="I24" s="11">
        <f t="shared" si="1"/>
        <v>77798.840514684052</v>
      </c>
      <c r="J24" s="12">
        <f t="shared" si="3"/>
        <v>163701724.25786367</v>
      </c>
      <c r="K24" s="11">
        <f t="shared" si="4"/>
        <v>163701724.32684758</v>
      </c>
      <c r="L24" s="11">
        <f t="shared" si="5"/>
        <v>163701724.32684758</v>
      </c>
      <c r="M24" s="11">
        <f>H24*($B$4*$M$5*I24-($B$6+0.5*$B$7*I24)*I24)</f>
        <v>163701724.32684758</v>
      </c>
      <c r="N24" s="11">
        <f t="shared" si="7"/>
        <v>163701724.32684758</v>
      </c>
      <c r="O24" s="11">
        <f t="shared" si="8"/>
        <v>163701724.30729759</v>
      </c>
    </row>
    <row r="25" spans="1:16" x14ac:dyDescent="0.35">
      <c r="A25" s="2" t="s">
        <v>44</v>
      </c>
      <c r="B25" s="21">
        <v>75000</v>
      </c>
      <c r="F25" s="62"/>
      <c r="G25" s="1">
        <v>5</v>
      </c>
      <c r="H25" s="1">
        <f t="shared" si="2"/>
        <v>0.84197316685852419</v>
      </c>
      <c r="I25" s="11">
        <f t="shared" si="1"/>
        <v>77798.840514684052</v>
      </c>
      <c r="J25" s="12">
        <f t="shared" si="3"/>
        <v>158165917.15735623</v>
      </c>
      <c r="K25" s="11">
        <f t="shared" si="4"/>
        <v>158165917.22400734</v>
      </c>
      <c r="L25" s="11">
        <f t="shared" si="5"/>
        <v>158165917.22400734</v>
      </c>
      <c r="M25" s="11">
        <f t="shared" si="6"/>
        <v>158165917.22400734</v>
      </c>
      <c r="N25" s="11">
        <f t="shared" si="7"/>
        <v>158165917.22400734</v>
      </c>
      <c r="O25" s="11">
        <f t="shared" si="8"/>
        <v>158165917.20501047</v>
      </c>
    </row>
    <row r="26" spans="1:16" x14ac:dyDescent="0.35">
      <c r="A26" s="13" t="s">
        <v>45</v>
      </c>
      <c r="B26" s="61">
        <v>0.05</v>
      </c>
      <c r="C26" s="35"/>
      <c r="D26" s="35"/>
      <c r="E26" s="35"/>
      <c r="F26" s="62"/>
      <c r="G26" s="1">
        <v>6</v>
      </c>
      <c r="H26" s="1">
        <f t="shared" si="2"/>
        <v>0.81350064430775282</v>
      </c>
      <c r="I26" s="11">
        <f t="shared" si="1"/>
        <v>77798.840514684052</v>
      </c>
      <c r="J26" s="12">
        <f t="shared" si="3"/>
        <v>152817311.2631461</v>
      </c>
      <c r="K26" s="11">
        <f t="shared" si="4"/>
        <v>152817311.32754332</v>
      </c>
      <c r="L26" s="11">
        <f t="shared" si="5"/>
        <v>152817311.32754332</v>
      </c>
      <c r="M26" s="11">
        <f t="shared" si="6"/>
        <v>152817311.32754332</v>
      </c>
      <c r="N26" s="11">
        <f t="shared" si="7"/>
        <v>152817311.32754332</v>
      </c>
      <c r="O26" s="11">
        <f t="shared" si="8"/>
        <v>152817311.30915758</v>
      </c>
    </row>
    <row r="27" spans="1:16" x14ac:dyDescent="0.35">
      <c r="A27" s="13" t="s">
        <v>46</v>
      </c>
      <c r="B27" s="23">
        <v>2.5</v>
      </c>
      <c r="C27" s="38"/>
      <c r="D27" s="38"/>
      <c r="E27" s="38"/>
      <c r="F27" s="62"/>
      <c r="G27" s="1">
        <v>7</v>
      </c>
      <c r="H27" s="1">
        <f t="shared" si="2"/>
        <v>0.78599096068381913</v>
      </c>
      <c r="I27" s="11">
        <f t="shared" si="1"/>
        <v>77798.840514684052</v>
      </c>
      <c r="J27" s="12">
        <f t="shared" si="3"/>
        <v>147649576.09965807</v>
      </c>
      <c r="K27" s="11">
        <f t="shared" si="4"/>
        <v>147649576.1618776</v>
      </c>
      <c r="L27" s="11">
        <f t="shared" si="5"/>
        <v>147649576.1618776</v>
      </c>
      <c r="M27" s="11">
        <f t="shared" si="6"/>
        <v>147649576.1618776</v>
      </c>
      <c r="N27" s="11">
        <f t="shared" si="7"/>
        <v>147649576.1618776</v>
      </c>
      <c r="O27" s="11">
        <f t="shared" si="8"/>
        <v>147649576.14410454</v>
      </c>
    </row>
    <row r="28" spans="1:16" x14ac:dyDescent="0.35">
      <c r="A28" s="13" t="s">
        <v>47</v>
      </c>
      <c r="B28" s="14">
        <v>200</v>
      </c>
      <c r="F28" s="62"/>
      <c r="G28" s="1">
        <v>8</v>
      </c>
      <c r="H28" s="1">
        <f t="shared" si="2"/>
        <v>0.75941155621625056</v>
      </c>
      <c r="I28" s="11">
        <f t="shared" si="1"/>
        <v>77798.840514684052</v>
      </c>
      <c r="J28" s="12">
        <f t="shared" si="3"/>
        <v>142656595.26537016</v>
      </c>
      <c r="K28" s="11">
        <f t="shared" si="4"/>
        <v>142656595.32548565</v>
      </c>
      <c r="L28" s="11">
        <f t="shared" si="5"/>
        <v>142656595.32548565</v>
      </c>
      <c r="M28" s="11">
        <f t="shared" si="6"/>
        <v>142656595.32548565</v>
      </c>
      <c r="N28" s="11">
        <f t="shared" si="7"/>
        <v>142656595.32548565</v>
      </c>
      <c r="O28" s="11">
        <f t="shared" si="8"/>
        <v>142656595.30831096</v>
      </c>
    </row>
    <row r="29" spans="1:16" x14ac:dyDescent="0.35">
      <c r="A29" s="32" t="s">
        <v>48</v>
      </c>
      <c r="B29" s="35">
        <f>0.1</f>
        <v>0.1</v>
      </c>
      <c r="C29" s="35"/>
      <c r="D29" s="35"/>
      <c r="E29" s="35"/>
      <c r="F29" s="62"/>
      <c r="G29" s="1">
        <v>9</v>
      </c>
      <c r="H29" s="1">
        <f t="shared" si="2"/>
        <v>0.73373097218961414</v>
      </c>
      <c r="I29" s="11">
        <f t="shared" si="1"/>
        <v>77798.840514684052</v>
      </c>
      <c r="J29" s="12">
        <f t="shared" si="3"/>
        <v>137832459.19359437</v>
      </c>
      <c r="K29" s="11">
        <f t="shared" si="4"/>
        <v>137832459.25167698</v>
      </c>
      <c r="L29" s="11">
        <f t="shared" si="5"/>
        <v>137832459.25167698</v>
      </c>
      <c r="M29" s="11">
        <f t="shared" si="6"/>
        <v>137832459.25167698</v>
      </c>
      <c r="N29" s="11">
        <f t="shared" si="7"/>
        <v>137832459.25167698</v>
      </c>
      <c r="O29" s="11">
        <f t="shared" si="8"/>
        <v>137832459.23508236</v>
      </c>
    </row>
    <row r="30" spans="1:16" x14ac:dyDescent="0.35">
      <c r="A30" s="13" t="s">
        <v>49</v>
      </c>
      <c r="B30" s="14">
        <f>B19*B28*B29</f>
        <v>10000000</v>
      </c>
      <c r="F30" s="62"/>
      <c r="G30" s="1">
        <v>10</v>
      </c>
      <c r="H30" s="1">
        <f t="shared" si="2"/>
        <v>0.70891881370977217</v>
      </c>
      <c r="I30" s="11">
        <f t="shared" si="1"/>
        <v>77798.840514684052</v>
      </c>
      <c r="J30" s="12">
        <f t="shared" si="3"/>
        <v>133171458.15806219</v>
      </c>
      <c r="K30" s="11">
        <f t="shared" si="4"/>
        <v>133171458.21418066</v>
      </c>
      <c r="L30" s="11">
        <f t="shared" si="5"/>
        <v>133171458.21418066</v>
      </c>
      <c r="M30" s="11">
        <f t="shared" si="6"/>
        <v>133171458.21418066</v>
      </c>
      <c r="N30" s="11">
        <f t="shared" si="7"/>
        <v>133171458.21418066</v>
      </c>
      <c r="O30" s="11">
        <f t="shared" si="8"/>
        <v>133171458.19814697</v>
      </c>
    </row>
    <row r="31" spans="1:16" x14ac:dyDescent="0.35">
      <c r="A31" t="s">
        <v>55</v>
      </c>
      <c r="B31" s="7">
        <v>200</v>
      </c>
      <c r="F31" s="62"/>
      <c r="G31" s="1"/>
      <c r="H31" s="16"/>
      <c r="I31" s="17" t="s">
        <v>38</v>
      </c>
      <c r="J31" s="18">
        <f>SUM(O21:O30)</f>
        <v>1562286733.9025645</v>
      </c>
      <c r="L31" s="7"/>
    </row>
    <row r="32" spans="1:16" x14ac:dyDescent="0.35">
      <c r="A32" t="s">
        <v>56</v>
      </c>
      <c r="B32" s="7">
        <v>200</v>
      </c>
      <c r="F32" s="19" t="s">
        <v>40</v>
      </c>
      <c r="G32" s="20">
        <f>MAX(H11-$B$25,0)*$B$9/(1+$B$3)^(B23*B24+1)</f>
        <v>32450324.807931047</v>
      </c>
    </row>
    <row r="33" spans="1:15" x14ac:dyDescent="0.35">
      <c r="A33" t="s">
        <v>57</v>
      </c>
      <c r="B33" s="28">
        <v>0.7</v>
      </c>
      <c r="C33" s="38"/>
      <c r="D33" s="38"/>
      <c r="E33" s="38"/>
      <c r="F33" s="64" t="s">
        <v>42</v>
      </c>
      <c r="G33" s="1" t="s">
        <v>24</v>
      </c>
      <c r="H33" s="1" t="s">
        <v>25</v>
      </c>
      <c r="J33" s="1" t="s">
        <v>95</v>
      </c>
      <c r="K33" s="1" t="s">
        <v>96</v>
      </c>
      <c r="L33" s="1" t="s">
        <v>97</v>
      </c>
      <c r="M33" s="1" t="s">
        <v>98</v>
      </c>
      <c r="N33" s="1" t="s">
        <v>99</v>
      </c>
      <c r="O33" s="1" t="s">
        <v>100</v>
      </c>
    </row>
    <row r="34" spans="1:15" x14ac:dyDescent="0.35">
      <c r="A34" t="s">
        <v>58</v>
      </c>
      <c r="B34" s="6">
        <v>0.189</v>
      </c>
      <c r="C34" s="34"/>
      <c r="D34" s="34"/>
      <c r="E34" s="34"/>
      <c r="F34" s="64"/>
      <c r="G34" s="1">
        <v>1</v>
      </c>
      <c r="H34" s="1">
        <f>1/(1+$B$3)^($B$23*$B$24+G34)</f>
        <v>0.96618357487922713</v>
      </c>
      <c r="J34" s="22">
        <f>($B$10*$N$2*$G$13-($B$12+0.5*$B$13*$G$13)*$G$13)*$H34</f>
        <v>0</v>
      </c>
      <c r="K34" s="22">
        <f>($B$10*$N$3*$G$14-($B$12+0.5*$B$13*$G$14)*$G$14)*$H34</f>
        <v>20068364.402930606</v>
      </c>
      <c r="L34" s="22">
        <f>($B$10*$N$4*$G$15-($B$12+0.5*$B$13*$G$15)*$G$15)*$H34</f>
        <v>36401033.045160398</v>
      </c>
      <c r="M34" s="22">
        <f>($B$10*$N$5*$G$16-($B$12+0.5*$B$13*$G$16)*$G$16)*$H34</f>
        <v>52478409.664106674</v>
      </c>
      <c r="N34" s="22">
        <f>($B$10*$N$6*$G$17-($B$12+0.5*$B$13*$G$17)*$G$17)*$H34</f>
        <v>60874995.080402486</v>
      </c>
      <c r="O34" s="11">
        <f>SUMPRODUCT(J34:N34,$R$2:$V$2)</f>
        <v>33964560.438520037</v>
      </c>
    </row>
    <row r="35" spans="1:15" x14ac:dyDescent="0.35">
      <c r="A35" t="s">
        <v>59</v>
      </c>
      <c r="B35" s="7">
        <v>1233.4818399999999</v>
      </c>
      <c r="F35" s="64"/>
      <c r="G35" s="1">
        <v>2</v>
      </c>
      <c r="H35" s="1">
        <f t="shared" ref="H35:H43" si="9">1/(1+$B$3)^($B$23*$B$24+G35)</f>
        <v>0.93351070036640305</v>
      </c>
      <c r="J35" s="22">
        <f>($B$10*$N$2*$G$13-($B$12+0.5*$B$13*$G$13)*$G$13)*H35</f>
        <v>0</v>
      </c>
      <c r="K35" s="22">
        <f t="shared" ref="K35:K43" si="10">($B$10*$N$3*$G$14-($B$12+0.5*$B$13*$G$14)*$G$14)*$H35</f>
        <v>19389724.060802519</v>
      </c>
      <c r="L35" s="22">
        <f t="shared" ref="L35:L43" si="11">($B$10*$N$4*$G$15-($B$12+0.5*$B$13*$G$15)*$G$15)*$H35</f>
        <v>35170080.236869954</v>
      </c>
      <c r="M35" s="22">
        <f t="shared" ref="M35:M43" si="12">($B$10*$N$5*$G$16-($B$12+0.5*$B$13*$G$16)*$G$16)*$H35</f>
        <v>50703777.453243166</v>
      </c>
      <c r="N35" s="22">
        <f t="shared" ref="N35:N43" si="13">($B$10*$N$6*$G$17-($B$12+0.5*$B$13*$G$17)*$G$17)*$H35</f>
        <v>58816420.367538631</v>
      </c>
      <c r="O35" s="11">
        <f>SUMPRODUCT(J35:N35,$R$2:$V$2)</f>
        <v>32816000.423690856</v>
      </c>
    </row>
    <row r="36" spans="1:15" x14ac:dyDescent="0.35">
      <c r="A36" t="s">
        <v>60</v>
      </c>
      <c r="B36" s="7">
        <v>1000</v>
      </c>
      <c r="F36" s="64"/>
      <c r="G36" s="1">
        <v>3</v>
      </c>
      <c r="H36" s="1">
        <f t="shared" si="9"/>
        <v>0.90194270566802237</v>
      </c>
      <c r="J36" s="22">
        <f t="shared" ref="J36:J43" si="14">($B$10*$N$2*$G$13-($B$12+0.5*$B$13*$G$13)*$G$13)*H36</f>
        <v>0</v>
      </c>
      <c r="K36" s="22">
        <f t="shared" si="10"/>
        <v>18734032.908987943</v>
      </c>
      <c r="L36" s="22">
        <f t="shared" si="11"/>
        <v>33980753.852048263</v>
      </c>
      <c r="M36" s="22">
        <f t="shared" si="12"/>
        <v>48989156.95965524</v>
      </c>
      <c r="N36" s="22">
        <f t="shared" si="13"/>
        <v>56827459.292307861</v>
      </c>
      <c r="O36" s="11">
        <f>SUMPRODUCT(J36:N36,$R$2:$V$2)</f>
        <v>31706280.602599863</v>
      </c>
    </row>
    <row r="37" spans="1:15" x14ac:dyDescent="0.35">
      <c r="A37" t="s">
        <v>61</v>
      </c>
      <c r="B37" s="4">
        <v>9.81</v>
      </c>
      <c r="C37" s="35"/>
      <c r="D37" s="35"/>
      <c r="E37" s="35"/>
      <c r="F37" s="64"/>
      <c r="G37" s="1">
        <v>4</v>
      </c>
      <c r="H37" s="1">
        <f t="shared" si="9"/>
        <v>0.87144222769857238</v>
      </c>
      <c r="J37" s="22">
        <f t="shared" si="14"/>
        <v>0</v>
      </c>
      <c r="K37" s="22">
        <f t="shared" si="10"/>
        <v>18100514.887911055</v>
      </c>
      <c r="L37" s="22">
        <f t="shared" si="11"/>
        <v>32831646.233863059</v>
      </c>
      <c r="M37" s="22">
        <f t="shared" si="12"/>
        <v>47332518.801599264</v>
      </c>
      <c r="N37" s="22">
        <f t="shared" si="13"/>
        <v>54905757.770345762</v>
      </c>
      <c r="O37" s="11">
        <f t="shared" ref="O37:O43" si="15">SUMPRODUCT(J37:N37,$R$2:$V$2)</f>
        <v>30634087.538743831</v>
      </c>
    </row>
    <row r="38" spans="1:15" x14ac:dyDescent="0.35">
      <c r="A38" t="s">
        <v>62</v>
      </c>
      <c r="B38" s="8">
        <v>0.30480000000000002</v>
      </c>
      <c r="C38" s="37"/>
      <c r="D38" s="37"/>
      <c r="E38" s="37"/>
      <c r="F38" s="64"/>
      <c r="G38" s="1">
        <v>5</v>
      </c>
      <c r="H38" s="1">
        <f t="shared" si="9"/>
        <v>0.84197316685852419</v>
      </c>
      <c r="J38" s="22">
        <f t="shared" si="14"/>
        <v>0</v>
      </c>
      <c r="K38" s="22">
        <f t="shared" si="10"/>
        <v>17488420.181556579</v>
      </c>
      <c r="L38" s="22">
        <f t="shared" si="11"/>
        <v>31721397.327403929</v>
      </c>
      <c r="M38" s="22">
        <f t="shared" si="12"/>
        <v>45731902.223767415</v>
      </c>
      <c r="N38" s="22">
        <f t="shared" si="13"/>
        <v>53049041.324005581</v>
      </c>
      <c r="O38" s="11">
        <f t="shared" si="15"/>
        <v>29598152.211346701</v>
      </c>
    </row>
    <row r="39" spans="1:15" x14ac:dyDescent="0.35">
      <c r="A39" s="13" t="s">
        <v>64</v>
      </c>
      <c r="B39" s="41">
        <f>(1-(1+B3)^(-B24))/(B3*(1+B3)^(B23*B24))</f>
        <v>8.3166053225779368</v>
      </c>
      <c r="C39" s="37"/>
      <c r="D39" s="37"/>
      <c r="E39" s="37"/>
      <c r="F39" s="64"/>
      <c r="G39" s="1">
        <v>6</v>
      </c>
      <c r="H39" s="1">
        <f t="shared" si="9"/>
        <v>0.81350064430775282</v>
      </c>
      <c r="J39" s="22">
        <f t="shared" si="14"/>
        <v>0</v>
      </c>
      <c r="K39" s="22">
        <f t="shared" si="10"/>
        <v>16897024.330006357</v>
      </c>
      <c r="L39" s="22">
        <f t="shared" si="11"/>
        <v>30648693.069955487</v>
      </c>
      <c r="M39" s="22">
        <f t="shared" si="12"/>
        <v>44185412.776586875</v>
      </c>
      <c r="N39" s="22">
        <f t="shared" si="13"/>
        <v>51255112.390343554</v>
      </c>
      <c r="O39" s="11">
        <f t="shared" si="15"/>
        <v>28597248.513378456</v>
      </c>
    </row>
    <row r="40" spans="1:15" x14ac:dyDescent="0.35">
      <c r="B40" s="8"/>
      <c r="C40" s="37"/>
      <c r="D40" s="37"/>
      <c r="E40" s="37"/>
      <c r="F40" s="64"/>
      <c r="G40" s="1">
        <v>7</v>
      </c>
      <c r="H40" s="1">
        <f t="shared" si="9"/>
        <v>0.78599096068381913</v>
      </c>
      <c r="J40" s="22">
        <f t="shared" si="14"/>
        <v>0</v>
      </c>
      <c r="K40" s="22">
        <f t="shared" si="10"/>
        <v>16325627.371986818</v>
      </c>
      <c r="L40" s="22">
        <f t="shared" si="11"/>
        <v>29612263.835705783</v>
      </c>
      <c r="M40" s="22">
        <f t="shared" si="12"/>
        <v>42691220.073996976</v>
      </c>
      <c r="N40" s="22">
        <f t="shared" si="13"/>
        <v>49521847.720138699</v>
      </c>
      <c r="O40" s="11">
        <f t="shared" si="15"/>
        <v>27630191.800365657</v>
      </c>
    </row>
    <row r="41" spans="1:15" x14ac:dyDescent="0.35">
      <c r="B41" s="8"/>
      <c r="C41" s="37"/>
      <c r="D41" s="37"/>
      <c r="E41" s="37"/>
      <c r="F41" s="64"/>
      <c r="G41" s="1">
        <v>8</v>
      </c>
      <c r="H41" s="1">
        <f t="shared" si="9"/>
        <v>0.75941155621625056</v>
      </c>
      <c r="J41" s="22">
        <f t="shared" si="14"/>
        <v>0</v>
      </c>
      <c r="K41" s="22">
        <f t="shared" si="10"/>
        <v>15773553.016412389</v>
      </c>
      <c r="L41" s="22">
        <f t="shared" si="11"/>
        <v>28610882.933049072</v>
      </c>
      <c r="M41" s="22">
        <f t="shared" si="12"/>
        <v>41247555.627050228</v>
      </c>
      <c r="N41" s="22">
        <f t="shared" si="13"/>
        <v>47847195.864868321</v>
      </c>
      <c r="O41" s="11">
        <f t="shared" si="15"/>
        <v>26695837.488276005</v>
      </c>
    </row>
    <row r="42" spans="1:15" x14ac:dyDescent="0.35">
      <c r="B42" s="8"/>
      <c r="C42" s="37"/>
      <c r="D42" s="37"/>
      <c r="E42" s="37"/>
      <c r="F42" s="64"/>
      <c r="G42" s="1">
        <v>9</v>
      </c>
      <c r="H42" s="1">
        <f t="shared" si="9"/>
        <v>0.73373097218961414</v>
      </c>
      <c r="J42" s="22">
        <f t="shared" si="14"/>
        <v>0</v>
      </c>
      <c r="K42" s="22">
        <f t="shared" si="10"/>
        <v>15240147.841944337</v>
      </c>
      <c r="L42" s="22">
        <f t="shared" si="11"/>
        <v>27643365.152704421</v>
      </c>
      <c r="M42" s="22">
        <f t="shared" si="12"/>
        <v>39852710.750773177</v>
      </c>
      <c r="N42" s="22">
        <f t="shared" si="13"/>
        <v>46229174.74866505</v>
      </c>
      <c r="O42" s="11">
        <f t="shared" si="15"/>
        <v>25793079.698817395</v>
      </c>
    </row>
    <row r="43" spans="1:15" x14ac:dyDescent="0.35">
      <c r="B43" s="8"/>
      <c r="C43" s="37"/>
      <c r="D43" s="37"/>
      <c r="E43" s="37"/>
      <c r="F43" s="64"/>
      <c r="G43" s="1">
        <v>10</v>
      </c>
      <c r="H43" s="1">
        <f t="shared" si="9"/>
        <v>0.70891881370977217</v>
      </c>
      <c r="J43" s="22">
        <f t="shared" si="14"/>
        <v>0</v>
      </c>
      <c r="K43" s="22">
        <f t="shared" si="10"/>
        <v>14724780.523617718</v>
      </c>
      <c r="L43" s="22">
        <f t="shared" si="11"/>
        <v>26708565.364931811</v>
      </c>
      <c r="M43" s="22">
        <f t="shared" si="12"/>
        <v>38505034.541809835</v>
      </c>
      <c r="N43" s="22">
        <f t="shared" si="13"/>
        <v>44665869.32238169</v>
      </c>
      <c r="O43" s="11">
        <f t="shared" si="15"/>
        <v>24920849.950548213</v>
      </c>
    </row>
    <row r="44" spans="1:15" x14ac:dyDescent="0.35">
      <c r="C44" s="34"/>
      <c r="D44" s="34"/>
      <c r="E44" s="34"/>
      <c r="F44" s="64"/>
      <c r="I44" s="17" t="s">
        <v>38</v>
      </c>
      <c r="J44" s="24">
        <f>SUM(O34:O43)</f>
        <v>292356288.666287</v>
      </c>
    </row>
    <row r="45" spans="1:15" x14ac:dyDescent="0.35">
      <c r="F45" s="63" t="s">
        <v>50</v>
      </c>
      <c r="G45" s="25" t="s">
        <v>1</v>
      </c>
      <c r="H45" s="26" t="s">
        <v>51</v>
      </c>
      <c r="I45" s="25" t="s">
        <v>52</v>
      </c>
      <c r="J45" s="25" t="s">
        <v>53</v>
      </c>
      <c r="K45" s="25" t="s">
        <v>54</v>
      </c>
    </row>
    <row r="46" spans="1:15" x14ac:dyDescent="0.35">
      <c r="F46" s="63"/>
      <c r="G46" s="25" t="s">
        <v>6</v>
      </c>
      <c r="H46" s="27">
        <f>$B$34*I13*$B$35*($B$31+$B$32-0.5*($B$1+$B$2)/($B$19*$B$29))*$B$38*$B$36*$B$37/(3.6*10^6*$B$33)</f>
        <v>3773029.513935612</v>
      </c>
      <c r="I46" s="27">
        <f>H13*$B$16</f>
        <v>0</v>
      </c>
      <c r="J46" s="27">
        <f>$B$17*MIN(G2,$B$22)+$B$18*MAX(G2-$B$22,0)</f>
        <v>10434548.0524152</v>
      </c>
      <c r="K46" s="27">
        <f>SUM(H46:J46)</f>
        <v>14207577.566350812</v>
      </c>
    </row>
    <row r="47" spans="1:15" x14ac:dyDescent="0.35">
      <c r="F47" s="63"/>
      <c r="G47" s="25" t="s">
        <v>11</v>
      </c>
      <c r="H47" s="27">
        <f>$B$34*I14*$B$35*($B$31+$B$32-0.5*($B$1+$B$2)/($B$19*$B$29))*$B$38*$B$36*$B$37/(3.6*10^6*$B$33)</f>
        <v>5879726.0796057479</v>
      </c>
      <c r="I47" s="27">
        <f>H14*$B$16</f>
        <v>0</v>
      </c>
      <c r="J47" s="27">
        <f>$B$17*MIN(G3,$B$22)+$B$18*MAX(G3-$B$22,0)</f>
        <v>16260755.771381097</v>
      </c>
      <c r="K47" s="27">
        <f>SUM(H47:J47)</f>
        <v>22140481.850986846</v>
      </c>
    </row>
    <row r="48" spans="1:15" x14ac:dyDescent="0.35">
      <c r="F48" s="63"/>
      <c r="G48" s="25" t="s">
        <v>13</v>
      </c>
      <c r="H48" s="27">
        <f>$B$34*I15*$B$35*($B$31+$B$32-0.5*($B$1+$B$2)/($B$19*$B$29))*$B$38*$B$36*$B$37/(3.6*10^6*$B$33)</f>
        <v>7994621.1984814154</v>
      </c>
      <c r="I48" s="27">
        <f>H15*$B$16</f>
        <v>0</v>
      </c>
      <c r="J48" s="27">
        <f>$B$17*MIN(G4,$B$22)+$B$18*MAX(G4-$B$22,0)</f>
        <v>21792588.762403499</v>
      </c>
      <c r="K48" s="27">
        <f>SUM(H48:J48)</f>
        <v>29787209.960884914</v>
      </c>
    </row>
    <row r="49" spans="6:11" x14ac:dyDescent="0.35">
      <c r="F49" s="63"/>
      <c r="G49" s="25" t="s">
        <v>15</v>
      </c>
      <c r="H49" s="27">
        <f>$B$34*I16*$B$35*($B$31+$B$32-0.5*($B$1+$B$2)/($B$19*$B$29))*$B$38*$B$36*$B$37/(3.6*10^6*$B$33)</f>
        <v>10870216.529792197</v>
      </c>
      <c r="I49" s="27">
        <f>H16*$B$16</f>
        <v>0</v>
      </c>
      <c r="J49" s="27">
        <f>$B$17*MIN(G5,$B$22)+$B$18*MAX(G5-$B$22,0)</f>
        <v>27473061.194380503</v>
      </c>
      <c r="K49" s="27">
        <f>SUM(H49:J49)</f>
        <v>38343277.724172696</v>
      </c>
    </row>
    <row r="50" spans="6:11" x14ac:dyDescent="0.35">
      <c r="F50" s="63"/>
      <c r="G50" s="25" t="s">
        <v>17</v>
      </c>
      <c r="H50" s="27">
        <f>$B$34*I17*$B$35*($B$31+$B$32-0.5*($B$1+$B$2)/($B$19*$B$29))*$B$38*$B$36*$B$37/(3.6*10^6*$B$33)</f>
        <v>704958.30653013068</v>
      </c>
      <c r="I50" s="27">
        <f>H17*$B$16</f>
        <v>0</v>
      </c>
      <c r="J50" s="27">
        <f>$B$17*MIN(G6,$B$22)+$B$18*MAX(G6-$B$22,0)</f>
        <v>39462705.050092503</v>
      </c>
      <c r="K50" s="27">
        <f>SUM(H50:J50)</f>
        <v>40167663.356622636</v>
      </c>
    </row>
    <row r="51" spans="6:11" x14ac:dyDescent="0.35">
      <c r="F51" s="63"/>
      <c r="G51" s="20" t="s">
        <v>38</v>
      </c>
      <c r="H51" s="27">
        <f>SUM(H46:H50)</f>
        <v>29222551.628345102</v>
      </c>
      <c r="I51" s="27">
        <f>SUM(I46:I50)</f>
        <v>0</v>
      </c>
      <c r="J51" s="27">
        <f>SUM(J46:J50)</f>
        <v>115423658.8306728</v>
      </c>
      <c r="K51" s="20">
        <f>SUMPRODUCT($H$2:$H$6,$K$46:$K$50)*$B$39</f>
        <v>240593088.75883937</v>
      </c>
    </row>
    <row r="53" spans="6:11" x14ac:dyDescent="0.35">
      <c r="F53" t="s">
        <v>63</v>
      </c>
    </row>
    <row r="54" spans="6:11" x14ac:dyDescent="0.35">
      <c r="F54" t="s">
        <v>65</v>
      </c>
      <c r="G54" t="s">
        <v>1</v>
      </c>
      <c r="H54" s="29" t="s">
        <v>66</v>
      </c>
      <c r="I54" t="s">
        <v>67</v>
      </c>
    </row>
    <row r="55" spans="6:11" x14ac:dyDescent="0.35">
      <c r="G55" t="s">
        <v>6</v>
      </c>
      <c r="H55" s="30">
        <f>$B$19-$H$11-G13-H13</f>
        <v>422201.15948531596</v>
      </c>
      <c r="I55">
        <v>0</v>
      </c>
    </row>
    <row r="56" spans="6:11" x14ac:dyDescent="0.35">
      <c r="G56" t="s">
        <v>11</v>
      </c>
      <c r="H56" s="30">
        <f>$B$19-$H$11-G14-H14</f>
        <v>385672.44595485984</v>
      </c>
      <c r="I56">
        <v>0</v>
      </c>
    </row>
    <row r="57" spans="6:11" x14ac:dyDescent="0.35">
      <c r="G57" t="s">
        <v>13</v>
      </c>
      <c r="H57" s="30">
        <f>$B$19-$H$11-G15-H15</f>
        <v>349001.63824344508</v>
      </c>
      <c r="I57">
        <v>0</v>
      </c>
    </row>
    <row r="58" spans="6:11" x14ac:dyDescent="0.35">
      <c r="G58" t="s">
        <v>15</v>
      </c>
      <c r="H58" s="30">
        <f>$B$19-$H$11-G16-H16</f>
        <v>299140.66573990585</v>
      </c>
      <c r="I58">
        <v>0</v>
      </c>
    </row>
    <row r="59" spans="6:11" x14ac:dyDescent="0.35">
      <c r="G59" t="s">
        <v>17</v>
      </c>
      <c r="H59" s="30">
        <f>$B$19-$H$11-G17-H17</f>
        <v>254530.75777579253</v>
      </c>
      <c r="I59">
        <v>0</v>
      </c>
    </row>
    <row r="60" spans="6:11" x14ac:dyDescent="0.35">
      <c r="F60" t="s">
        <v>68</v>
      </c>
      <c r="G60" t="s">
        <v>1</v>
      </c>
      <c r="H60" s="29" t="s">
        <v>69</v>
      </c>
      <c r="I60" t="s">
        <v>67</v>
      </c>
    </row>
    <row r="61" spans="6:11" x14ac:dyDescent="0.35">
      <c r="G61" t="s">
        <v>6</v>
      </c>
      <c r="H61" s="30">
        <f>G2+I13-$B$20*H13-$B$8*$H$11-$B$14*G13</f>
        <v>1.4551915228366852E-9</v>
      </c>
      <c r="I61">
        <v>0</v>
      </c>
    </row>
    <row r="62" spans="6:11" x14ac:dyDescent="0.35">
      <c r="G62" t="s">
        <v>11</v>
      </c>
      <c r="H62" s="30">
        <f>G3+I14-$B$20*H14-$B$8*$H$11-$B$14*G14</f>
        <v>5.1688402891159058E-8</v>
      </c>
      <c r="I62">
        <v>0</v>
      </c>
    </row>
    <row r="63" spans="6:11" x14ac:dyDescent="0.35">
      <c r="G63" t="s">
        <v>13</v>
      </c>
      <c r="H63" s="30">
        <f>G4+I15-$B$20*H15-$B$8*$H$11-$B$14*G15</f>
        <v>-1.4581019058823586E-7</v>
      </c>
      <c r="I63">
        <v>0</v>
      </c>
    </row>
    <row r="64" spans="6:11" x14ac:dyDescent="0.35">
      <c r="G64" t="s">
        <v>15</v>
      </c>
      <c r="H64" s="30">
        <f>G5+I16-$B$20*H16-$B$8*$H$11-$B$14*G16</f>
        <v>6.8696681410074234E-7</v>
      </c>
      <c r="I64">
        <v>0</v>
      </c>
    </row>
    <row r="65" spans="6:13" x14ac:dyDescent="0.35">
      <c r="G65" t="s">
        <v>17</v>
      </c>
      <c r="H65" s="30">
        <f>G6+I17-$B$20*H17-$B$8*$H$11-$B$14*G17</f>
        <v>-5.918554961681366E-7</v>
      </c>
      <c r="I65">
        <v>0</v>
      </c>
    </row>
    <row r="66" spans="6:13" x14ac:dyDescent="0.35">
      <c r="F66" t="s">
        <v>70</v>
      </c>
      <c r="G66" t="s">
        <v>1</v>
      </c>
      <c r="H66" t="s">
        <v>4</v>
      </c>
      <c r="I66" t="s">
        <v>71</v>
      </c>
      <c r="J66" t="s">
        <v>52</v>
      </c>
      <c r="K66" t="s">
        <v>7</v>
      </c>
    </row>
    <row r="67" spans="6:13" x14ac:dyDescent="0.35">
      <c r="G67" t="s">
        <v>6</v>
      </c>
      <c r="H67" s="7">
        <f>$B$24*$B$21*$B$8*$H$11</f>
        <v>474961.92134214618</v>
      </c>
      <c r="I67" s="7">
        <f>I13*$B$24*H2</f>
        <v>136399.32119833122</v>
      </c>
      <c r="J67" s="7">
        <f>$B$20*H13*$B$24*H2</f>
        <v>0</v>
      </c>
      <c r="K67" s="7">
        <f>$B$21*$B$14*G13*$B$24*H2</f>
        <v>0</v>
      </c>
    </row>
    <row r="68" spans="6:13" x14ac:dyDescent="0.35">
      <c r="G68" t="s">
        <v>11</v>
      </c>
      <c r="H68" s="7">
        <f>$B$24*$B$21*$B$8*$H$11</f>
        <v>474961.92134214618</v>
      </c>
      <c r="I68" s="7">
        <f>I14*$B$24*H3</f>
        <v>212558.80536534695</v>
      </c>
      <c r="J68" s="7">
        <f>$B$20*H14*$B$24*H3</f>
        <v>0</v>
      </c>
      <c r="K68" s="7">
        <f>$B$21*$B$14*G14*$B$24*H3</f>
        <v>53039.692046222277</v>
      </c>
    </row>
    <row r="69" spans="6:13" x14ac:dyDescent="0.35">
      <c r="G69" t="s">
        <v>13</v>
      </c>
      <c r="H69" s="7">
        <f>$B$24*$B$21*$B$8*$H$11</f>
        <v>474961.92134214618</v>
      </c>
      <c r="I69" s="7">
        <f>I15*$B$24*H4</f>
        <v>289014.67658364674</v>
      </c>
      <c r="J69" s="7">
        <f>$B$20*H15*$B$24*H4</f>
        <v>0</v>
      </c>
      <c r="K69" s="7">
        <f>$B$21*$B$14*G15*$B$24*H4</f>
        <v>106285.70484319654</v>
      </c>
    </row>
    <row r="70" spans="6:13" x14ac:dyDescent="0.35">
      <c r="G70" t="s">
        <v>15</v>
      </c>
      <c r="H70" s="7">
        <f>$B$24*$B$21*$B$8*$H$11</f>
        <v>474961.92134214618</v>
      </c>
      <c r="I70" s="7">
        <f>I16*$B$24*H5</f>
        <v>392970.72828777187</v>
      </c>
      <c r="J70" s="7">
        <f>$B$20*H16*$B$24*H5</f>
        <v>0</v>
      </c>
      <c r="K70" s="7">
        <f>$B$21*$B$14*G16*$B$24*H5</f>
        <v>178683.83691833552</v>
      </c>
    </row>
    <row r="71" spans="6:13" x14ac:dyDescent="0.35">
      <c r="G71" t="s">
        <v>17</v>
      </c>
      <c r="H71" s="7">
        <f>$B$24*$B$21*$B$8*$H$11</f>
        <v>474961.92134214618</v>
      </c>
      <c r="I71" s="7">
        <f>I17*$B$24*H6</f>
        <v>25485.046997031222</v>
      </c>
      <c r="J71" s="7">
        <f>$B$20*H17*$B$24*H6</f>
        <v>0</v>
      </c>
      <c r="K71" s="7">
        <f>$B$21*$B$14*G17*$B$24*H6</f>
        <v>243457.423282228</v>
      </c>
    </row>
    <row r="72" spans="6:13" x14ac:dyDescent="0.35">
      <c r="G72" s="29" t="s">
        <v>38</v>
      </c>
      <c r="L72" s="30">
        <f>$B$1-$B$2+H67+SUM(K67:K71)+SUM(J67:J71)-SUM(I67:I71)</f>
        <v>0</v>
      </c>
    </row>
    <row r="73" spans="6:13" x14ac:dyDescent="0.35">
      <c r="H73" s="28">
        <f>H67/1000</f>
        <v>474.96192134214618</v>
      </c>
      <c r="J73" s="28">
        <f>J67/1000/H2</f>
        <v>0</v>
      </c>
      <c r="K73" s="28">
        <f>K67/1000/H2</f>
        <v>0</v>
      </c>
    </row>
    <row r="74" spans="6:13" x14ac:dyDescent="0.35">
      <c r="J74" s="28">
        <f>J68/1000/H3</f>
        <v>0</v>
      </c>
      <c r="K74" s="28">
        <f>K68/1000/H3</f>
        <v>265.19846023111137</v>
      </c>
    </row>
    <row r="75" spans="6:13" x14ac:dyDescent="0.35">
      <c r="J75" s="28">
        <f>J69/1000/H4</f>
        <v>0</v>
      </c>
      <c r="K75" s="28">
        <f>K69/1000/H4</f>
        <v>531.42852421598263</v>
      </c>
    </row>
    <row r="76" spans="6:13" x14ac:dyDescent="0.35">
      <c r="J76" s="28">
        <f>J70/1000/H5</f>
        <v>0</v>
      </c>
      <c r="K76" s="28">
        <f>K70/1000/H5</f>
        <v>893.41918459167755</v>
      </c>
    </row>
    <row r="77" spans="6:13" x14ac:dyDescent="0.35">
      <c r="J77" s="28">
        <f>J71/1000/H6</f>
        <v>0</v>
      </c>
      <c r="K77" s="28">
        <f>K71/1000/H6</f>
        <v>1217.28711641114</v>
      </c>
    </row>
    <row r="79" spans="6:13" x14ac:dyDescent="0.35">
      <c r="H79" s="4">
        <f>G2</f>
        <v>248441.62029559998</v>
      </c>
      <c r="I79" s="7">
        <f>H13</f>
        <v>0</v>
      </c>
      <c r="J79" s="28">
        <f>I79*$B$20</f>
        <v>0</v>
      </c>
      <c r="K79" s="7">
        <f>I13</f>
        <v>68199.660599165611</v>
      </c>
      <c r="L79" s="4">
        <f>(H79-J79+K79)*$B$21*$B$24</f>
        <v>474961.92134214833</v>
      </c>
      <c r="M79">
        <f>H2</f>
        <v>0.2</v>
      </c>
    </row>
    <row r="80" spans="6:13" x14ac:dyDescent="0.35">
      <c r="H80" s="4">
        <f>G3</f>
        <v>387160.85169954994</v>
      </c>
      <c r="I80" s="7">
        <f>H14</f>
        <v>0</v>
      </c>
      <c r="J80" s="28">
        <f>I80*$B$20</f>
        <v>0</v>
      </c>
      <c r="K80" s="7">
        <f>I14</f>
        <v>106279.40268267346</v>
      </c>
      <c r="L80" s="4">
        <f>(H80-J80+K80)*$B$21*$B$24</f>
        <v>740160.38157333503</v>
      </c>
      <c r="M80">
        <f>H3</f>
        <v>0.2</v>
      </c>
    </row>
    <row r="81" spans="8:13" x14ac:dyDescent="0.35">
      <c r="H81" s="4">
        <f>G4</f>
        <v>526419.62541344995</v>
      </c>
      <c r="I81" s="7">
        <f>H15</f>
        <v>0</v>
      </c>
      <c r="J81" s="28">
        <f>I81*$B$20</f>
        <v>0</v>
      </c>
      <c r="K81" s="7">
        <f>I15</f>
        <v>144507.33829182334</v>
      </c>
      <c r="L81" s="4">
        <f>(H81-J81+K81)*$B$21*$B$24</f>
        <v>1006390.44555791</v>
      </c>
      <c r="M81">
        <f>H4</f>
        <v>0.2</v>
      </c>
    </row>
    <row r="82" spans="8:13" x14ac:dyDescent="0.35">
      <c r="H82" s="4">
        <f>G5</f>
        <v>715768.7064793501</v>
      </c>
      <c r="I82" s="7">
        <f>H16</f>
        <v>0</v>
      </c>
      <c r="J82" s="28">
        <f>I82*$B$20</f>
        <v>0</v>
      </c>
      <c r="K82" s="7">
        <f>I16</f>
        <v>196485.36414388593</v>
      </c>
      <c r="L82" s="4">
        <f>(H82-J82+K82)*$B$21*$B$24</f>
        <v>1368381.1059348539</v>
      </c>
      <c r="M82">
        <f>H5</f>
        <v>0.2</v>
      </c>
    </row>
    <row r="83" spans="8:13" x14ac:dyDescent="0.35">
      <c r="H83" s="4">
        <f>G6</f>
        <v>1115423.5016697501</v>
      </c>
      <c r="I83" s="7">
        <f>H17</f>
        <v>0</v>
      </c>
      <c r="J83" s="28">
        <f>I83*$B$20</f>
        <v>0</v>
      </c>
      <c r="K83" s="7">
        <f>I17</f>
        <v>12742.523498515609</v>
      </c>
      <c r="L83" s="4">
        <f>(H83-J83+K83)*$B$21*$B$24</f>
        <v>1692249.0377523985</v>
      </c>
      <c r="M83">
        <f>H6</f>
        <v>0.2</v>
      </c>
    </row>
    <row r="84" spans="8:13" x14ac:dyDescent="0.35">
      <c r="L84" s="4">
        <f>SUMPRODUCT(L79:L83,M79:M83)</f>
        <v>1056428.5784321292</v>
      </c>
    </row>
    <row r="85" spans="8:13" x14ac:dyDescent="0.35">
      <c r="K85" s="4">
        <f>$B$24*$B$21*$B$8*$H$11</f>
        <v>474961.92134214618</v>
      </c>
      <c r="L85" s="7">
        <f>K85+SUM(K67:K71)</f>
        <v>1056428.5784321285</v>
      </c>
    </row>
    <row r="86" spans="8:13" x14ac:dyDescent="0.35">
      <c r="L86" s="31">
        <f>L84-L85</f>
        <v>0</v>
      </c>
    </row>
  </sheetData>
  <mergeCells count="3">
    <mergeCell ref="F20:F31"/>
    <mergeCell ref="F45:F51"/>
    <mergeCell ref="F33:F44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5EF62-FC94-47CE-9D2F-806CBD614D59}">
  <dimension ref="A1:E44"/>
  <sheetViews>
    <sheetView showGridLines="0" workbookViewId="0">
      <selection activeCell="G47" sqref="G47"/>
    </sheetView>
  </sheetViews>
  <sheetFormatPr defaultRowHeight="14.5" x14ac:dyDescent="0.35"/>
  <cols>
    <col min="1" max="1" width="2.1796875" customWidth="1"/>
    <col min="2" max="2" width="6.08984375" bestFit="1" customWidth="1"/>
    <col min="3" max="3" width="31.36328125" bestFit="1" customWidth="1"/>
    <col min="4" max="5" width="12.453125" bestFit="1" customWidth="1"/>
  </cols>
  <sheetData>
    <row r="1" spans="1:5" x14ac:dyDescent="0.35">
      <c r="A1" s="29" t="s">
        <v>101</v>
      </c>
    </row>
    <row r="2" spans="1:5" x14ac:dyDescent="0.35">
      <c r="A2" s="29" t="s">
        <v>188</v>
      </c>
    </row>
    <row r="3" spans="1:5" x14ac:dyDescent="0.35">
      <c r="A3" s="29" t="s">
        <v>189</v>
      </c>
    </row>
    <row r="6" spans="1:5" ht="15" thickBot="1" x14ac:dyDescent="0.4">
      <c r="A6" t="s">
        <v>102</v>
      </c>
    </row>
    <row r="7" spans="1:5" x14ac:dyDescent="0.35">
      <c r="B7" s="53"/>
      <c r="C7" s="53"/>
      <c r="D7" s="53" t="s">
        <v>105</v>
      </c>
      <c r="E7" s="53" t="s">
        <v>107</v>
      </c>
    </row>
    <row r="8" spans="1:5" ht="15" thickBot="1" x14ac:dyDescent="0.4">
      <c r="B8" s="54" t="s">
        <v>103</v>
      </c>
      <c r="C8" s="54" t="s">
        <v>104</v>
      </c>
      <c r="D8" s="54" t="s">
        <v>106</v>
      </c>
      <c r="E8" s="54" t="s">
        <v>108</v>
      </c>
    </row>
    <row r="9" spans="1:5" x14ac:dyDescent="0.35">
      <c r="B9" s="42" t="s">
        <v>112</v>
      </c>
      <c r="C9" s="42" t="s">
        <v>113</v>
      </c>
      <c r="D9" s="42">
        <v>75000</v>
      </c>
      <c r="E9" s="42">
        <v>0</v>
      </c>
    </row>
    <row r="10" spans="1:5" x14ac:dyDescent="0.35">
      <c r="B10" s="42" t="s">
        <v>114</v>
      </c>
      <c r="C10" s="42" t="s">
        <v>115</v>
      </c>
      <c r="D10" s="42">
        <v>0</v>
      </c>
      <c r="E10" s="42">
        <v>12284.972554720891</v>
      </c>
    </row>
    <row r="11" spans="1:5" x14ac:dyDescent="0.35">
      <c r="B11" s="42" t="s">
        <v>116</v>
      </c>
      <c r="C11" s="42" t="s">
        <v>117</v>
      </c>
      <c r="D11" s="42">
        <v>0</v>
      </c>
      <c r="E11" s="42">
        <v>0</v>
      </c>
    </row>
    <row r="12" spans="1:5" x14ac:dyDescent="0.35">
      <c r="B12" s="42" t="s">
        <v>118</v>
      </c>
      <c r="C12" s="42" t="s">
        <v>119</v>
      </c>
      <c r="D12" s="42">
        <v>56808.379704400009</v>
      </c>
      <c r="E12" s="42">
        <v>0</v>
      </c>
    </row>
    <row r="13" spans="1:5" x14ac:dyDescent="0.35">
      <c r="B13" s="42" t="s">
        <v>120</v>
      </c>
      <c r="C13" s="42" t="s">
        <v>121</v>
      </c>
      <c r="D13" s="42">
        <v>25811.718750446893</v>
      </c>
      <c r="E13" s="42">
        <v>0</v>
      </c>
    </row>
    <row r="14" spans="1:5" x14ac:dyDescent="0.35">
      <c r="B14" s="42" t="s">
        <v>122</v>
      </c>
      <c r="C14" s="42" t="s">
        <v>123</v>
      </c>
      <c r="D14" s="42">
        <v>0</v>
      </c>
      <c r="E14" s="42">
        <v>0</v>
      </c>
    </row>
    <row r="15" spans="1:5" x14ac:dyDescent="0.35">
      <c r="B15" s="42" t="s">
        <v>124</v>
      </c>
      <c r="C15" s="42" t="s">
        <v>125</v>
      </c>
      <c r="D15" s="42">
        <v>43017.867052613721</v>
      </c>
      <c r="E15" s="42">
        <v>0</v>
      </c>
    </row>
    <row r="16" spans="1:5" x14ac:dyDescent="0.35">
      <c r="B16" s="42" t="s">
        <v>126</v>
      </c>
      <c r="C16" s="42" t="s">
        <v>127</v>
      </c>
      <c r="D16" s="42">
        <v>57781.134918878073</v>
      </c>
      <c r="E16" s="42">
        <v>0</v>
      </c>
    </row>
    <row r="17" spans="1:5" x14ac:dyDescent="0.35">
      <c r="B17" s="42" t="s">
        <v>128</v>
      </c>
      <c r="C17" s="42" t="s">
        <v>129</v>
      </c>
      <c r="D17" s="42">
        <v>0</v>
      </c>
      <c r="E17" s="42">
        <v>0</v>
      </c>
    </row>
    <row r="18" spans="1:5" x14ac:dyDescent="0.35">
      <c r="B18" s="42" t="s">
        <v>130</v>
      </c>
      <c r="C18" s="42" t="s">
        <v>131</v>
      </c>
      <c r="D18" s="42">
        <v>58491.067593919586</v>
      </c>
      <c r="E18" s="42">
        <v>0</v>
      </c>
    </row>
    <row r="19" spans="1:5" x14ac:dyDescent="0.35">
      <c r="B19" s="42" t="s">
        <v>132</v>
      </c>
      <c r="C19" s="42" t="s">
        <v>133</v>
      </c>
      <c r="D19" s="42">
        <v>101249.70338558257</v>
      </c>
      <c r="E19" s="42">
        <v>0</v>
      </c>
    </row>
    <row r="20" spans="1:5" x14ac:dyDescent="0.35">
      <c r="B20" s="42" t="s">
        <v>134</v>
      </c>
      <c r="C20" s="42" t="s">
        <v>135</v>
      </c>
      <c r="D20" s="42">
        <v>0</v>
      </c>
      <c r="E20" s="42">
        <v>0</v>
      </c>
    </row>
    <row r="21" spans="1:5" x14ac:dyDescent="0.35">
      <c r="B21" s="42" t="s">
        <v>136</v>
      </c>
      <c r="C21" s="42" t="s">
        <v>137</v>
      </c>
      <c r="D21" s="42">
        <v>79529.857906863981</v>
      </c>
      <c r="E21" s="42">
        <v>0</v>
      </c>
    </row>
    <row r="22" spans="1:5" x14ac:dyDescent="0.35">
      <c r="B22" s="42" t="s">
        <v>138</v>
      </c>
      <c r="C22" s="42" t="s">
        <v>139</v>
      </c>
      <c r="D22" s="42">
        <v>119504.20509760767</v>
      </c>
      <c r="E22" s="42">
        <v>0</v>
      </c>
    </row>
    <row r="23" spans="1:5" x14ac:dyDescent="0.35">
      <c r="B23" s="42" t="s">
        <v>140</v>
      </c>
      <c r="C23" s="42" t="s">
        <v>141</v>
      </c>
      <c r="D23" s="42">
        <v>0</v>
      </c>
      <c r="E23" s="42">
        <v>0</v>
      </c>
    </row>
    <row r="24" spans="1:5" ht="15" thickBot="1" x14ac:dyDescent="0.4">
      <c r="B24" s="43" t="s">
        <v>142</v>
      </c>
      <c r="C24" s="43" t="s">
        <v>143</v>
      </c>
      <c r="D24" s="43">
        <v>212046.07706492834</v>
      </c>
      <c r="E24" s="43">
        <v>0</v>
      </c>
    </row>
    <row r="26" spans="1:5" ht="15" thickBot="1" x14ac:dyDescent="0.4">
      <c r="A26" t="s">
        <v>109</v>
      </c>
    </row>
    <row r="27" spans="1:5" x14ac:dyDescent="0.35">
      <c r="B27" s="53"/>
      <c r="C27" s="53"/>
      <c r="D27" s="53" t="s">
        <v>105</v>
      </c>
      <c r="E27" s="53" t="s">
        <v>110</v>
      </c>
    </row>
    <row r="28" spans="1:5" ht="15" thickBot="1" x14ac:dyDescent="0.4">
      <c r="B28" s="54" t="s">
        <v>103</v>
      </c>
      <c r="C28" s="54" t="s">
        <v>104</v>
      </c>
      <c r="D28" s="54" t="s">
        <v>106</v>
      </c>
      <c r="E28" s="54" t="s">
        <v>111</v>
      </c>
    </row>
    <row r="29" spans="1:5" x14ac:dyDescent="0.35">
      <c r="B29" s="42" t="s">
        <v>146</v>
      </c>
      <c r="C29" s="42" t="s">
        <v>147</v>
      </c>
      <c r="D29" s="42">
        <v>425000</v>
      </c>
      <c r="E29" s="42">
        <v>0</v>
      </c>
    </row>
    <row r="30" spans="1:5" x14ac:dyDescent="0.35">
      <c r="B30" s="42" t="s">
        <v>148</v>
      </c>
      <c r="C30" s="42" t="s">
        <v>149</v>
      </c>
      <c r="D30" s="42">
        <v>399188.28124955308</v>
      </c>
      <c r="E30" s="42">
        <v>0</v>
      </c>
    </row>
    <row r="31" spans="1:5" x14ac:dyDescent="0.35">
      <c r="B31" s="42" t="s">
        <v>150</v>
      </c>
      <c r="C31" s="42" t="s">
        <v>151</v>
      </c>
      <c r="D31" s="42">
        <v>367218.86508112191</v>
      </c>
      <c r="E31" s="42">
        <v>0</v>
      </c>
    </row>
    <row r="32" spans="1:5" x14ac:dyDescent="0.35">
      <c r="B32" s="42" t="s">
        <v>152</v>
      </c>
      <c r="C32" s="42" t="s">
        <v>153</v>
      </c>
      <c r="D32" s="42">
        <v>323750.29661441746</v>
      </c>
      <c r="E32" s="42">
        <v>0</v>
      </c>
    </row>
    <row r="33" spans="2:5" x14ac:dyDescent="0.35">
      <c r="B33" s="42" t="s">
        <v>154</v>
      </c>
      <c r="C33" s="42" t="s">
        <v>155</v>
      </c>
      <c r="D33" s="42">
        <v>305495.79490239231</v>
      </c>
      <c r="E33" s="42">
        <v>0</v>
      </c>
    </row>
    <row r="34" spans="2:5" x14ac:dyDescent="0.35">
      <c r="B34" s="42" t="s">
        <v>156</v>
      </c>
      <c r="C34" s="42" t="s">
        <v>157</v>
      </c>
      <c r="D34" s="42">
        <v>0</v>
      </c>
      <c r="E34" s="50">
        <v>2651.7160034179688</v>
      </c>
    </row>
    <row r="35" spans="2:5" x14ac:dyDescent="0.35">
      <c r="B35" s="42" t="s">
        <v>158</v>
      </c>
      <c r="C35" s="42" t="s">
        <v>159</v>
      </c>
      <c r="D35" s="42">
        <v>6.8394001573324203E-10</v>
      </c>
      <c r="E35" s="50">
        <v>95.471055675421468</v>
      </c>
    </row>
    <row r="36" spans="2:5" x14ac:dyDescent="0.35">
      <c r="B36" s="42" t="s">
        <v>160</v>
      </c>
      <c r="C36" s="42" t="s">
        <v>161</v>
      </c>
      <c r="D36" s="42">
        <v>0</v>
      </c>
      <c r="E36" s="50">
        <v>63.159309797304218</v>
      </c>
    </row>
    <row r="37" spans="2:5" x14ac:dyDescent="0.35">
      <c r="B37" s="42" t="s">
        <v>162</v>
      </c>
      <c r="C37" s="42" t="s">
        <v>163</v>
      </c>
      <c r="D37" s="42">
        <v>-5.5297277867794037E-9</v>
      </c>
      <c r="E37" s="50">
        <v>19.225285142065346</v>
      </c>
    </row>
    <row r="38" spans="2:5" x14ac:dyDescent="0.35">
      <c r="B38" s="42" t="s">
        <v>164</v>
      </c>
      <c r="C38" s="42" t="s">
        <v>165</v>
      </c>
      <c r="D38" s="42">
        <v>443819.22606225731</v>
      </c>
      <c r="E38" s="50">
        <v>0</v>
      </c>
    </row>
    <row r="39" spans="2:5" x14ac:dyDescent="0.35">
      <c r="B39" s="42" t="s">
        <v>170</v>
      </c>
      <c r="C39" s="42" t="s">
        <v>171</v>
      </c>
      <c r="D39" s="42">
        <v>0</v>
      </c>
      <c r="E39" s="42">
        <v>1.0631636479086841</v>
      </c>
    </row>
    <row r="40" spans="2:5" x14ac:dyDescent="0.35">
      <c r="B40" s="42" t="s">
        <v>172</v>
      </c>
      <c r="C40" s="42" t="s">
        <v>173</v>
      </c>
      <c r="D40" s="42">
        <v>0</v>
      </c>
      <c r="E40" s="42">
        <v>0.25948403928958413</v>
      </c>
    </row>
    <row r="41" spans="2:5" x14ac:dyDescent="0.35">
      <c r="B41" s="42" t="s">
        <v>174</v>
      </c>
      <c r="C41" s="42" t="s">
        <v>175</v>
      </c>
      <c r="D41" s="42">
        <v>0</v>
      </c>
      <c r="E41" s="42">
        <v>0.18255430297952388</v>
      </c>
    </row>
    <row r="42" spans="2:5" x14ac:dyDescent="0.35">
      <c r="B42" s="42" t="s">
        <v>176</v>
      </c>
      <c r="C42" s="42" t="s">
        <v>177</v>
      </c>
      <c r="D42" s="42">
        <v>0</v>
      </c>
      <c r="E42" s="42">
        <v>0.14179751913892727</v>
      </c>
    </row>
    <row r="43" spans="2:5" x14ac:dyDescent="0.35">
      <c r="B43" s="42" t="s">
        <v>178</v>
      </c>
      <c r="C43" s="42" t="s">
        <v>179</v>
      </c>
      <c r="D43" s="42">
        <v>0</v>
      </c>
      <c r="E43" s="42">
        <v>5.2926631281341514E-2</v>
      </c>
    </row>
    <row r="44" spans="2:5" ht="15" thickBot="1" x14ac:dyDescent="0.4">
      <c r="B44" s="43" t="s">
        <v>144</v>
      </c>
      <c r="C44" s="43" t="s">
        <v>145</v>
      </c>
      <c r="D44" s="43">
        <v>0</v>
      </c>
      <c r="E44" s="51">
        <v>-307.70535278320313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7178A-4B83-4242-B360-EAAC76868B5C}">
  <dimension ref="A1:E44"/>
  <sheetViews>
    <sheetView showGridLines="0" workbookViewId="0">
      <selection activeCell="E44" sqref="E44"/>
    </sheetView>
  </sheetViews>
  <sheetFormatPr defaultRowHeight="14.5" x14ac:dyDescent="0.35"/>
  <cols>
    <col min="1" max="1" width="2.1796875" customWidth="1"/>
    <col min="2" max="2" width="6.08984375" bestFit="1" customWidth="1"/>
    <col min="3" max="3" width="31.36328125" bestFit="1" customWidth="1"/>
    <col min="4" max="4" width="12.453125" bestFit="1" customWidth="1"/>
    <col min="5" max="5" width="11.81640625" bestFit="1" customWidth="1"/>
  </cols>
  <sheetData>
    <row r="1" spans="1:5" x14ac:dyDescent="0.35">
      <c r="A1" s="29" t="s">
        <v>101</v>
      </c>
    </row>
    <row r="2" spans="1:5" x14ac:dyDescent="0.35">
      <c r="A2" s="29" t="s">
        <v>188</v>
      </c>
    </row>
    <row r="3" spans="1:5" x14ac:dyDescent="0.35">
      <c r="A3" s="29" t="s">
        <v>200</v>
      </c>
    </row>
    <row r="6" spans="1:5" ht="15" thickBot="1" x14ac:dyDescent="0.4">
      <c r="A6" t="s">
        <v>102</v>
      </c>
    </row>
    <row r="7" spans="1:5" x14ac:dyDescent="0.35">
      <c r="B7" s="59"/>
      <c r="C7" s="59"/>
      <c r="D7" s="59" t="s">
        <v>105</v>
      </c>
      <c r="E7" s="59" t="s">
        <v>107</v>
      </c>
    </row>
    <row r="8" spans="1:5" ht="15" thickBot="1" x14ac:dyDescent="0.4">
      <c r="B8" s="60" t="s">
        <v>103</v>
      </c>
      <c r="C8" s="60" t="s">
        <v>104</v>
      </c>
      <c r="D8" s="60" t="s">
        <v>106</v>
      </c>
      <c r="E8" s="60" t="s">
        <v>108</v>
      </c>
    </row>
    <row r="9" spans="1:5" x14ac:dyDescent="0.35">
      <c r="B9" s="42" t="s">
        <v>112</v>
      </c>
      <c r="C9" s="42" t="s">
        <v>113</v>
      </c>
      <c r="D9" s="42">
        <v>75000</v>
      </c>
      <c r="E9" s="42">
        <v>0</v>
      </c>
    </row>
    <row r="10" spans="1:5" x14ac:dyDescent="0.35">
      <c r="B10" s="42" t="s">
        <v>114</v>
      </c>
      <c r="C10" s="42" t="s">
        <v>115</v>
      </c>
      <c r="D10" s="42">
        <v>0</v>
      </c>
      <c r="E10" s="42">
        <v>15306.583753631259</v>
      </c>
    </row>
    <row r="11" spans="1:5" x14ac:dyDescent="0.35">
      <c r="B11" s="42" t="s">
        <v>116</v>
      </c>
      <c r="C11" s="42" t="s">
        <v>117</v>
      </c>
      <c r="D11" s="42">
        <v>0</v>
      </c>
      <c r="E11" s="42">
        <v>0</v>
      </c>
    </row>
    <row r="12" spans="1:5" x14ac:dyDescent="0.35">
      <c r="B12" s="42" t="s">
        <v>118</v>
      </c>
      <c r="C12" s="42" t="s">
        <v>119</v>
      </c>
      <c r="D12" s="42">
        <v>56808.379704400009</v>
      </c>
      <c r="E12" s="42">
        <v>0</v>
      </c>
    </row>
    <row r="13" spans="1:5" x14ac:dyDescent="0.35">
      <c r="B13" s="42" t="s">
        <v>120</v>
      </c>
      <c r="C13" s="42" t="s">
        <v>121</v>
      </c>
      <c r="D13" s="42">
        <v>20384.736332857196</v>
      </c>
      <c r="E13" s="42">
        <v>0</v>
      </c>
    </row>
    <row r="14" spans="1:5" x14ac:dyDescent="0.35">
      <c r="B14" s="42" t="s">
        <v>122</v>
      </c>
      <c r="C14" s="42" t="s">
        <v>123</v>
      </c>
      <c r="D14" s="42">
        <v>0</v>
      </c>
      <c r="E14" s="42">
        <v>0</v>
      </c>
    </row>
    <row r="15" spans="1:5" x14ac:dyDescent="0.35">
      <c r="B15" s="42" t="s">
        <v>124</v>
      </c>
      <c r="C15" s="42" t="s">
        <v>125</v>
      </c>
      <c r="D15" s="42">
        <v>16751.272151477959</v>
      </c>
      <c r="E15" s="42">
        <v>0</v>
      </c>
    </row>
    <row r="16" spans="1:5" x14ac:dyDescent="0.35">
      <c r="B16" s="42" t="s">
        <v>126</v>
      </c>
      <c r="C16" s="42" t="s">
        <v>127</v>
      </c>
      <c r="D16" s="42">
        <v>45696.203597820233</v>
      </c>
      <c r="E16" s="42">
        <v>0</v>
      </c>
    </row>
    <row r="17" spans="1:5" x14ac:dyDescent="0.35">
      <c r="B17" s="42" t="s">
        <v>128</v>
      </c>
      <c r="C17" s="42" t="s">
        <v>129</v>
      </c>
      <c r="D17" s="42">
        <v>0</v>
      </c>
      <c r="E17" s="42">
        <v>1426.5612267357581</v>
      </c>
    </row>
    <row r="18" spans="1:5" x14ac:dyDescent="0.35">
      <c r="B18" s="42" t="s">
        <v>130</v>
      </c>
      <c r="C18" s="42" t="s">
        <v>131</v>
      </c>
      <c r="D18" s="42">
        <v>0</v>
      </c>
      <c r="E18" s="42">
        <v>25.658663561164019</v>
      </c>
    </row>
    <row r="19" spans="1:5" x14ac:dyDescent="0.35">
      <c r="B19" s="42" t="s">
        <v>132</v>
      </c>
      <c r="C19" s="42" t="s">
        <v>133</v>
      </c>
      <c r="D19" s="42">
        <v>84817.914561849204</v>
      </c>
      <c r="E19" s="42">
        <v>0</v>
      </c>
    </row>
    <row r="20" spans="1:5" x14ac:dyDescent="0.35">
      <c r="B20" s="42" t="s">
        <v>134</v>
      </c>
      <c r="C20" s="42" t="s">
        <v>135</v>
      </c>
      <c r="D20" s="42">
        <v>0</v>
      </c>
      <c r="E20" s="42">
        <v>833.46592573211842</v>
      </c>
    </row>
    <row r="21" spans="1:5" x14ac:dyDescent="0.35">
      <c r="B21" s="42" t="s">
        <v>136</v>
      </c>
      <c r="C21" s="42" t="s">
        <v>137</v>
      </c>
      <c r="D21" s="42">
        <v>0</v>
      </c>
      <c r="E21" s="42">
        <v>65.213564616721499</v>
      </c>
    </row>
    <row r="22" spans="1:5" x14ac:dyDescent="0.35">
      <c r="B22" s="42" t="s">
        <v>138</v>
      </c>
      <c r="C22" s="42" t="s">
        <v>139</v>
      </c>
      <c r="D22" s="42">
        <v>139791.91010584478</v>
      </c>
      <c r="E22" s="42">
        <v>0</v>
      </c>
    </row>
    <row r="23" spans="1:5" x14ac:dyDescent="0.35">
      <c r="B23" s="42" t="s">
        <v>140</v>
      </c>
      <c r="C23" s="42" t="s">
        <v>141</v>
      </c>
      <c r="D23" s="42">
        <v>8905.3771171640201</v>
      </c>
      <c r="E23" s="42">
        <v>0</v>
      </c>
    </row>
    <row r="24" spans="1:5" ht="15" thickBot="1" x14ac:dyDescent="0.4">
      <c r="B24" s="43" t="s">
        <v>142</v>
      </c>
      <c r="C24" s="43" t="s">
        <v>143</v>
      </c>
      <c r="D24" s="43">
        <v>0</v>
      </c>
      <c r="E24" s="43">
        <v>0</v>
      </c>
    </row>
    <row r="26" spans="1:5" ht="15" thickBot="1" x14ac:dyDescent="0.4">
      <c r="A26" t="s">
        <v>109</v>
      </c>
    </row>
    <row r="27" spans="1:5" x14ac:dyDescent="0.35">
      <c r="B27" s="59"/>
      <c r="C27" s="59"/>
      <c r="D27" s="59" t="s">
        <v>105</v>
      </c>
      <c r="E27" s="59" t="s">
        <v>110</v>
      </c>
    </row>
    <row r="28" spans="1:5" ht="15" thickBot="1" x14ac:dyDescent="0.4">
      <c r="B28" s="60" t="s">
        <v>103</v>
      </c>
      <c r="C28" s="60" t="s">
        <v>104</v>
      </c>
      <c r="D28" s="60" t="s">
        <v>106</v>
      </c>
      <c r="E28" s="60" t="s">
        <v>111</v>
      </c>
    </row>
    <row r="29" spans="1:5" x14ac:dyDescent="0.35">
      <c r="B29" s="42" t="s">
        <v>146</v>
      </c>
      <c r="C29" s="42" t="s">
        <v>147</v>
      </c>
      <c r="D29" s="42">
        <v>425000</v>
      </c>
      <c r="E29" s="42">
        <v>0</v>
      </c>
    </row>
    <row r="30" spans="1:5" x14ac:dyDescent="0.35">
      <c r="B30" s="42" t="s">
        <v>148</v>
      </c>
      <c r="C30" s="42" t="s">
        <v>149</v>
      </c>
      <c r="D30" s="42">
        <v>404615.26366714283</v>
      </c>
      <c r="E30" s="42">
        <v>0</v>
      </c>
    </row>
    <row r="31" spans="1:5" x14ac:dyDescent="0.35">
      <c r="B31" s="42" t="s">
        <v>150</v>
      </c>
      <c r="C31" s="42" t="s">
        <v>151</v>
      </c>
      <c r="D31" s="42">
        <v>379303.79640217975</v>
      </c>
      <c r="E31" s="42">
        <v>0</v>
      </c>
    </row>
    <row r="32" spans="1:5" x14ac:dyDescent="0.35">
      <c r="B32" s="42" t="s">
        <v>152</v>
      </c>
      <c r="C32" s="42" t="s">
        <v>153</v>
      </c>
      <c r="D32" s="42">
        <v>340182.0854381508</v>
      </c>
      <c r="E32" s="42">
        <v>0</v>
      </c>
    </row>
    <row r="33" spans="2:5" x14ac:dyDescent="0.35">
      <c r="B33" s="42" t="s">
        <v>154</v>
      </c>
      <c r="C33" s="42" t="s">
        <v>155</v>
      </c>
      <c r="D33" s="42">
        <v>276302.71277699119</v>
      </c>
      <c r="E33" s="42">
        <v>0</v>
      </c>
    </row>
    <row r="34" spans="2:5" x14ac:dyDescent="0.35">
      <c r="B34" s="42" t="s">
        <v>156</v>
      </c>
      <c r="C34" s="42" t="s">
        <v>157</v>
      </c>
      <c r="D34" s="42">
        <v>0</v>
      </c>
      <c r="E34" s="50">
        <v>3387.0531469269117</v>
      </c>
    </row>
    <row r="35" spans="2:5" x14ac:dyDescent="0.35">
      <c r="B35" s="42" t="s">
        <v>158</v>
      </c>
      <c r="C35" s="42" t="s">
        <v>159</v>
      </c>
      <c r="D35" s="42">
        <v>-9.0221874415874481E-10</v>
      </c>
      <c r="E35" s="50">
        <v>211.94689224778716</v>
      </c>
    </row>
    <row r="36" spans="2:5" x14ac:dyDescent="0.35">
      <c r="B36" s="42" t="s">
        <v>160</v>
      </c>
      <c r="C36" s="42" t="s">
        <v>161</v>
      </c>
      <c r="D36" s="42">
        <v>0</v>
      </c>
      <c r="E36" s="50">
        <v>186.36438562920878</v>
      </c>
    </row>
    <row r="37" spans="2:5" x14ac:dyDescent="0.35">
      <c r="B37" s="42" t="s">
        <v>162</v>
      </c>
      <c r="C37" s="42" t="s">
        <v>163</v>
      </c>
      <c r="D37" s="42">
        <v>0</v>
      </c>
      <c r="E37" s="50">
        <v>146.82375713420927</v>
      </c>
    </row>
    <row r="38" spans="2:5" x14ac:dyDescent="0.35">
      <c r="B38" s="42" t="s">
        <v>164</v>
      </c>
      <c r="C38" s="42" t="s">
        <v>165</v>
      </c>
      <c r="D38" s="42">
        <v>1.0477378964424133E-9</v>
      </c>
      <c r="E38" s="50">
        <v>91.261091669750186</v>
      </c>
    </row>
    <row r="39" spans="2:5" x14ac:dyDescent="0.35">
      <c r="B39" s="42" t="s">
        <v>170</v>
      </c>
      <c r="C39" s="42" t="s">
        <v>171</v>
      </c>
      <c r="D39" s="42">
        <v>0</v>
      </c>
      <c r="E39" s="42">
        <v>1.0619450384319593</v>
      </c>
    </row>
    <row r="40" spans="2:5" x14ac:dyDescent="0.35">
      <c r="B40" s="42" t="s">
        <v>172</v>
      </c>
      <c r="C40" s="42" t="s">
        <v>173</v>
      </c>
      <c r="D40" s="42">
        <v>0</v>
      </c>
      <c r="E40" s="42">
        <v>0.10806966435754047</v>
      </c>
    </row>
    <row r="41" spans="2:5" x14ac:dyDescent="0.35">
      <c r="B41" s="42" t="s">
        <v>174</v>
      </c>
      <c r="C41" s="42" t="s">
        <v>175</v>
      </c>
      <c r="D41" s="42">
        <v>0</v>
      </c>
      <c r="E41" s="42">
        <v>0</v>
      </c>
    </row>
    <row r="42" spans="2:5" x14ac:dyDescent="0.35">
      <c r="B42" s="42" t="s">
        <v>176</v>
      </c>
      <c r="C42" s="42" t="s">
        <v>177</v>
      </c>
      <c r="D42" s="42">
        <v>0</v>
      </c>
      <c r="E42" s="42">
        <v>0</v>
      </c>
    </row>
    <row r="43" spans="2:5" x14ac:dyDescent="0.35">
      <c r="B43" s="42" t="s">
        <v>178</v>
      </c>
      <c r="C43" s="42" t="s">
        <v>179</v>
      </c>
      <c r="D43" s="42">
        <v>0</v>
      </c>
      <c r="E43" s="42">
        <v>1.3561256814861786E-2</v>
      </c>
    </row>
    <row r="44" spans="2:5" ht="15" thickBot="1" x14ac:dyDescent="0.4">
      <c r="B44" s="43" t="s">
        <v>144</v>
      </c>
      <c r="C44" s="43" t="s">
        <v>145</v>
      </c>
      <c r="D44" s="43">
        <v>0</v>
      </c>
      <c r="E44" s="51">
        <v>62.263756080643326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1C74A-041B-44C7-B0C6-9ACE8B8E643C}">
  <dimension ref="A1:E44"/>
  <sheetViews>
    <sheetView showGridLines="0" workbookViewId="0">
      <selection activeCell="E44" sqref="E44"/>
    </sheetView>
  </sheetViews>
  <sheetFormatPr defaultRowHeight="14.5" x14ac:dyDescent="0.35"/>
  <cols>
    <col min="1" max="1" width="2.1796875" customWidth="1"/>
    <col min="2" max="2" width="6.08984375" bestFit="1" customWidth="1"/>
    <col min="3" max="3" width="31.36328125" bestFit="1" customWidth="1"/>
    <col min="4" max="4" width="12.453125" bestFit="1" customWidth="1"/>
    <col min="5" max="5" width="11.81640625" bestFit="1" customWidth="1"/>
  </cols>
  <sheetData>
    <row r="1" spans="1:5" x14ac:dyDescent="0.35">
      <c r="A1" s="29" t="s">
        <v>101</v>
      </c>
    </row>
    <row r="2" spans="1:5" x14ac:dyDescent="0.35">
      <c r="A2" s="29" t="s">
        <v>188</v>
      </c>
    </row>
    <row r="3" spans="1:5" x14ac:dyDescent="0.35">
      <c r="A3" s="29" t="s">
        <v>202</v>
      </c>
    </row>
    <row r="6" spans="1:5" ht="15" thickBot="1" x14ac:dyDescent="0.4">
      <c r="A6" t="s">
        <v>102</v>
      </c>
    </row>
    <row r="7" spans="1:5" x14ac:dyDescent="0.35">
      <c r="B7" s="59"/>
      <c r="C7" s="59"/>
      <c r="D7" s="59" t="s">
        <v>105</v>
      </c>
      <c r="E7" s="59" t="s">
        <v>107</v>
      </c>
    </row>
    <row r="8" spans="1:5" ht="15" thickBot="1" x14ac:dyDescent="0.4">
      <c r="B8" s="60" t="s">
        <v>103</v>
      </c>
      <c r="C8" s="60" t="s">
        <v>104</v>
      </c>
      <c r="D8" s="60" t="s">
        <v>106</v>
      </c>
      <c r="E8" s="60" t="s">
        <v>108</v>
      </c>
    </row>
    <row r="9" spans="1:5" x14ac:dyDescent="0.35">
      <c r="B9" s="42" t="s">
        <v>112</v>
      </c>
      <c r="C9" s="42" t="s">
        <v>113</v>
      </c>
      <c r="D9" s="42">
        <v>69296.318679018703</v>
      </c>
      <c r="E9" s="42">
        <v>0</v>
      </c>
    </row>
    <row r="10" spans="1:5" x14ac:dyDescent="0.35">
      <c r="B10" s="42" t="s">
        <v>114</v>
      </c>
      <c r="C10" s="42" t="s">
        <v>115</v>
      </c>
      <c r="D10" s="42">
        <v>0</v>
      </c>
      <c r="E10" s="42">
        <v>16898.403069718588</v>
      </c>
    </row>
    <row r="11" spans="1:5" x14ac:dyDescent="0.35">
      <c r="B11" s="42" t="s">
        <v>116</v>
      </c>
      <c r="C11" s="42" t="s">
        <v>117</v>
      </c>
      <c r="D11" s="42">
        <v>0</v>
      </c>
      <c r="E11" s="42">
        <v>0</v>
      </c>
    </row>
    <row r="12" spans="1:5" x14ac:dyDescent="0.35">
      <c r="B12" s="42" t="s">
        <v>118</v>
      </c>
      <c r="C12" s="42" t="s">
        <v>119</v>
      </c>
      <c r="D12" s="42">
        <v>33594.396728077496</v>
      </c>
      <c r="E12" s="42">
        <v>0</v>
      </c>
    </row>
    <row r="13" spans="1:5" x14ac:dyDescent="0.35">
      <c r="B13" s="42" t="s">
        <v>120</v>
      </c>
      <c r="C13" s="42" t="s">
        <v>121</v>
      </c>
      <c r="D13" s="42">
        <v>21720.007164447485</v>
      </c>
      <c r="E13" s="42">
        <v>0</v>
      </c>
    </row>
    <row r="14" spans="1:5" x14ac:dyDescent="0.35">
      <c r="B14" s="42" t="s">
        <v>122</v>
      </c>
      <c r="C14" s="42" t="s">
        <v>123</v>
      </c>
      <c r="D14" s="42">
        <v>0</v>
      </c>
      <c r="E14" s="42">
        <v>587.33670366328442</v>
      </c>
    </row>
    <row r="15" spans="1:5" x14ac:dyDescent="0.35">
      <c r="B15" s="42" t="s">
        <v>124</v>
      </c>
      <c r="C15" s="42" t="s">
        <v>125</v>
      </c>
      <c r="D15" s="42">
        <v>0</v>
      </c>
      <c r="E15" s="42">
        <v>76.839470024688779</v>
      </c>
    </row>
    <row r="16" spans="1:5" x14ac:dyDescent="0.35">
      <c r="B16" s="42" t="s">
        <v>126</v>
      </c>
      <c r="C16" s="42" t="s">
        <v>127</v>
      </c>
      <c r="D16" s="42">
        <v>50492.48107227806</v>
      </c>
      <c r="E16" s="42">
        <v>0</v>
      </c>
    </row>
    <row r="17" spans="1:5" x14ac:dyDescent="0.35">
      <c r="B17" s="42" t="s">
        <v>128</v>
      </c>
      <c r="C17" s="42" t="s">
        <v>129</v>
      </c>
      <c r="D17" s="42">
        <v>0</v>
      </c>
      <c r="E17" s="42">
        <v>151.12809519623306</v>
      </c>
    </row>
    <row r="18" spans="1:5" x14ac:dyDescent="0.35">
      <c r="B18" s="42" t="s">
        <v>130</v>
      </c>
      <c r="C18" s="42" t="s">
        <v>131</v>
      </c>
      <c r="D18" s="42">
        <v>0</v>
      </c>
      <c r="E18" s="42">
        <v>105.92026948747855</v>
      </c>
    </row>
    <row r="19" spans="1:5" x14ac:dyDescent="0.35">
      <c r="B19" s="42" t="s">
        <v>132</v>
      </c>
      <c r="C19" s="42" t="s">
        <v>133</v>
      </c>
      <c r="D19" s="42">
        <v>60461.720276921165</v>
      </c>
      <c r="E19" s="42">
        <v>0</v>
      </c>
    </row>
    <row r="20" spans="1:5" x14ac:dyDescent="0.35">
      <c r="B20" s="42" t="s">
        <v>134</v>
      </c>
      <c r="C20" s="42" t="s">
        <v>135</v>
      </c>
      <c r="D20" s="42">
        <v>9406.5308876974086</v>
      </c>
      <c r="E20" s="42">
        <v>0</v>
      </c>
    </row>
    <row r="21" spans="1:5" x14ac:dyDescent="0.35">
      <c r="B21" s="42" t="s">
        <v>136</v>
      </c>
      <c r="C21" s="42" t="s">
        <v>137</v>
      </c>
      <c r="D21" s="42">
        <v>0</v>
      </c>
      <c r="E21" s="42">
        <v>0</v>
      </c>
    </row>
    <row r="22" spans="1:5" x14ac:dyDescent="0.35">
      <c r="B22" s="42" t="s">
        <v>138</v>
      </c>
      <c r="C22" s="42" t="s">
        <v>139</v>
      </c>
      <c r="D22" s="42">
        <v>60461.725664104582</v>
      </c>
      <c r="E22" s="42">
        <v>0</v>
      </c>
    </row>
    <row r="23" spans="1:5" x14ac:dyDescent="0.35">
      <c r="B23" s="42" t="s">
        <v>140</v>
      </c>
      <c r="C23" s="42" t="s">
        <v>141</v>
      </c>
      <c r="D23" s="42">
        <v>36050.182162125297</v>
      </c>
      <c r="E23" s="42">
        <v>0</v>
      </c>
    </row>
    <row r="24" spans="1:5" ht="15" thickBot="1" x14ac:dyDescent="0.4">
      <c r="B24" s="43" t="s">
        <v>142</v>
      </c>
      <c r="C24" s="43" t="s">
        <v>143</v>
      </c>
      <c r="D24" s="43">
        <v>0</v>
      </c>
      <c r="E24" s="43">
        <v>0</v>
      </c>
    </row>
    <row r="26" spans="1:5" ht="15" thickBot="1" x14ac:dyDescent="0.4">
      <c r="A26" t="s">
        <v>109</v>
      </c>
    </row>
    <row r="27" spans="1:5" x14ac:dyDescent="0.35">
      <c r="B27" s="59"/>
      <c r="C27" s="59"/>
      <c r="D27" s="59" t="s">
        <v>105</v>
      </c>
      <c r="E27" s="59" t="s">
        <v>110</v>
      </c>
    </row>
    <row r="28" spans="1:5" ht="15" thickBot="1" x14ac:dyDescent="0.4">
      <c r="B28" s="60" t="s">
        <v>103</v>
      </c>
      <c r="C28" s="60" t="s">
        <v>104</v>
      </c>
      <c r="D28" s="60" t="s">
        <v>106</v>
      </c>
      <c r="E28" s="60" t="s">
        <v>111</v>
      </c>
    </row>
    <row r="29" spans="1:5" x14ac:dyDescent="0.35">
      <c r="B29" s="42" t="s">
        <v>146</v>
      </c>
      <c r="C29" s="42" t="s">
        <v>147</v>
      </c>
      <c r="D29" s="42">
        <v>430703.6813209813</v>
      </c>
      <c r="E29" s="42">
        <v>0</v>
      </c>
    </row>
    <row r="30" spans="1:5" x14ac:dyDescent="0.35">
      <c r="B30" s="42" t="s">
        <v>148</v>
      </c>
      <c r="C30" s="42" t="s">
        <v>149</v>
      </c>
      <c r="D30" s="42">
        <v>408983.67415653379</v>
      </c>
      <c r="E30" s="42">
        <v>0</v>
      </c>
    </row>
    <row r="31" spans="1:5" x14ac:dyDescent="0.35">
      <c r="B31" s="42" t="s">
        <v>150</v>
      </c>
      <c r="C31" s="42" t="s">
        <v>151</v>
      </c>
      <c r="D31" s="42">
        <v>380211.20024870324</v>
      </c>
      <c r="E31" s="42">
        <v>0</v>
      </c>
    </row>
    <row r="32" spans="1:5" x14ac:dyDescent="0.35">
      <c r="B32" s="42" t="s">
        <v>152</v>
      </c>
      <c r="C32" s="42" t="s">
        <v>153</v>
      </c>
      <c r="D32" s="42">
        <v>360835.43015636271</v>
      </c>
      <c r="E32" s="42">
        <v>0</v>
      </c>
    </row>
    <row r="33" spans="2:5" x14ac:dyDescent="0.35">
      <c r="B33" s="42" t="s">
        <v>154</v>
      </c>
      <c r="C33" s="42" t="s">
        <v>155</v>
      </c>
      <c r="D33" s="42">
        <v>334191.77349475143</v>
      </c>
      <c r="E33" s="42">
        <v>0</v>
      </c>
    </row>
    <row r="34" spans="2:5" x14ac:dyDescent="0.35">
      <c r="B34" s="42" t="s">
        <v>156</v>
      </c>
      <c r="C34" s="42" t="s">
        <v>157</v>
      </c>
      <c r="D34" s="42">
        <v>7.1304384618997574E-8</v>
      </c>
      <c r="E34" s="50">
        <v>3738.1195037220778</v>
      </c>
    </row>
    <row r="35" spans="2:5" x14ac:dyDescent="0.35">
      <c r="B35" s="42" t="s">
        <v>158</v>
      </c>
      <c r="C35" s="42" t="s">
        <v>159</v>
      </c>
      <c r="D35" s="42">
        <v>1.7942511476576328E-8</v>
      </c>
      <c r="E35" s="50">
        <v>224.74667485012716</v>
      </c>
    </row>
    <row r="36" spans="2:5" x14ac:dyDescent="0.35">
      <c r="B36" s="42" t="s">
        <v>160</v>
      </c>
      <c r="C36" s="42" t="s">
        <v>161</v>
      </c>
      <c r="D36" s="42">
        <v>1.7986167222261429E-8</v>
      </c>
      <c r="E36" s="50">
        <v>195.66609725453708</v>
      </c>
    </row>
    <row r="37" spans="2:5" x14ac:dyDescent="0.35">
      <c r="B37" s="42" t="s">
        <v>162</v>
      </c>
      <c r="C37" s="42" t="s">
        <v>163</v>
      </c>
      <c r="D37" s="42">
        <v>-1.5541445463895798E-8</v>
      </c>
      <c r="E37" s="50">
        <v>185.59011384689342</v>
      </c>
    </row>
    <row r="38" spans="2:5" x14ac:dyDescent="0.35">
      <c r="B38" s="42" t="s">
        <v>164</v>
      </c>
      <c r="C38" s="42" t="s">
        <v>165</v>
      </c>
      <c r="D38" s="42">
        <v>-1.7462298274040222E-9</v>
      </c>
      <c r="E38" s="50">
        <v>185.59011384689342</v>
      </c>
    </row>
    <row r="39" spans="2:5" x14ac:dyDescent="0.35">
      <c r="B39" s="42" t="s">
        <v>170</v>
      </c>
      <c r="C39" s="42" t="s">
        <v>171</v>
      </c>
      <c r="D39" s="42">
        <v>0</v>
      </c>
      <c r="E39" s="42">
        <v>1.7936945566361178</v>
      </c>
    </row>
    <row r="40" spans="2:5" x14ac:dyDescent="0.35">
      <c r="B40" s="42" t="s">
        <v>172</v>
      </c>
      <c r="C40" s="42" t="s">
        <v>173</v>
      </c>
      <c r="D40" s="42">
        <v>0</v>
      </c>
      <c r="E40" s="42">
        <v>0</v>
      </c>
    </row>
    <row r="41" spans="2:5" x14ac:dyDescent="0.35">
      <c r="B41" s="42" t="s">
        <v>174</v>
      </c>
      <c r="C41" s="42" t="s">
        <v>175</v>
      </c>
      <c r="D41" s="42">
        <v>0</v>
      </c>
      <c r="E41" s="42">
        <v>0</v>
      </c>
    </row>
    <row r="42" spans="2:5" x14ac:dyDescent="0.35">
      <c r="B42" s="42" t="s">
        <v>176</v>
      </c>
      <c r="C42" s="42" t="s">
        <v>177</v>
      </c>
      <c r="D42" s="42">
        <v>0</v>
      </c>
      <c r="E42" s="42">
        <v>1.2331467007965866E-2</v>
      </c>
    </row>
    <row r="43" spans="2:5" x14ac:dyDescent="0.35">
      <c r="B43" s="42" t="s">
        <v>178</v>
      </c>
      <c r="C43" s="42" t="s">
        <v>179</v>
      </c>
      <c r="D43" s="42">
        <v>0</v>
      </c>
      <c r="E43" s="42">
        <v>3.2176349245801109E-3</v>
      </c>
    </row>
    <row r="44" spans="2:5" ht="15" thickBot="1" x14ac:dyDescent="0.4">
      <c r="B44" s="43" t="s">
        <v>144</v>
      </c>
      <c r="C44" s="43" t="s">
        <v>145</v>
      </c>
      <c r="D44" s="43">
        <v>3.0384398996829987E-8</v>
      </c>
      <c r="E44" s="51">
        <v>109.42826716921493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06C37-96EB-4B3A-B600-57460888F7E4}">
  <dimension ref="A1:E44"/>
  <sheetViews>
    <sheetView showGridLines="0" workbookViewId="0">
      <selection activeCell="E44" sqref="E44"/>
    </sheetView>
  </sheetViews>
  <sheetFormatPr defaultRowHeight="14.5" x14ac:dyDescent="0.35"/>
  <cols>
    <col min="1" max="1" width="2.1796875" customWidth="1"/>
    <col min="2" max="2" width="6.08984375" bestFit="1" customWidth="1"/>
    <col min="3" max="3" width="31.36328125" bestFit="1" customWidth="1"/>
    <col min="4" max="5" width="12.453125" bestFit="1" customWidth="1"/>
  </cols>
  <sheetData>
    <row r="1" spans="1:5" x14ac:dyDescent="0.35">
      <c r="A1" s="29" t="s">
        <v>101</v>
      </c>
    </row>
    <row r="2" spans="1:5" x14ac:dyDescent="0.35">
      <c r="A2" s="29" t="s">
        <v>188</v>
      </c>
    </row>
    <row r="3" spans="1:5" x14ac:dyDescent="0.35">
      <c r="A3" s="29" t="s">
        <v>191</v>
      </c>
    </row>
    <row r="6" spans="1:5" ht="15" thickBot="1" x14ac:dyDescent="0.4">
      <c r="A6" t="s">
        <v>102</v>
      </c>
    </row>
    <row r="7" spans="1:5" x14ac:dyDescent="0.35">
      <c r="B7" s="55"/>
      <c r="C7" s="55"/>
      <c r="D7" s="55" t="s">
        <v>105</v>
      </c>
      <c r="E7" s="55" t="s">
        <v>107</v>
      </c>
    </row>
    <row r="8" spans="1:5" ht="15" thickBot="1" x14ac:dyDescent="0.4">
      <c r="B8" s="56" t="s">
        <v>103</v>
      </c>
      <c r="C8" s="56" t="s">
        <v>104</v>
      </c>
      <c r="D8" s="56" t="s">
        <v>106</v>
      </c>
      <c r="E8" s="56" t="s">
        <v>108</v>
      </c>
    </row>
    <row r="9" spans="1:5" x14ac:dyDescent="0.35">
      <c r="B9" s="42" t="s">
        <v>112</v>
      </c>
      <c r="C9" s="42" t="s">
        <v>113</v>
      </c>
      <c r="D9" s="42">
        <v>75000.008061999499</v>
      </c>
      <c r="E9" s="42">
        <v>0</v>
      </c>
    </row>
    <row r="10" spans="1:5" x14ac:dyDescent="0.35">
      <c r="B10" s="42" t="s">
        <v>114</v>
      </c>
      <c r="C10" s="42" t="s">
        <v>115</v>
      </c>
      <c r="D10" s="42">
        <v>0</v>
      </c>
      <c r="E10" s="42">
        <v>9309.6934288589582</v>
      </c>
    </row>
    <row r="11" spans="1:5" x14ac:dyDescent="0.35">
      <c r="B11" s="42" t="s">
        <v>116</v>
      </c>
      <c r="C11" s="42" t="s">
        <v>117</v>
      </c>
      <c r="D11" s="42">
        <v>0</v>
      </c>
      <c r="E11" s="42">
        <v>0</v>
      </c>
    </row>
    <row r="12" spans="1:5" x14ac:dyDescent="0.35">
      <c r="B12" s="42" t="s">
        <v>118</v>
      </c>
      <c r="C12" s="42" t="s">
        <v>119</v>
      </c>
      <c r="D12" s="42">
        <v>56808.41251680498</v>
      </c>
      <c r="E12" s="42">
        <v>0</v>
      </c>
    </row>
    <row r="13" spans="1:5" x14ac:dyDescent="0.35">
      <c r="B13" s="42" t="s">
        <v>120</v>
      </c>
      <c r="C13" s="42" t="s">
        <v>121</v>
      </c>
      <c r="D13" s="42">
        <v>29577.804123760579</v>
      </c>
      <c r="E13" s="42">
        <v>0</v>
      </c>
    </row>
    <row r="14" spans="1:5" x14ac:dyDescent="0.35">
      <c r="B14" s="42" t="s">
        <v>122</v>
      </c>
      <c r="C14" s="42" t="s">
        <v>123</v>
      </c>
      <c r="D14" s="42">
        <v>0</v>
      </c>
      <c r="E14" s="42">
        <v>0</v>
      </c>
    </row>
    <row r="15" spans="1:5" x14ac:dyDescent="0.35">
      <c r="B15" s="42" t="s">
        <v>124</v>
      </c>
      <c r="C15" s="42" t="s">
        <v>125</v>
      </c>
      <c r="D15" s="42">
        <v>61245.753071995488</v>
      </c>
      <c r="E15" s="42">
        <v>0</v>
      </c>
    </row>
    <row r="16" spans="1:5" x14ac:dyDescent="0.35">
      <c r="B16" s="42" t="s">
        <v>126</v>
      </c>
      <c r="C16" s="42" t="s">
        <v>127</v>
      </c>
      <c r="D16" s="42">
        <v>62901.863004882536</v>
      </c>
      <c r="E16" s="42">
        <v>0</v>
      </c>
    </row>
    <row r="17" spans="1:5" x14ac:dyDescent="0.35">
      <c r="B17" s="42" t="s">
        <v>128</v>
      </c>
      <c r="C17" s="42" t="s">
        <v>129</v>
      </c>
      <c r="D17" s="42">
        <v>0</v>
      </c>
      <c r="E17" s="42">
        <v>0</v>
      </c>
    </row>
    <row r="18" spans="1:5" x14ac:dyDescent="0.35">
      <c r="B18" s="42" t="s">
        <v>130</v>
      </c>
      <c r="C18" s="42" t="s">
        <v>131</v>
      </c>
      <c r="D18" s="42">
        <v>83275.424342810598</v>
      </c>
      <c r="E18" s="42">
        <v>0</v>
      </c>
    </row>
    <row r="19" spans="1:5" x14ac:dyDescent="0.35">
      <c r="B19" s="42" t="s">
        <v>132</v>
      </c>
      <c r="C19" s="42" t="s">
        <v>133</v>
      </c>
      <c r="D19" s="42">
        <v>108212.32129126586</v>
      </c>
      <c r="E19" s="42">
        <v>0</v>
      </c>
    </row>
    <row r="20" spans="1:5" x14ac:dyDescent="0.35">
      <c r="B20" s="42" t="s">
        <v>134</v>
      </c>
      <c r="C20" s="42" t="s">
        <v>135</v>
      </c>
      <c r="D20" s="42">
        <v>0</v>
      </c>
      <c r="E20" s="42">
        <v>0</v>
      </c>
    </row>
    <row r="21" spans="1:5" x14ac:dyDescent="0.35">
      <c r="B21" s="42" t="s">
        <v>136</v>
      </c>
      <c r="C21" s="42" t="s">
        <v>137</v>
      </c>
      <c r="D21" s="42">
        <v>113228.96138262557</v>
      </c>
      <c r="E21" s="42">
        <v>0</v>
      </c>
    </row>
    <row r="22" spans="1:5" x14ac:dyDescent="0.35">
      <c r="B22" s="42" t="s">
        <v>138</v>
      </c>
      <c r="C22" s="42" t="s">
        <v>139</v>
      </c>
      <c r="D22" s="42">
        <v>160289.14728808656</v>
      </c>
      <c r="E22" s="42">
        <v>0</v>
      </c>
    </row>
    <row r="23" spans="1:5" x14ac:dyDescent="0.35">
      <c r="B23" s="42" t="s">
        <v>140</v>
      </c>
      <c r="C23" s="42" t="s">
        <v>141</v>
      </c>
      <c r="D23" s="42">
        <v>0</v>
      </c>
      <c r="E23" s="42">
        <v>0</v>
      </c>
    </row>
    <row r="24" spans="1:5" ht="15" thickBot="1" x14ac:dyDescent="0.4">
      <c r="B24" s="43" t="s">
        <v>142</v>
      </c>
      <c r="C24" s="43" t="s">
        <v>143</v>
      </c>
      <c r="D24" s="43">
        <v>176451.27781921127</v>
      </c>
      <c r="E24" s="43">
        <v>0</v>
      </c>
    </row>
    <row r="26" spans="1:5" ht="15" thickBot="1" x14ac:dyDescent="0.4">
      <c r="A26" t="s">
        <v>109</v>
      </c>
    </row>
    <row r="27" spans="1:5" x14ac:dyDescent="0.35">
      <c r="B27" s="55"/>
      <c r="C27" s="55"/>
      <c r="D27" s="55" t="s">
        <v>105</v>
      </c>
      <c r="E27" s="55" t="s">
        <v>110</v>
      </c>
    </row>
    <row r="28" spans="1:5" ht="15" thickBot="1" x14ac:dyDescent="0.4">
      <c r="B28" s="56" t="s">
        <v>103</v>
      </c>
      <c r="C28" s="56" t="s">
        <v>104</v>
      </c>
      <c r="D28" s="56" t="s">
        <v>106</v>
      </c>
      <c r="E28" s="56" t="s">
        <v>111</v>
      </c>
    </row>
    <row r="29" spans="1:5" x14ac:dyDescent="0.35">
      <c r="B29" s="42" t="s">
        <v>146</v>
      </c>
      <c r="C29" s="42" t="s">
        <v>147</v>
      </c>
      <c r="D29" s="42">
        <v>424999.99193800049</v>
      </c>
      <c r="E29" s="42">
        <v>0</v>
      </c>
    </row>
    <row r="30" spans="1:5" x14ac:dyDescent="0.35">
      <c r="B30" s="42" t="s">
        <v>148</v>
      </c>
      <c r="C30" s="42" t="s">
        <v>149</v>
      </c>
      <c r="D30" s="42">
        <v>395422.18781423988</v>
      </c>
      <c r="E30" s="42">
        <v>0</v>
      </c>
    </row>
    <row r="31" spans="1:5" x14ac:dyDescent="0.35">
      <c r="B31" s="42" t="s">
        <v>150</v>
      </c>
      <c r="C31" s="42" t="s">
        <v>151</v>
      </c>
      <c r="D31" s="42">
        <v>362098.12893311796</v>
      </c>
      <c r="E31" s="42">
        <v>0</v>
      </c>
    </row>
    <row r="32" spans="1:5" x14ac:dyDescent="0.35">
      <c r="B32" s="42" t="s">
        <v>152</v>
      </c>
      <c r="C32" s="42" t="s">
        <v>153</v>
      </c>
      <c r="D32" s="42">
        <v>316787.67064673465</v>
      </c>
      <c r="E32" s="42">
        <v>0</v>
      </c>
    </row>
    <row r="33" spans="2:5" x14ac:dyDescent="0.35">
      <c r="B33" s="42" t="s">
        <v>154</v>
      </c>
      <c r="C33" s="42" t="s">
        <v>155</v>
      </c>
      <c r="D33" s="42">
        <v>264710.84464991395</v>
      </c>
      <c r="E33" s="42">
        <v>0</v>
      </c>
    </row>
    <row r="34" spans="2:5" x14ac:dyDescent="0.35">
      <c r="B34" s="42" t="s">
        <v>156</v>
      </c>
      <c r="C34" s="42" t="s">
        <v>157</v>
      </c>
      <c r="D34" s="42">
        <v>6.6997017711400986E-8</v>
      </c>
      <c r="E34" s="50">
        <v>2084.8269871533171</v>
      </c>
    </row>
    <row r="35" spans="2:5" x14ac:dyDescent="0.35">
      <c r="B35" s="42" t="s">
        <v>158</v>
      </c>
      <c r="C35" s="42" t="s">
        <v>159</v>
      </c>
      <c r="D35" s="42">
        <v>2.0628795027732849E-7</v>
      </c>
      <c r="E35" s="50">
        <v>131.48105079603604</v>
      </c>
    </row>
    <row r="36" spans="2:5" x14ac:dyDescent="0.35">
      <c r="B36" s="42" t="s">
        <v>160</v>
      </c>
      <c r="C36" s="42" t="s">
        <v>161</v>
      </c>
      <c r="D36" s="42">
        <v>2.9115471988916397E-7</v>
      </c>
      <c r="E36" s="50">
        <v>97.800162822814571</v>
      </c>
    </row>
    <row r="37" spans="2:5" x14ac:dyDescent="0.35">
      <c r="B37" s="42" t="s">
        <v>162</v>
      </c>
      <c r="C37" s="42" t="s">
        <v>163</v>
      </c>
      <c r="D37" s="42">
        <v>-8.8999513536691666E-8</v>
      </c>
      <c r="E37" s="50">
        <v>52.004515518362879</v>
      </c>
    </row>
    <row r="38" spans="2:5" x14ac:dyDescent="0.35">
      <c r="B38" s="42" t="s">
        <v>164</v>
      </c>
      <c r="C38" s="42" t="s">
        <v>165</v>
      </c>
      <c r="D38" s="42">
        <v>210825.2738022845</v>
      </c>
      <c r="E38" s="50">
        <v>0</v>
      </c>
    </row>
    <row r="39" spans="2:5" x14ac:dyDescent="0.35">
      <c r="B39" s="42" t="s">
        <v>170</v>
      </c>
      <c r="C39" s="42" t="s">
        <v>171</v>
      </c>
      <c r="D39" s="42">
        <v>0</v>
      </c>
      <c r="E39" s="42">
        <v>0.79203693844569067</v>
      </c>
    </row>
    <row r="40" spans="2:5" x14ac:dyDescent="0.35">
      <c r="B40" s="42" t="s">
        <v>172</v>
      </c>
      <c r="C40" s="42" t="s">
        <v>173</v>
      </c>
      <c r="D40" s="42">
        <v>0</v>
      </c>
      <c r="E40" s="42">
        <v>0.12605782155700077</v>
      </c>
    </row>
    <row r="41" spans="2:5" x14ac:dyDescent="0.35">
      <c r="B41" s="42" t="s">
        <v>174</v>
      </c>
      <c r="C41" s="42" t="s">
        <v>175</v>
      </c>
      <c r="D41" s="42">
        <v>0</v>
      </c>
      <c r="E41" s="42">
        <v>0.10635270720705745</v>
      </c>
    </row>
    <row r="42" spans="2:5" x14ac:dyDescent="0.35">
      <c r="B42" s="42" t="s">
        <v>176</v>
      </c>
      <c r="C42" s="42" t="s">
        <v>177</v>
      </c>
      <c r="D42" s="42">
        <v>0</v>
      </c>
      <c r="E42" s="42">
        <v>6.8319182645043469E-2</v>
      </c>
    </row>
    <row r="43" spans="2:5" x14ac:dyDescent="0.35">
      <c r="B43" s="42" t="s">
        <v>178</v>
      </c>
      <c r="C43" s="42" t="s">
        <v>179</v>
      </c>
      <c r="D43" s="42">
        <v>0</v>
      </c>
      <c r="E43" s="42">
        <v>3.6968568163771164E-2</v>
      </c>
    </row>
    <row r="44" spans="2:5" ht="15" thickBot="1" x14ac:dyDescent="0.4">
      <c r="B44" s="43" t="s">
        <v>144</v>
      </c>
      <c r="C44" s="43" t="s">
        <v>145</v>
      </c>
      <c r="D44" s="43">
        <v>-3.795139491558075E-7</v>
      </c>
      <c r="E44" s="51">
        <v>-174.98399353027344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6EA04-DCDE-48AF-97BE-F9658ECF52F0}">
  <dimension ref="A1:E44"/>
  <sheetViews>
    <sheetView showGridLines="0" workbookViewId="0">
      <selection activeCell="E44" sqref="E44"/>
    </sheetView>
  </sheetViews>
  <sheetFormatPr defaultRowHeight="14.5" x14ac:dyDescent="0.35"/>
  <cols>
    <col min="1" max="1" width="2.1796875" customWidth="1"/>
    <col min="2" max="2" width="6.08984375" bestFit="1" customWidth="1"/>
    <col min="3" max="3" width="31.36328125" bestFit="1" customWidth="1"/>
    <col min="4" max="4" width="12.453125" bestFit="1" customWidth="1"/>
    <col min="5" max="5" width="11.81640625" bestFit="1" customWidth="1"/>
  </cols>
  <sheetData>
    <row r="1" spans="1:5" x14ac:dyDescent="0.35">
      <c r="A1" s="29" t="s">
        <v>101</v>
      </c>
    </row>
    <row r="2" spans="1:5" x14ac:dyDescent="0.35">
      <c r="A2" s="29" t="s">
        <v>188</v>
      </c>
    </row>
    <row r="3" spans="1:5" x14ac:dyDescent="0.35">
      <c r="A3" s="29" t="s">
        <v>199</v>
      </c>
    </row>
    <row r="6" spans="1:5" ht="15" thickBot="1" x14ac:dyDescent="0.4">
      <c r="A6" t="s">
        <v>102</v>
      </c>
    </row>
    <row r="7" spans="1:5" x14ac:dyDescent="0.35">
      <c r="B7" s="59"/>
      <c r="C7" s="59"/>
      <c r="D7" s="59" t="s">
        <v>105</v>
      </c>
      <c r="E7" s="59" t="s">
        <v>107</v>
      </c>
    </row>
    <row r="8" spans="1:5" ht="15" thickBot="1" x14ac:dyDescent="0.4">
      <c r="B8" s="60" t="s">
        <v>103</v>
      </c>
      <c r="C8" s="60" t="s">
        <v>104</v>
      </c>
      <c r="D8" s="60" t="s">
        <v>106</v>
      </c>
      <c r="E8" s="60" t="s">
        <v>108</v>
      </c>
    </row>
    <row r="9" spans="1:5" x14ac:dyDescent="0.35">
      <c r="B9" s="42" t="s">
        <v>112</v>
      </c>
      <c r="C9" s="42" t="s">
        <v>113</v>
      </c>
      <c r="D9" s="42">
        <v>75000</v>
      </c>
      <c r="E9" s="42">
        <v>0</v>
      </c>
    </row>
    <row r="10" spans="1:5" x14ac:dyDescent="0.35">
      <c r="B10" s="42" t="s">
        <v>114</v>
      </c>
      <c r="C10" s="42" t="s">
        <v>115</v>
      </c>
      <c r="D10" s="42">
        <v>0</v>
      </c>
      <c r="E10" s="42">
        <v>11151.661492511441</v>
      </c>
    </row>
    <row r="11" spans="1:5" x14ac:dyDescent="0.35">
      <c r="B11" s="42" t="s">
        <v>116</v>
      </c>
      <c r="C11" s="42" t="s">
        <v>117</v>
      </c>
      <c r="D11" s="42">
        <v>0</v>
      </c>
      <c r="E11" s="42">
        <v>0</v>
      </c>
    </row>
    <row r="12" spans="1:5" x14ac:dyDescent="0.35">
      <c r="B12" s="42" t="s">
        <v>118</v>
      </c>
      <c r="C12" s="42" t="s">
        <v>119</v>
      </c>
      <c r="D12" s="42">
        <v>56808.379704400009</v>
      </c>
      <c r="E12" s="42">
        <v>0</v>
      </c>
    </row>
    <row r="13" spans="1:5" x14ac:dyDescent="0.35">
      <c r="B13" s="42" t="s">
        <v>120</v>
      </c>
      <c r="C13" s="42" t="s">
        <v>121</v>
      </c>
      <c r="D13" s="42">
        <v>20384.736332857196</v>
      </c>
      <c r="E13" s="42">
        <v>0</v>
      </c>
    </row>
    <row r="14" spans="1:5" x14ac:dyDescent="0.35">
      <c r="B14" s="42" t="s">
        <v>122</v>
      </c>
      <c r="C14" s="42" t="s">
        <v>123</v>
      </c>
      <c r="D14" s="42">
        <v>0</v>
      </c>
      <c r="E14" s="42">
        <v>0</v>
      </c>
    </row>
    <row r="15" spans="1:5" x14ac:dyDescent="0.35">
      <c r="B15" s="42" t="s">
        <v>124</v>
      </c>
      <c r="C15" s="42" t="s">
        <v>125</v>
      </c>
      <c r="D15" s="42">
        <v>16751.272151477959</v>
      </c>
      <c r="E15" s="42">
        <v>0</v>
      </c>
    </row>
    <row r="16" spans="1:5" x14ac:dyDescent="0.35">
      <c r="B16" s="42" t="s">
        <v>126</v>
      </c>
      <c r="C16" s="42" t="s">
        <v>127</v>
      </c>
      <c r="D16" s="42">
        <v>45696.203597820233</v>
      </c>
      <c r="E16" s="42">
        <v>0</v>
      </c>
    </row>
    <row r="17" spans="1:5" x14ac:dyDescent="0.35">
      <c r="B17" s="42" t="s">
        <v>128</v>
      </c>
      <c r="C17" s="42" t="s">
        <v>129</v>
      </c>
      <c r="D17" s="42">
        <v>0</v>
      </c>
      <c r="E17" s="42">
        <v>1426.5612267357581</v>
      </c>
    </row>
    <row r="18" spans="1:5" x14ac:dyDescent="0.35">
      <c r="B18" s="42" t="s">
        <v>130</v>
      </c>
      <c r="C18" s="42" t="s">
        <v>131</v>
      </c>
      <c r="D18" s="42">
        <v>0</v>
      </c>
      <c r="E18" s="42">
        <v>25.658663561164019</v>
      </c>
    </row>
    <row r="19" spans="1:5" x14ac:dyDescent="0.35">
      <c r="B19" s="42" t="s">
        <v>132</v>
      </c>
      <c r="C19" s="42" t="s">
        <v>133</v>
      </c>
      <c r="D19" s="42">
        <v>84817.914561849204</v>
      </c>
      <c r="E19" s="42">
        <v>0</v>
      </c>
    </row>
    <row r="20" spans="1:5" x14ac:dyDescent="0.35">
      <c r="B20" s="42" t="s">
        <v>134</v>
      </c>
      <c r="C20" s="42" t="s">
        <v>135</v>
      </c>
      <c r="D20" s="42">
        <v>0</v>
      </c>
      <c r="E20" s="42">
        <v>833.46592573211842</v>
      </c>
    </row>
    <row r="21" spans="1:5" x14ac:dyDescent="0.35">
      <c r="B21" s="42" t="s">
        <v>136</v>
      </c>
      <c r="C21" s="42" t="s">
        <v>137</v>
      </c>
      <c r="D21" s="42">
        <v>0</v>
      </c>
      <c r="E21" s="42">
        <v>65.213564616721499</v>
      </c>
    </row>
    <row r="22" spans="1:5" x14ac:dyDescent="0.35">
      <c r="B22" s="42" t="s">
        <v>138</v>
      </c>
      <c r="C22" s="42" t="s">
        <v>139</v>
      </c>
      <c r="D22" s="42">
        <v>139791.91010584478</v>
      </c>
      <c r="E22" s="42">
        <v>0</v>
      </c>
    </row>
    <row r="23" spans="1:5" x14ac:dyDescent="0.35">
      <c r="B23" s="42" t="s">
        <v>140</v>
      </c>
      <c r="C23" s="42" t="s">
        <v>141</v>
      </c>
      <c r="D23" s="42">
        <v>8905.3771171640201</v>
      </c>
      <c r="E23" s="42">
        <v>0</v>
      </c>
    </row>
    <row r="24" spans="1:5" ht="15" thickBot="1" x14ac:dyDescent="0.4">
      <c r="B24" s="43" t="s">
        <v>142</v>
      </c>
      <c r="C24" s="43" t="s">
        <v>143</v>
      </c>
      <c r="D24" s="43">
        <v>0</v>
      </c>
      <c r="E24" s="43">
        <v>0</v>
      </c>
    </row>
    <row r="26" spans="1:5" ht="15" thickBot="1" x14ac:dyDescent="0.4">
      <c r="A26" t="s">
        <v>109</v>
      </c>
    </row>
    <row r="27" spans="1:5" x14ac:dyDescent="0.35">
      <c r="B27" s="59"/>
      <c r="C27" s="59"/>
      <c r="D27" s="59" t="s">
        <v>105</v>
      </c>
      <c r="E27" s="59" t="s">
        <v>110</v>
      </c>
    </row>
    <row r="28" spans="1:5" ht="15" thickBot="1" x14ac:dyDescent="0.4">
      <c r="B28" s="60" t="s">
        <v>103</v>
      </c>
      <c r="C28" s="60" t="s">
        <v>104</v>
      </c>
      <c r="D28" s="60" t="s">
        <v>106</v>
      </c>
      <c r="E28" s="60" t="s">
        <v>111</v>
      </c>
    </row>
    <row r="29" spans="1:5" x14ac:dyDescent="0.35">
      <c r="B29" s="42" t="s">
        <v>146</v>
      </c>
      <c r="C29" s="42" t="s">
        <v>147</v>
      </c>
      <c r="D29" s="42">
        <v>425000</v>
      </c>
      <c r="E29" s="42">
        <v>0</v>
      </c>
    </row>
    <row r="30" spans="1:5" x14ac:dyDescent="0.35">
      <c r="B30" s="42" t="s">
        <v>148</v>
      </c>
      <c r="C30" s="42" t="s">
        <v>149</v>
      </c>
      <c r="D30" s="42">
        <v>404615.26366714283</v>
      </c>
      <c r="E30" s="42">
        <v>0</v>
      </c>
    </row>
    <row r="31" spans="1:5" x14ac:dyDescent="0.35">
      <c r="B31" s="42" t="s">
        <v>150</v>
      </c>
      <c r="C31" s="42" t="s">
        <v>151</v>
      </c>
      <c r="D31" s="42">
        <v>379303.79640217975</v>
      </c>
      <c r="E31" s="42">
        <v>0</v>
      </c>
    </row>
    <row r="32" spans="1:5" x14ac:dyDescent="0.35">
      <c r="B32" s="42" t="s">
        <v>152</v>
      </c>
      <c r="C32" s="42" t="s">
        <v>153</v>
      </c>
      <c r="D32" s="42">
        <v>340182.0854381508</v>
      </c>
      <c r="E32" s="42">
        <v>0</v>
      </c>
    </row>
    <row r="33" spans="2:5" x14ac:dyDescent="0.35">
      <c r="B33" s="42" t="s">
        <v>154</v>
      </c>
      <c r="C33" s="42" t="s">
        <v>155</v>
      </c>
      <c r="D33" s="42">
        <v>276302.71277699119</v>
      </c>
      <c r="E33" s="42">
        <v>0</v>
      </c>
    </row>
    <row r="34" spans="2:5" x14ac:dyDescent="0.35">
      <c r="B34" s="42" t="s">
        <v>156</v>
      </c>
      <c r="C34" s="42" t="s">
        <v>157</v>
      </c>
      <c r="D34" s="42">
        <v>0</v>
      </c>
      <c r="E34" s="50">
        <v>2536.5782934112867</v>
      </c>
    </row>
    <row r="35" spans="2:5" x14ac:dyDescent="0.35">
      <c r="B35" s="42" t="s">
        <v>158</v>
      </c>
      <c r="C35" s="42" t="s">
        <v>159</v>
      </c>
      <c r="D35" s="42">
        <v>-9.0221874415874481E-10</v>
      </c>
      <c r="E35" s="50">
        <v>211.94689224778716</v>
      </c>
    </row>
    <row r="36" spans="2:5" x14ac:dyDescent="0.35">
      <c r="B36" s="42" t="s">
        <v>160</v>
      </c>
      <c r="C36" s="42" t="s">
        <v>161</v>
      </c>
      <c r="D36" s="42">
        <v>0</v>
      </c>
      <c r="E36" s="50">
        <v>186.36438562920878</v>
      </c>
    </row>
    <row r="37" spans="2:5" x14ac:dyDescent="0.35">
      <c r="B37" s="42" t="s">
        <v>162</v>
      </c>
      <c r="C37" s="42" t="s">
        <v>163</v>
      </c>
      <c r="D37" s="42">
        <v>0</v>
      </c>
      <c r="E37" s="50">
        <v>146.82375713420927</v>
      </c>
    </row>
    <row r="38" spans="2:5" x14ac:dyDescent="0.35">
      <c r="B38" s="42" t="s">
        <v>164</v>
      </c>
      <c r="C38" s="42" t="s">
        <v>165</v>
      </c>
      <c r="D38" s="42">
        <v>1.0477378964424133E-9</v>
      </c>
      <c r="E38" s="50">
        <v>91.261091669750186</v>
      </c>
    </row>
    <row r="39" spans="2:5" x14ac:dyDescent="0.35">
      <c r="B39" s="42" t="s">
        <v>170</v>
      </c>
      <c r="C39" s="42" t="s">
        <v>171</v>
      </c>
      <c r="D39" s="42">
        <v>0</v>
      </c>
      <c r="E39" s="42">
        <v>0.78602779661958389</v>
      </c>
    </row>
    <row r="40" spans="2:5" x14ac:dyDescent="0.35">
      <c r="B40" s="42" t="s">
        <v>172</v>
      </c>
      <c r="C40" s="42" t="s">
        <v>173</v>
      </c>
      <c r="D40" s="42">
        <v>0</v>
      </c>
      <c r="E40" s="42">
        <v>0.10806966435754047</v>
      </c>
    </row>
    <row r="41" spans="2:5" x14ac:dyDescent="0.35">
      <c r="B41" s="42" t="s">
        <v>174</v>
      </c>
      <c r="C41" s="42" t="s">
        <v>175</v>
      </c>
      <c r="D41" s="42">
        <v>0</v>
      </c>
      <c r="E41" s="42">
        <v>0</v>
      </c>
    </row>
    <row r="42" spans="2:5" x14ac:dyDescent="0.35">
      <c r="B42" s="42" t="s">
        <v>176</v>
      </c>
      <c r="C42" s="42" t="s">
        <v>177</v>
      </c>
      <c r="D42" s="42">
        <v>0</v>
      </c>
      <c r="E42" s="42">
        <v>0</v>
      </c>
    </row>
    <row r="43" spans="2:5" x14ac:dyDescent="0.35">
      <c r="B43" s="42" t="s">
        <v>178</v>
      </c>
      <c r="C43" s="42" t="s">
        <v>179</v>
      </c>
      <c r="D43" s="42">
        <v>0</v>
      </c>
      <c r="E43" s="42">
        <v>1.3561256814861786E-2</v>
      </c>
    </row>
    <row r="44" spans="2:5" ht="15" thickBot="1" x14ac:dyDescent="0.4">
      <c r="B44" s="43" t="s">
        <v>144</v>
      </c>
      <c r="C44" s="43" t="s">
        <v>145</v>
      </c>
      <c r="D44" s="43">
        <v>0</v>
      </c>
      <c r="E44" s="51">
        <v>62.263756080643326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CFE2E-E62F-40FD-8114-B28B6F0B31F1}">
  <dimension ref="A1:E44"/>
  <sheetViews>
    <sheetView showGridLines="0" workbookViewId="0">
      <selection activeCell="E44" sqref="E44"/>
    </sheetView>
  </sheetViews>
  <sheetFormatPr defaultRowHeight="14.5" x14ac:dyDescent="0.35"/>
  <cols>
    <col min="1" max="1" width="2.1796875" customWidth="1"/>
    <col min="2" max="2" width="6.08984375" bestFit="1" customWidth="1"/>
    <col min="3" max="3" width="31.36328125" bestFit="1" customWidth="1"/>
    <col min="4" max="5" width="11.81640625" bestFit="1" customWidth="1"/>
  </cols>
  <sheetData>
    <row r="1" spans="1:5" x14ac:dyDescent="0.35">
      <c r="A1" s="29" t="s">
        <v>101</v>
      </c>
    </row>
    <row r="2" spans="1:5" x14ac:dyDescent="0.35">
      <c r="A2" s="29" t="s">
        <v>188</v>
      </c>
    </row>
    <row r="3" spans="1:5" x14ac:dyDescent="0.35">
      <c r="A3" s="29" t="s">
        <v>201</v>
      </c>
    </row>
    <row r="6" spans="1:5" ht="15" thickBot="1" x14ac:dyDescent="0.4">
      <c r="A6" t="s">
        <v>102</v>
      </c>
    </row>
    <row r="7" spans="1:5" x14ac:dyDescent="0.35">
      <c r="B7" s="59"/>
      <c r="C7" s="59"/>
      <c r="D7" s="59" t="s">
        <v>105</v>
      </c>
      <c r="E7" s="59" t="s">
        <v>107</v>
      </c>
    </row>
    <row r="8" spans="1:5" ht="15" thickBot="1" x14ac:dyDescent="0.4">
      <c r="B8" s="60" t="s">
        <v>103</v>
      </c>
      <c r="C8" s="60" t="s">
        <v>104</v>
      </c>
      <c r="D8" s="60" t="s">
        <v>106</v>
      </c>
      <c r="E8" s="60" t="s">
        <v>108</v>
      </c>
    </row>
    <row r="9" spans="1:5" x14ac:dyDescent="0.35">
      <c r="B9" s="42" t="s">
        <v>112</v>
      </c>
      <c r="C9" s="42" t="s">
        <v>113</v>
      </c>
      <c r="D9" s="42">
        <v>75000</v>
      </c>
      <c r="E9" s="42">
        <v>0</v>
      </c>
    </row>
    <row r="10" spans="1:5" x14ac:dyDescent="0.35">
      <c r="B10" s="42" t="s">
        <v>114</v>
      </c>
      <c r="C10" s="42" t="s">
        <v>115</v>
      </c>
      <c r="D10" s="42">
        <v>0</v>
      </c>
      <c r="E10" s="42">
        <v>11552.43237737727</v>
      </c>
    </row>
    <row r="11" spans="1:5" x14ac:dyDescent="0.35">
      <c r="B11" s="42" t="s">
        <v>116</v>
      </c>
      <c r="C11" s="42" t="s">
        <v>117</v>
      </c>
      <c r="D11" s="42">
        <v>0</v>
      </c>
      <c r="E11" s="42">
        <v>0</v>
      </c>
    </row>
    <row r="12" spans="1:5" x14ac:dyDescent="0.35">
      <c r="B12" s="42" t="s">
        <v>118</v>
      </c>
      <c r="C12" s="42" t="s">
        <v>119</v>
      </c>
      <c r="D12" s="42">
        <v>56808.379704400009</v>
      </c>
      <c r="E12" s="42">
        <v>0</v>
      </c>
    </row>
    <row r="13" spans="1:5" x14ac:dyDescent="0.35">
      <c r="B13" s="42" t="s">
        <v>120</v>
      </c>
      <c r="C13" s="42" t="s">
        <v>121</v>
      </c>
      <c r="D13" s="42">
        <v>16923.729689989657</v>
      </c>
      <c r="E13" s="42">
        <v>0</v>
      </c>
    </row>
    <row r="14" spans="1:5" x14ac:dyDescent="0.35">
      <c r="B14" s="42" t="s">
        <v>122</v>
      </c>
      <c r="C14" s="42" t="s">
        <v>123</v>
      </c>
      <c r="D14" s="42">
        <v>0</v>
      </c>
      <c r="E14" s="42">
        <v>551.01666674174021</v>
      </c>
    </row>
    <row r="15" spans="1:5" x14ac:dyDescent="0.35">
      <c r="B15" s="42" t="s">
        <v>124</v>
      </c>
      <c r="C15" s="42" t="s">
        <v>125</v>
      </c>
      <c r="D15" s="42">
        <v>0</v>
      </c>
      <c r="E15" s="42">
        <v>79.274816505686232</v>
      </c>
    </row>
    <row r="16" spans="1:5" x14ac:dyDescent="0.35">
      <c r="B16" s="42" t="s">
        <v>126</v>
      </c>
      <c r="C16" s="42" t="s">
        <v>127</v>
      </c>
      <c r="D16" s="42">
        <v>45696.20359782024</v>
      </c>
      <c r="E16" s="42">
        <v>0</v>
      </c>
    </row>
    <row r="17" spans="1:5" x14ac:dyDescent="0.35">
      <c r="B17" s="42" t="s">
        <v>128</v>
      </c>
      <c r="C17" s="42" t="s">
        <v>129</v>
      </c>
      <c r="D17" s="42">
        <v>0</v>
      </c>
      <c r="E17" s="42">
        <v>114.8082474332009</v>
      </c>
    </row>
    <row r="18" spans="1:5" x14ac:dyDescent="0.35">
      <c r="B18" s="42" t="s">
        <v>130</v>
      </c>
      <c r="C18" s="42" t="s">
        <v>131</v>
      </c>
      <c r="D18" s="42">
        <v>0</v>
      </c>
      <c r="E18" s="42">
        <v>108.35560335781071</v>
      </c>
    </row>
    <row r="19" spans="1:5" x14ac:dyDescent="0.35">
      <c r="B19" s="42" t="s">
        <v>132</v>
      </c>
      <c r="C19" s="42" t="s">
        <v>133</v>
      </c>
      <c r="D19" s="42">
        <v>53267.306758832929</v>
      </c>
      <c r="E19" s="42">
        <v>0</v>
      </c>
    </row>
    <row r="20" spans="1:5" x14ac:dyDescent="0.35">
      <c r="B20" s="42" t="s">
        <v>134</v>
      </c>
      <c r="C20" s="42" t="s">
        <v>135</v>
      </c>
      <c r="D20" s="42">
        <v>10180.32945110658</v>
      </c>
      <c r="E20" s="42">
        <v>0</v>
      </c>
    </row>
    <row r="21" spans="1:5" x14ac:dyDescent="0.35">
      <c r="B21" s="42" t="s">
        <v>136</v>
      </c>
      <c r="C21" s="42" t="s">
        <v>137</v>
      </c>
      <c r="D21" s="42">
        <v>0</v>
      </c>
      <c r="E21" s="42">
        <v>0</v>
      </c>
    </row>
    <row r="22" spans="1:5" x14ac:dyDescent="0.35">
      <c r="B22" s="42" t="s">
        <v>138</v>
      </c>
      <c r="C22" s="42" t="s">
        <v>139</v>
      </c>
      <c r="D22" s="42">
        <v>53267.306758826337</v>
      </c>
      <c r="E22" s="42">
        <v>0</v>
      </c>
    </row>
    <row r="23" spans="1:5" x14ac:dyDescent="0.35">
      <c r="B23" s="42" t="s">
        <v>140</v>
      </c>
      <c r="C23" s="42" t="s">
        <v>141</v>
      </c>
      <c r="D23" s="42">
        <v>36823.982463802044</v>
      </c>
      <c r="E23" s="42">
        <v>0</v>
      </c>
    </row>
    <row r="24" spans="1:5" ht="15" thickBot="1" x14ac:dyDescent="0.4">
      <c r="B24" s="43" t="s">
        <v>142</v>
      </c>
      <c r="C24" s="43" t="s">
        <v>143</v>
      </c>
      <c r="D24" s="43">
        <v>0</v>
      </c>
      <c r="E24" s="43">
        <v>0</v>
      </c>
    </row>
    <row r="26" spans="1:5" ht="15" thickBot="1" x14ac:dyDescent="0.4">
      <c r="A26" t="s">
        <v>109</v>
      </c>
    </row>
    <row r="27" spans="1:5" x14ac:dyDescent="0.35">
      <c r="B27" s="59"/>
      <c r="C27" s="59"/>
      <c r="D27" s="59" t="s">
        <v>105</v>
      </c>
      <c r="E27" s="59" t="s">
        <v>110</v>
      </c>
    </row>
    <row r="28" spans="1:5" ht="15" thickBot="1" x14ac:dyDescent="0.4">
      <c r="B28" s="60" t="s">
        <v>103</v>
      </c>
      <c r="C28" s="60" t="s">
        <v>104</v>
      </c>
      <c r="D28" s="60" t="s">
        <v>106</v>
      </c>
      <c r="E28" s="60" t="s">
        <v>111</v>
      </c>
    </row>
    <row r="29" spans="1:5" x14ac:dyDescent="0.35">
      <c r="B29" s="42" t="s">
        <v>146</v>
      </c>
      <c r="C29" s="42" t="s">
        <v>147</v>
      </c>
      <c r="D29" s="42">
        <v>425000</v>
      </c>
      <c r="E29" s="42">
        <v>0</v>
      </c>
    </row>
    <row r="30" spans="1:5" x14ac:dyDescent="0.35">
      <c r="B30" s="42" t="s">
        <v>148</v>
      </c>
      <c r="C30" s="42" t="s">
        <v>149</v>
      </c>
      <c r="D30" s="42">
        <v>408076.27031001035</v>
      </c>
      <c r="E30" s="42">
        <v>0</v>
      </c>
    </row>
    <row r="31" spans="1:5" x14ac:dyDescent="0.35">
      <c r="B31" s="42" t="s">
        <v>150</v>
      </c>
      <c r="C31" s="42" t="s">
        <v>151</v>
      </c>
      <c r="D31" s="42">
        <v>379303.79640217975</v>
      </c>
      <c r="E31" s="42">
        <v>0</v>
      </c>
    </row>
    <row r="32" spans="1:5" x14ac:dyDescent="0.35">
      <c r="B32" s="42" t="s">
        <v>152</v>
      </c>
      <c r="C32" s="42" t="s">
        <v>153</v>
      </c>
      <c r="D32" s="42">
        <v>361552.36379006045</v>
      </c>
      <c r="E32" s="42">
        <v>0</v>
      </c>
    </row>
    <row r="33" spans="2:5" x14ac:dyDescent="0.35">
      <c r="B33" s="42" t="s">
        <v>154</v>
      </c>
      <c r="C33" s="42" t="s">
        <v>155</v>
      </c>
      <c r="D33" s="42">
        <v>334908.7107773716</v>
      </c>
      <c r="E33" s="42">
        <v>0</v>
      </c>
    </row>
    <row r="34" spans="2:5" x14ac:dyDescent="0.35">
      <c r="B34" s="42" t="s">
        <v>156</v>
      </c>
      <c r="C34" s="42" t="s">
        <v>157</v>
      </c>
      <c r="D34" s="42">
        <v>0</v>
      </c>
      <c r="E34" s="50">
        <v>2634.8608805066706</v>
      </c>
    </row>
    <row r="35" spans="2:5" x14ac:dyDescent="0.35">
      <c r="B35" s="42" t="s">
        <v>158</v>
      </c>
      <c r="C35" s="42" t="s">
        <v>159</v>
      </c>
      <c r="D35" s="42">
        <v>0</v>
      </c>
      <c r="E35" s="50">
        <v>230.87749955794723</v>
      </c>
    </row>
    <row r="36" spans="2:5" x14ac:dyDescent="0.35">
      <c r="B36" s="42" t="s">
        <v>160</v>
      </c>
      <c r="C36" s="42" t="s">
        <v>161</v>
      </c>
      <c r="D36" s="42">
        <v>0</v>
      </c>
      <c r="E36" s="50">
        <v>201.79693457292623</v>
      </c>
    </row>
    <row r="37" spans="2:5" x14ac:dyDescent="0.35">
      <c r="B37" s="42" t="s">
        <v>162</v>
      </c>
      <c r="C37" s="42" t="s">
        <v>163</v>
      </c>
      <c r="D37" s="42">
        <v>0</v>
      </c>
      <c r="E37" s="50">
        <v>194.14475298388419</v>
      </c>
    </row>
    <row r="38" spans="2:5" x14ac:dyDescent="0.35">
      <c r="B38" s="42" t="s">
        <v>164</v>
      </c>
      <c r="C38" s="42" t="s">
        <v>165</v>
      </c>
      <c r="D38" s="42">
        <v>0</v>
      </c>
      <c r="E38" s="50">
        <v>194.14475298388419</v>
      </c>
    </row>
    <row r="39" spans="2:5" x14ac:dyDescent="0.35">
      <c r="B39" s="42" t="s">
        <v>170</v>
      </c>
      <c r="C39" s="42" t="s">
        <v>171</v>
      </c>
      <c r="D39" s="42">
        <v>0</v>
      </c>
      <c r="E39" s="42">
        <v>0.78481304492205506</v>
      </c>
    </row>
    <row r="40" spans="2:5" x14ac:dyDescent="0.35">
      <c r="B40" s="42" t="s">
        <v>172</v>
      </c>
      <c r="C40" s="42" t="s">
        <v>173</v>
      </c>
      <c r="D40" s="42">
        <v>0</v>
      </c>
      <c r="E40" s="42">
        <v>0</v>
      </c>
    </row>
    <row r="41" spans="2:5" x14ac:dyDescent="0.35">
      <c r="B41" s="42" t="s">
        <v>174</v>
      </c>
      <c r="C41" s="42" t="s">
        <v>175</v>
      </c>
      <c r="D41" s="42">
        <v>0</v>
      </c>
      <c r="E41" s="42">
        <v>0</v>
      </c>
    </row>
    <row r="42" spans="2:5" x14ac:dyDescent="0.35">
      <c r="B42" s="42" t="s">
        <v>176</v>
      </c>
      <c r="C42" s="42" t="s">
        <v>177</v>
      </c>
      <c r="D42" s="42">
        <v>0</v>
      </c>
      <c r="E42" s="42">
        <v>1.1395294019577418E-2</v>
      </c>
    </row>
    <row r="43" spans="2:5" x14ac:dyDescent="0.35">
      <c r="B43" s="42" t="s">
        <v>178</v>
      </c>
      <c r="C43" s="42" t="s">
        <v>179</v>
      </c>
      <c r="D43" s="42">
        <v>0</v>
      </c>
      <c r="E43" s="42">
        <v>3.150180465146779E-3</v>
      </c>
    </row>
    <row r="44" spans="2:5" ht="15" thickBot="1" x14ac:dyDescent="0.4">
      <c r="B44" s="43" t="s">
        <v>144</v>
      </c>
      <c r="C44" s="43" t="s">
        <v>145</v>
      </c>
      <c r="D44" s="43">
        <v>0</v>
      </c>
      <c r="E44" s="51">
        <v>113.70558673771032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9922-43E0-4509-94C3-1F5081E4C81A}">
  <dimension ref="A1:E44"/>
  <sheetViews>
    <sheetView showGridLines="0" workbookViewId="0">
      <selection activeCell="I36" sqref="I36"/>
    </sheetView>
  </sheetViews>
  <sheetFormatPr defaultRowHeight="14.5" x14ac:dyDescent="0.35"/>
  <cols>
    <col min="1" max="1" width="2.1796875" customWidth="1"/>
    <col min="2" max="2" width="6.08984375" bestFit="1" customWidth="1"/>
    <col min="3" max="3" width="31.36328125" bestFit="1" customWidth="1"/>
    <col min="4" max="5" width="12.453125" bestFit="1" customWidth="1"/>
  </cols>
  <sheetData>
    <row r="1" spans="1:5" x14ac:dyDescent="0.35">
      <c r="A1" s="29" t="s">
        <v>101</v>
      </c>
    </row>
    <row r="2" spans="1:5" x14ac:dyDescent="0.35">
      <c r="A2" s="29" t="s">
        <v>188</v>
      </c>
    </row>
    <row r="3" spans="1:5" x14ac:dyDescent="0.35">
      <c r="A3" s="29" t="s">
        <v>207</v>
      </c>
    </row>
    <row r="6" spans="1:5" ht="15" thickBot="1" x14ac:dyDescent="0.4">
      <c r="A6" t="s">
        <v>102</v>
      </c>
    </row>
    <row r="7" spans="1:5" x14ac:dyDescent="0.35">
      <c r="B7" s="71"/>
      <c r="C7" s="71"/>
      <c r="D7" s="71" t="s">
        <v>105</v>
      </c>
      <c r="E7" s="71" t="s">
        <v>107</v>
      </c>
    </row>
    <row r="8" spans="1:5" ht="15" thickBot="1" x14ac:dyDescent="0.4">
      <c r="B8" s="72" t="s">
        <v>103</v>
      </c>
      <c r="C8" s="72" t="s">
        <v>104</v>
      </c>
      <c r="D8" s="72" t="s">
        <v>106</v>
      </c>
      <c r="E8" s="72" t="s">
        <v>108</v>
      </c>
    </row>
    <row r="9" spans="1:5" x14ac:dyDescent="0.35">
      <c r="B9" s="73" t="s">
        <v>112</v>
      </c>
      <c r="C9" s="73" t="s">
        <v>113</v>
      </c>
      <c r="D9" s="73">
        <v>77798.838783606901</v>
      </c>
      <c r="E9" s="73">
        <v>0</v>
      </c>
    </row>
    <row r="10" spans="1:5" x14ac:dyDescent="0.35">
      <c r="B10" s="73" t="s">
        <v>114</v>
      </c>
      <c r="C10" s="73" t="s">
        <v>115</v>
      </c>
      <c r="D10" s="73">
        <v>0</v>
      </c>
      <c r="E10" s="73">
        <v>1552.1460413532327</v>
      </c>
    </row>
    <row r="11" spans="1:5" x14ac:dyDescent="0.35">
      <c r="B11" s="73" t="s">
        <v>116</v>
      </c>
      <c r="C11" s="73" t="s">
        <v>117</v>
      </c>
      <c r="D11" s="73">
        <v>0</v>
      </c>
      <c r="E11" s="73">
        <v>0</v>
      </c>
    </row>
    <row r="12" spans="1:5" x14ac:dyDescent="0.35">
      <c r="B12" s="73" t="s">
        <v>118</v>
      </c>
      <c r="C12" s="73" t="s">
        <v>119</v>
      </c>
      <c r="D12" s="73">
        <v>68199.653553680124</v>
      </c>
      <c r="E12" s="73">
        <v>0</v>
      </c>
    </row>
    <row r="13" spans="1:5" x14ac:dyDescent="0.35">
      <c r="B13" s="73" t="s">
        <v>120</v>
      </c>
      <c r="C13" s="73" t="s">
        <v>121</v>
      </c>
      <c r="D13" s="73">
        <v>36528.716222578048</v>
      </c>
      <c r="E13" s="73">
        <v>0</v>
      </c>
    </row>
    <row r="14" spans="1:5" x14ac:dyDescent="0.35">
      <c r="B14" s="73" t="s">
        <v>122</v>
      </c>
      <c r="C14" s="73" t="s">
        <v>123</v>
      </c>
      <c r="D14" s="73">
        <v>0</v>
      </c>
      <c r="E14" s="73">
        <v>0</v>
      </c>
    </row>
    <row r="15" spans="1:5" x14ac:dyDescent="0.35">
      <c r="B15" s="73" t="s">
        <v>124</v>
      </c>
      <c r="C15" s="73" t="s">
        <v>125</v>
      </c>
      <c r="D15" s="73">
        <v>106279.4086670328</v>
      </c>
      <c r="E15" s="73">
        <v>0</v>
      </c>
    </row>
    <row r="16" spans="1:5" x14ac:dyDescent="0.35">
      <c r="B16" s="73" t="s">
        <v>126</v>
      </c>
      <c r="C16" s="73" t="s">
        <v>127</v>
      </c>
      <c r="D16" s="73">
        <v>73199.501998762935</v>
      </c>
      <c r="E16" s="73">
        <v>0</v>
      </c>
    </row>
    <row r="17" spans="1:5" x14ac:dyDescent="0.35">
      <c r="B17" s="73" t="s">
        <v>128</v>
      </c>
      <c r="C17" s="73" t="s">
        <v>129</v>
      </c>
      <c r="D17" s="73">
        <v>0</v>
      </c>
      <c r="E17" s="73">
        <v>0</v>
      </c>
    </row>
    <row r="18" spans="1:5" x14ac:dyDescent="0.35">
      <c r="B18" s="73" t="s">
        <v>130</v>
      </c>
      <c r="C18" s="73" t="s">
        <v>131</v>
      </c>
      <c r="D18" s="73">
        <v>144507.23810991686</v>
      </c>
      <c r="E18" s="73">
        <v>0</v>
      </c>
    </row>
    <row r="19" spans="1:5" x14ac:dyDescent="0.35">
      <c r="B19" s="73" t="s">
        <v>132</v>
      </c>
      <c r="C19" s="73" t="s">
        <v>133</v>
      </c>
      <c r="D19" s="73">
        <v>123060.52127304916</v>
      </c>
      <c r="E19" s="73">
        <v>0</v>
      </c>
    </row>
    <row r="20" spans="1:5" x14ac:dyDescent="0.35">
      <c r="B20" s="73" t="s">
        <v>134</v>
      </c>
      <c r="C20" s="73" t="s">
        <v>135</v>
      </c>
      <c r="D20" s="73">
        <v>0</v>
      </c>
      <c r="E20" s="73">
        <v>0</v>
      </c>
    </row>
    <row r="21" spans="1:5" x14ac:dyDescent="0.35">
      <c r="B21" s="73" t="s">
        <v>136</v>
      </c>
      <c r="C21" s="73" t="s">
        <v>137</v>
      </c>
      <c r="D21" s="73">
        <v>196485.49033152047</v>
      </c>
      <c r="E21" s="73">
        <v>0</v>
      </c>
    </row>
    <row r="22" spans="1:5" x14ac:dyDescent="0.35">
      <c r="B22" s="73" t="s">
        <v>138</v>
      </c>
      <c r="C22" s="73" t="s">
        <v>139</v>
      </c>
      <c r="D22" s="73">
        <v>167670.39801126381</v>
      </c>
      <c r="E22" s="73">
        <v>0</v>
      </c>
    </row>
    <row r="23" spans="1:5" x14ac:dyDescent="0.35">
      <c r="B23" s="73" t="s">
        <v>140</v>
      </c>
      <c r="C23" s="73" t="s">
        <v>141</v>
      </c>
      <c r="D23" s="73">
        <v>0</v>
      </c>
      <c r="E23" s="73">
        <v>0</v>
      </c>
    </row>
    <row r="24" spans="1:5" ht="15" thickBot="1" x14ac:dyDescent="0.4">
      <c r="B24" s="74" t="s">
        <v>142</v>
      </c>
      <c r="C24" s="74" t="s">
        <v>143</v>
      </c>
      <c r="D24" s="74">
        <v>12742.498553914571</v>
      </c>
      <c r="E24" s="74">
        <v>0</v>
      </c>
    </row>
    <row r="26" spans="1:5" ht="15" thickBot="1" x14ac:dyDescent="0.4">
      <c r="A26" t="s">
        <v>109</v>
      </c>
    </row>
    <row r="27" spans="1:5" x14ac:dyDescent="0.35">
      <c r="B27" s="71"/>
      <c r="C27" s="71"/>
      <c r="D27" s="71" t="s">
        <v>105</v>
      </c>
      <c r="E27" s="71" t="s">
        <v>110</v>
      </c>
    </row>
    <row r="28" spans="1:5" ht="15" thickBot="1" x14ac:dyDescent="0.4">
      <c r="B28" s="72" t="s">
        <v>103</v>
      </c>
      <c r="C28" s="72" t="s">
        <v>104</v>
      </c>
      <c r="D28" s="72" t="s">
        <v>106</v>
      </c>
      <c r="E28" s="72" t="s">
        <v>111</v>
      </c>
    </row>
    <row r="29" spans="1:5" x14ac:dyDescent="0.35">
      <c r="B29" s="73" t="s">
        <v>146</v>
      </c>
      <c r="C29" s="73" t="s">
        <v>147</v>
      </c>
      <c r="D29" s="73">
        <v>422201.16121639311</v>
      </c>
      <c r="E29" s="73">
        <v>0</v>
      </c>
    </row>
    <row r="30" spans="1:5" x14ac:dyDescent="0.35">
      <c r="B30" s="73" t="s">
        <v>148</v>
      </c>
      <c r="C30" s="73" t="s">
        <v>149</v>
      </c>
      <c r="D30" s="73">
        <v>385672.44499381504</v>
      </c>
      <c r="E30" s="73">
        <v>0</v>
      </c>
    </row>
    <row r="31" spans="1:5" x14ac:dyDescent="0.35">
      <c r="B31" s="73" t="s">
        <v>150</v>
      </c>
      <c r="C31" s="73" t="s">
        <v>151</v>
      </c>
      <c r="D31" s="73">
        <v>349001.65921763016</v>
      </c>
      <c r="E31" s="73">
        <v>0</v>
      </c>
    </row>
    <row r="32" spans="1:5" x14ac:dyDescent="0.35">
      <c r="B32" s="73" t="s">
        <v>152</v>
      </c>
      <c r="C32" s="73" t="s">
        <v>153</v>
      </c>
      <c r="D32" s="73">
        <v>299140.63994334394</v>
      </c>
      <c r="E32" s="73">
        <v>0</v>
      </c>
    </row>
    <row r="33" spans="2:5" x14ac:dyDescent="0.35">
      <c r="B33" s="73" t="s">
        <v>154</v>
      </c>
      <c r="C33" s="73" t="s">
        <v>155</v>
      </c>
      <c r="D33" s="73">
        <v>254530.7632051293</v>
      </c>
      <c r="E33" s="73">
        <v>0</v>
      </c>
    </row>
    <row r="34" spans="2:5" x14ac:dyDescent="0.35">
      <c r="B34" s="73" t="s">
        <v>156</v>
      </c>
      <c r="C34" s="73" t="s">
        <v>157</v>
      </c>
      <c r="D34" s="73">
        <v>0</v>
      </c>
      <c r="E34" s="73">
        <v>500.00142254107129</v>
      </c>
    </row>
    <row r="35" spans="2:5" x14ac:dyDescent="0.35">
      <c r="B35" s="73" t="s">
        <v>158</v>
      </c>
      <c r="C35" s="73" t="s">
        <v>159</v>
      </c>
      <c r="D35" s="73">
        <v>2.4883775040507317E-8</v>
      </c>
      <c r="E35" s="73">
        <v>142.37785686724311</v>
      </c>
    </row>
    <row r="36" spans="2:5" x14ac:dyDescent="0.35">
      <c r="B36" s="73" t="s">
        <v>160</v>
      </c>
      <c r="C36" s="73" t="s">
        <v>161</v>
      </c>
      <c r="D36" s="73">
        <v>7.4156560003757477E-8</v>
      </c>
      <c r="E36" s="73">
        <v>105.31439811917313</v>
      </c>
    </row>
    <row r="37" spans="2:5" x14ac:dyDescent="0.35">
      <c r="B37" s="73" t="s">
        <v>162</v>
      </c>
      <c r="C37" s="73" t="s">
        <v>163</v>
      </c>
      <c r="D37" s="73">
        <v>3.2479874789714813E-8</v>
      </c>
      <c r="E37" s="73">
        <v>54.919461893185428</v>
      </c>
    </row>
    <row r="38" spans="2:5" x14ac:dyDescent="0.35">
      <c r="B38" s="73" t="s">
        <v>164</v>
      </c>
      <c r="C38" s="73" t="s">
        <v>165</v>
      </c>
      <c r="D38" s="73">
        <v>-1.3236422091722488E-7</v>
      </c>
      <c r="E38" s="73">
        <v>9.8318980423274738</v>
      </c>
    </row>
    <row r="39" spans="2:5" x14ac:dyDescent="0.35">
      <c r="B39" s="73" t="s">
        <v>170</v>
      </c>
      <c r="C39" s="73" t="s">
        <v>171</v>
      </c>
      <c r="D39" s="73">
        <v>0</v>
      </c>
      <c r="E39" s="73">
        <v>0.16798230772367917</v>
      </c>
    </row>
    <row r="40" spans="2:5" x14ac:dyDescent="0.35">
      <c r="B40" s="73" t="s">
        <v>172</v>
      </c>
      <c r="C40" s="73" t="s">
        <v>173</v>
      </c>
      <c r="D40" s="73">
        <v>0</v>
      </c>
      <c r="E40" s="73">
        <v>5.7320444804818758E-2</v>
      </c>
    </row>
    <row r="41" spans="2:5" x14ac:dyDescent="0.35">
      <c r="B41" s="73" t="s">
        <v>174</v>
      </c>
      <c r="C41" s="73" t="s">
        <v>175</v>
      </c>
      <c r="D41" s="73">
        <v>0</v>
      </c>
      <c r="E41" s="73">
        <v>3.8309715449593204E-2</v>
      </c>
    </row>
    <row r="42" spans="2:5" x14ac:dyDescent="0.35">
      <c r="B42" s="73" t="s">
        <v>176</v>
      </c>
      <c r="C42" s="73" t="s">
        <v>177</v>
      </c>
      <c r="D42" s="73">
        <v>0</v>
      </c>
      <c r="E42" s="73">
        <v>2.4328041825836894E-2</v>
      </c>
    </row>
    <row r="43" spans="2:5" x14ac:dyDescent="0.35">
      <c r="B43" s="73" t="s">
        <v>178</v>
      </c>
      <c r="C43" s="73" t="s">
        <v>179</v>
      </c>
      <c r="D43" s="73">
        <v>0</v>
      </c>
      <c r="E43" s="73">
        <v>0.32205573229048462</v>
      </c>
    </row>
    <row r="44" spans="2:5" ht="15" thickBot="1" x14ac:dyDescent="0.4">
      <c r="B44" s="74" t="s">
        <v>144</v>
      </c>
      <c r="C44" s="74" t="s">
        <v>145</v>
      </c>
      <c r="D44" s="74">
        <v>0</v>
      </c>
      <c r="E44" s="74">
        <v>-115.24352090719874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FD498-287D-4B32-B9B5-228CBEB25D56}">
  <dimension ref="A1:E44"/>
  <sheetViews>
    <sheetView showGridLines="0" workbookViewId="0">
      <selection activeCell="E44" sqref="E44"/>
    </sheetView>
  </sheetViews>
  <sheetFormatPr defaultRowHeight="14.5" x14ac:dyDescent="0.35"/>
  <cols>
    <col min="1" max="1" width="2.1796875" customWidth="1"/>
    <col min="2" max="2" width="6.08984375" bestFit="1" customWidth="1"/>
    <col min="3" max="3" width="31.36328125" bestFit="1" customWidth="1"/>
    <col min="4" max="4" width="12.453125" bestFit="1" customWidth="1"/>
    <col min="5" max="5" width="11.81640625" bestFit="1" customWidth="1"/>
  </cols>
  <sheetData>
    <row r="1" spans="1:5" x14ac:dyDescent="0.35">
      <c r="A1" s="29" t="s">
        <v>101</v>
      </c>
    </row>
    <row r="2" spans="1:5" x14ac:dyDescent="0.35">
      <c r="A2" s="29" t="s">
        <v>188</v>
      </c>
    </row>
    <row r="3" spans="1:5" x14ac:dyDescent="0.35">
      <c r="A3" s="29" t="s">
        <v>193</v>
      </c>
    </row>
    <row r="6" spans="1:5" ht="15" thickBot="1" x14ac:dyDescent="0.4">
      <c r="A6" t="s">
        <v>102</v>
      </c>
    </row>
    <row r="7" spans="1:5" x14ac:dyDescent="0.35">
      <c r="B7" s="55"/>
      <c r="C7" s="55"/>
      <c r="D7" s="55" t="s">
        <v>105</v>
      </c>
      <c r="E7" s="55" t="s">
        <v>107</v>
      </c>
    </row>
    <row r="8" spans="1:5" ht="15" thickBot="1" x14ac:dyDescent="0.4">
      <c r="B8" s="56" t="s">
        <v>103</v>
      </c>
      <c r="C8" s="56" t="s">
        <v>104</v>
      </c>
      <c r="D8" s="56" t="s">
        <v>106</v>
      </c>
      <c r="E8" s="56" t="s">
        <v>108</v>
      </c>
    </row>
    <row r="9" spans="1:5" x14ac:dyDescent="0.35">
      <c r="B9" s="42" t="s">
        <v>112</v>
      </c>
      <c r="C9" s="42" t="s">
        <v>113</v>
      </c>
      <c r="D9" s="42">
        <v>77798.838783606901</v>
      </c>
      <c r="E9" s="42">
        <v>0</v>
      </c>
    </row>
    <row r="10" spans="1:5" x14ac:dyDescent="0.35">
      <c r="B10" s="42" t="s">
        <v>114</v>
      </c>
      <c r="C10" s="42" t="s">
        <v>115</v>
      </c>
      <c r="D10" s="42">
        <v>0</v>
      </c>
      <c r="E10" s="42">
        <v>3007.654876017431</v>
      </c>
    </row>
    <row r="11" spans="1:5" x14ac:dyDescent="0.35">
      <c r="B11" s="42" t="s">
        <v>116</v>
      </c>
      <c r="C11" s="42" t="s">
        <v>117</v>
      </c>
      <c r="D11" s="42">
        <v>0</v>
      </c>
      <c r="E11" s="42">
        <v>0</v>
      </c>
    </row>
    <row r="12" spans="1:5" x14ac:dyDescent="0.35">
      <c r="B12" s="42" t="s">
        <v>118</v>
      </c>
      <c r="C12" s="42" t="s">
        <v>119</v>
      </c>
      <c r="D12" s="42">
        <v>68199.653553680109</v>
      </c>
      <c r="E12" s="42">
        <v>0</v>
      </c>
    </row>
    <row r="13" spans="1:5" x14ac:dyDescent="0.35">
      <c r="B13" s="42" t="s">
        <v>120</v>
      </c>
      <c r="C13" s="42" t="s">
        <v>121</v>
      </c>
      <c r="D13" s="42">
        <v>16854.386288338868</v>
      </c>
      <c r="E13" s="42">
        <v>0</v>
      </c>
    </row>
    <row r="14" spans="1:5" x14ac:dyDescent="0.35">
      <c r="B14" s="42" t="s">
        <v>122</v>
      </c>
      <c r="C14" s="42" t="s">
        <v>123</v>
      </c>
      <c r="D14" s="42">
        <v>0</v>
      </c>
      <c r="E14" s="42">
        <v>0</v>
      </c>
    </row>
    <row r="15" spans="1:5" x14ac:dyDescent="0.35">
      <c r="B15" s="42" t="s">
        <v>124</v>
      </c>
      <c r="C15" s="42" t="s">
        <v>125</v>
      </c>
      <c r="D15" s="42">
        <v>11055.651785291808</v>
      </c>
      <c r="E15" s="42">
        <v>0</v>
      </c>
    </row>
    <row r="16" spans="1:5" x14ac:dyDescent="0.35">
      <c r="B16" s="42" t="s">
        <v>126</v>
      </c>
      <c r="C16" s="42" t="s">
        <v>127</v>
      </c>
      <c r="D16" s="42">
        <v>43342.634620696248</v>
      </c>
      <c r="E16" s="42">
        <v>0</v>
      </c>
    </row>
    <row r="17" spans="1:5" x14ac:dyDescent="0.35">
      <c r="B17" s="42" t="s">
        <v>128</v>
      </c>
      <c r="C17" s="42" t="s">
        <v>129</v>
      </c>
      <c r="D17" s="42">
        <v>0</v>
      </c>
      <c r="E17" s="42">
        <v>1408.7165623734772</v>
      </c>
    </row>
    <row r="18" spans="1:5" x14ac:dyDescent="0.35">
      <c r="B18" s="42" t="s">
        <v>130</v>
      </c>
      <c r="C18" s="42" t="s">
        <v>131</v>
      </c>
      <c r="D18" s="42">
        <v>0</v>
      </c>
      <c r="E18" s="42">
        <v>26.844295015225811</v>
      </c>
    </row>
    <row r="19" spans="1:5" x14ac:dyDescent="0.35">
      <c r="B19" s="42" t="s">
        <v>132</v>
      </c>
      <c r="C19" s="42" t="s">
        <v>133</v>
      </c>
      <c r="D19" s="42">
        <v>82464.345587824369</v>
      </c>
      <c r="E19" s="42">
        <v>0</v>
      </c>
    </row>
    <row r="20" spans="1:5" x14ac:dyDescent="0.35">
      <c r="B20" s="42" t="s">
        <v>134</v>
      </c>
      <c r="C20" s="42" t="s">
        <v>135</v>
      </c>
      <c r="D20" s="42">
        <v>-9.9999988378840499E-7</v>
      </c>
      <c r="E20" s="42">
        <v>815.59959939982264</v>
      </c>
    </row>
    <row r="21" spans="1:5" x14ac:dyDescent="0.35">
      <c r="B21" s="42" t="s">
        <v>136</v>
      </c>
      <c r="C21" s="42" t="s">
        <v>137</v>
      </c>
      <c r="D21" s="42">
        <v>0</v>
      </c>
      <c r="E21" s="42">
        <v>66.382017122920615</v>
      </c>
    </row>
    <row r="22" spans="1:5" x14ac:dyDescent="0.35">
      <c r="B22" s="42" t="s">
        <v>138</v>
      </c>
      <c r="C22" s="42" t="s">
        <v>139</v>
      </c>
      <c r="D22" s="42">
        <v>136261.5532158915</v>
      </c>
      <c r="E22" s="42">
        <v>0</v>
      </c>
    </row>
    <row r="23" spans="1:5" x14ac:dyDescent="0.35">
      <c r="B23" s="42" t="s">
        <v>140</v>
      </c>
      <c r="C23" s="42" t="s">
        <v>141</v>
      </c>
      <c r="D23" s="42">
        <v>9285.0873503703006</v>
      </c>
      <c r="E23" s="42">
        <v>0</v>
      </c>
    </row>
    <row r="24" spans="1:5" ht="15" thickBot="1" x14ac:dyDescent="0.4">
      <c r="B24" s="43" t="s">
        <v>142</v>
      </c>
      <c r="C24" s="43" t="s">
        <v>143</v>
      </c>
      <c r="D24" s="43">
        <v>0</v>
      </c>
      <c r="E24" s="43">
        <v>0</v>
      </c>
    </row>
    <row r="26" spans="1:5" ht="15" thickBot="1" x14ac:dyDescent="0.4">
      <c r="A26" t="s">
        <v>109</v>
      </c>
    </row>
    <row r="27" spans="1:5" x14ac:dyDescent="0.35">
      <c r="B27" s="55"/>
      <c r="C27" s="55"/>
      <c r="D27" s="55" t="s">
        <v>105</v>
      </c>
      <c r="E27" s="55" t="s">
        <v>110</v>
      </c>
    </row>
    <row r="28" spans="1:5" ht="15" thickBot="1" x14ac:dyDescent="0.4">
      <c r="B28" s="56" t="s">
        <v>103</v>
      </c>
      <c r="C28" s="56" t="s">
        <v>104</v>
      </c>
      <c r="D28" s="56" t="s">
        <v>106</v>
      </c>
      <c r="E28" s="56" t="s">
        <v>111</v>
      </c>
    </row>
    <row r="29" spans="1:5" x14ac:dyDescent="0.35">
      <c r="B29" s="42" t="s">
        <v>146</v>
      </c>
      <c r="C29" s="42" t="s">
        <v>147</v>
      </c>
      <c r="D29" s="42">
        <v>422201.16121639311</v>
      </c>
      <c r="E29" s="42">
        <v>0</v>
      </c>
    </row>
    <row r="30" spans="1:5" x14ac:dyDescent="0.35">
      <c r="B30" s="42" t="s">
        <v>148</v>
      </c>
      <c r="C30" s="42" t="s">
        <v>149</v>
      </c>
      <c r="D30" s="42">
        <v>405346.77492805425</v>
      </c>
      <c r="E30" s="42">
        <v>0</v>
      </c>
    </row>
    <row r="31" spans="1:5" x14ac:dyDescent="0.35">
      <c r="B31" s="42" t="s">
        <v>150</v>
      </c>
      <c r="C31" s="42" t="s">
        <v>151</v>
      </c>
      <c r="D31" s="42">
        <v>378858.52659569687</v>
      </c>
      <c r="E31" s="42">
        <v>0</v>
      </c>
    </row>
    <row r="32" spans="1:5" x14ac:dyDescent="0.35">
      <c r="B32" s="42" t="s">
        <v>152</v>
      </c>
      <c r="C32" s="42" t="s">
        <v>153</v>
      </c>
      <c r="D32" s="42">
        <v>339736.81562956877</v>
      </c>
      <c r="E32" s="42">
        <v>0</v>
      </c>
    </row>
    <row r="33" spans="2:5" x14ac:dyDescent="0.35">
      <c r="B33" s="42" t="s">
        <v>154</v>
      </c>
      <c r="C33" s="42" t="s">
        <v>155</v>
      </c>
      <c r="D33" s="42">
        <v>276654.52065013134</v>
      </c>
      <c r="E33" s="42">
        <v>0</v>
      </c>
    </row>
    <row r="34" spans="2:5" x14ac:dyDescent="0.35">
      <c r="B34" s="42" t="s">
        <v>156</v>
      </c>
      <c r="C34" s="42" t="s">
        <v>157</v>
      </c>
      <c r="D34" s="42">
        <v>0</v>
      </c>
      <c r="E34" s="50">
        <v>854.61280162033779</v>
      </c>
    </row>
    <row r="35" spans="2:5" x14ac:dyDescent="0.35">
      <c r="B35" s="42" t="s">
        <v>158</v>
      </c>
      <c r="C35" s="42" t="s">
        <v>159</v>
      </c>
      <c r="D35" s="42">
        <v>1.5279510989785194E-9</v>
      </c>
      <c r="E35" s="50">
        <v>216.144715889889</v>
      </c>
    </row>
    <row r="36" spans="2:5" x14ac:dyDescent="0.35">
      <c r="B36" s="42" t="s">
        <v>160</v>
      </c>
      <c r="C36" s="42" t="s">
        <v>161</v>
      </c>
      <c r="D36" s="42">
        <v>0</v>
      </c>
      <c r="E36" s="50">
        <v>189.37283083837875</v>
      </c>
    </row>
    <row r="37" spans="2:5" x14ac:dyDescent="0.35">
      <c r="B37" s="42" t="s">
        <v>162</v>
      </c>
      <c r="C37" s="42" t="s">
        <v>163</v>
      </c>
      <c r="D37" s="42">
        <v>0</v>
      </c>
      <c r="E37" s="50">
        <v>149.83220234337924</v>
      </c>
    </row>
    <row r="38" spans="2:5" x14ac:dyDescent="0.35">
      <c r="B38" s="42" t="s">
        <v>164</v>
      </c>
      <c r="C38" s="42" t="s">
        <v>165</v>
      </c>
      <c r="D38" s="42">
        <v>0</v>
      </c>
      <c r="E38" s="50">
        <v>95.458927922421083</v>
      </c>
    </row>
    <row r="39" spans="2:5" x14ac:dyDescent="0.35">
      <c r="B39" s="42" t="s">
        <v>170</v>
      </c>
      <c r="C39" s="42" t="s">
        <v>171</v>
      </c>
      <c r="D39" s="42">
        <v>0</v>
      </c>
      <c r="E39" s="42">
        <v>0.16697034970551586</v>
      </c>
    </row>
    <row r="40" spans="2:5" x14ac:dyDescent="0.35">
      <c r="B40" s="42" t="s">
        <v>172</v>
      </c>
      <c r="C40" s="42" t="s">
        <v>173</v>
      </c>
      <c r="D40" s="42">
        <v>0</v>
      </c>
      <c r="E40" s="42">
        <v>0.16374406964711072</v>
      </c>
    </row>
    <row r="41" spans="2:5" x14ac:dyDescent="0.35">
      <c r="B41" s="42" t="s">
        <v>174</v>
      </c>
      <c r="C41" s="42" t="s">
        <v>175</v>
      </c>
      <c r="D41" s="42">
        <v>0</v>
      </c>
      <c r="E41" s="42">
        <v>0</v>
      </c>
    </row>
    <row r="42" spans="2:5" x14ac:dyDescent="0.35">
      <c r="B42" s="42" t="s">
        <v>176</v>
      </c>
      <c r="C42" s="42" t="s">
        <v>177</v>
      </c>
      <c r="D42" s="42">
        <v>0</v>
      </c>
      <c r="E42" s="42">
        <v>0</v>
      </c>
    </row>
    <row r="43" spans="2:5" x14ac:dyDescent="0.35">
      <c r="B43" s="42" t="s">
        <v>178</v>
      </c>
      <c r="C43" s="42" t="s">
        <v>179</v>
      </c>
      <c r="D43" s="42">
        <v>0</v>
      </c>
      <c r="E43" s="42">
        <v>1.2999097459304113E-2</v>
      </c>
    </row>
    <row r="44" spans="2:5" ht="15" thickBot="1" x14ac:dyDescent="0.4">
      <c r="B44" s="43" t="s">
        <v>144</v>
      </c>
      <c r="C44" s="43" t="s">
        <v>145</v>
      </c>
      <c r="D44" s="43">
        <v>-2.6193447411060333E-10</v>
      </c>
      <c r="E44" s="51">
        <v>64.362675224231381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D96FA-B3A1-4ACA-9C39-9B46476A600C}">
  <dimension ref="A1:E44"/>
  <sheetViews>
    <sheetView showGridLines="0" workbookViewId="0">
      <selection activeCell="I34" sqref="I34"/>
    </sheetView>
  </sheetViews>
  <sheetFormatPr defaultRowHeight="14.5" x14ac:dyDescent="0.35"/>
  <cols>
    <col min="1" max="1" width="2.1796875" customWidth="1"/>
    <col min="2" max="2" width="6.08984375" bestFit="1" customWidth="1"/>
    <col min="3" max="3" width="31.36328125" bestFit="1" customWidth="1"/>
    <col min="4" max="4" width="12.453125" bestFit="1" customWidth="1"/>
    <col min="5" max="5" width="11.81640625" bestFit="1" customWidth="1"/>
  </cols>
  <sheetData>
    <row r="1" spans="1:5" x14ac:dyDescent="0.35">
      <c r="A1" s="29" t="s">
        <v>101</v>
      </c>
    </row>
    <row r="2" spans="1:5" x14ac:dyDescent="0.35">
      <c r="A2" s="29" t="s">
        <v>188</v>
      </c>
    </row>
    <row r="3" spans="1:5" x14ac:dyDescent="0.35">
      <c r="A3" s="29" t="s">
        <v>192</v>
      </c>
    </row>
    <row r="6" spans="1:5" ht="15" thickBot="1" x14ac:dyDescent="0.4">
      <c r="A6" t="s">
        <v>102</v>
      </c>
    </row>
    <row r="7" spans="1:5" x14ac:dyDescent="0.35">
      <c r="B7" s="55"/>
      <c r="C7" s="55"/>
      <c r="D7" s="55" t="s">
        <v>105</v>
      </c>
      <c r="E7" s="55" t="s">
        <v>107</v>
      </c>
    </row>
    <row r="8" spans="1:5" ht="15" thickBot="1" x14ac:dyDescent="0.4">
      <c r="B8" s="56" t="s">
        <v>103</v>
      </c>
      <c r="C8" s="56" t="s">
        <v>104</v>
      </c>
      <c r="D8" s="56" t="s">
        <v>106</v>
      </c>
      <c r="E8" s="56" t="s">
        <v>108</v>
      </c>
    </row>
    <row r="9" spans="1:5" x14ac:dyDescent="0.35">
      <c r="B9" s="42" t="s">
        <v>112</v>
      </c>
      <c r="C9" s="42" t="s">
        <v>113</v>
      </c>
      <c r="D9" s="42">
        <v>77798.838783606901</v>
      </c>
      <c r="E9" s="42">
        <v>0</v>
      </c>
    </row>
    <row r="10" spans="1:5" x14ac:dyDescent="0.35">
      <c r="B10" s="42" t="s">
        <v>114</v>
      </c>
      <c r="C10" s="42" t="s">
        <v>115</v>
      </c>
      <c r="D10" s="42">
        <v>1.1368683772161603E-13</v>
      </c>
      <c r="E10" s="42">
        <v>3408.65804498948</v>
      </c>
    </row>
    <row r="11" spans="1:5" x14ac:dyDescent="0.35">
      <c r="B11" s="42" t="s">
        <v>116</v>
      </c>
      <c r="C11" s="42" t="s">
        <v>117</v>
      </c>
      <c r="D11" s="42">
        <v>0</v>
      </c>
      <c r="E11" s="42">
        <v>0</v>
      </c>
    </row>
    <row r="12" spans="1:5" x14ac:dyDescent="0.35">
      <c r="B12" s="42" t="s">
        <v>118</v>
      </c>
      <c r="C12" s="42" t="s">
        <v>119</v>
      </c>
      <c r="D12" s="42">
        <v>68199.653553652563</v>
      </c>
      <c r="E12" s="42">
        <v>0</v>
      </c>
    </row>
    <row r="13" spans="1:5" x14ac:dyDescent="0.35">
      <c r="B13" s="42" t="s">
        <v>120</v>
      </c>
      <c r="C13" s="42" t="s">
        <v>121</v>
      </c>
      <c r="D13" s="42">
        <v>14570.160712867093</v>
      </c>
      <c r="E13" s="42">
        <v>0</v>
      </c>
    </row>
    <row r="14" spans="1:5" x14ac:dyDescent="0.35">
      <c r="B14" s="42" t="s">
        <v>122</v>
      </c>
      <c r="C14" s="42" t="s">
        <v>123</v>
      </c>
      <c r="D14" s="42">
        <v>0</v>
      </c>
      <c r="E14" s="42">
        <v>533.16730773796189</v>
      </c>
    </row>
    <row r="15" spans="1:5" x14ac:dyDescent="0.35">
      <c r="B15" s="42" t="s">
        <v>124</v>
      </c>
      <c r="C15" s="42" t="s">
        <v>125</v>
      </c>
      <c r="D15" s="42">
        <v>0</v>
      </c>
      <c r="E15" s="42">
        <v>80.689130325478629</v>
      </c>
    </row>
    <row r="16" spans="1:5" x14ac:dyDescent="0.35">
      <c r="B16" s="42" t="s">
        <v>126</v>
      </c>
      <c r="C16" s="42" t="s">
        <v>127</v>
      </c>
      <c r="D16" s="42">
        <v>43342.634620697652</v>
      </c>
      <c r="E16" s="42">
        <v>0</v>
      </c>
    </row>
    <row r="17" spans="1:5" x14ac:dyDescent="0.35">
      <c r="B17" s="42" t="s">
        <v>128</v>
      </c>
      <c r="C17" s="42" t="s">
        <v>129</v>
      </c>
      <c r="D17" s="42">
        <v>0</v>
      </c>
      <c r="E17" s="42">
        <v>96.958699270910529</v>
      </c>
    </row>
    <row r="18" spans="1:5" x14ac:dyDescent="0.35">
      <c r="B18" s="42" t="s">
        <v>130</v>
      </c>
      <c r="C18" s="42" t="s">
        <v>131</v>
      </c>
      <c r="D18" s="42">
        <v>0</v>
      </c>
      <c r="E18" s="42">
        <v>109.76992978826837</v>
      </c>
    </row>
    <row r="19" spans="1:5" x14ac:dyDescent="0.35">
      <c r="B19" s="42" t="s">
        <v>132</v>
      </c>
      <c r="C19" s="42" t="s">
        <v>133</v>
      </c>
      <c r="D19" s="42">
        <v>49737.152532886852</v>
      </c>
      <c r="E19" s="42">
        <v>0</v>
      </c>
    </row>
    <row r="20" spans="1:5" x14ac:dyDescent="0.35">
      <c r="B20" s="42" t="s">
        <v>134</v>
      </c>
      <c r="C20" s="42" t="s">
        <v>135</v>
      </c>
      <c r="D20" s="42">
        <v>10559.974291390921</v>
      </c>
      <c r="E20" s="42">
        <v>0</v>
      </c>
    </row>
    <row r="21" spans="1:5" x14ac:dyDescent="0.35">
      <c r="B21" s="42" t="s">
        <v>136</v>
      </c>
      <c r="C21" s="42" t="s">
        <v>137</v>
      </c>
      <c r="D21" s="42">
        <v>0</v>
      </c>
      <c r="E21" s="42">
        <v>0</v>
      </c>
    </row>
    <row r="22" spans="1:5" x14ac:dyDescent="0.35">
      <c r="B22" s="42" t="s">
        <v>138</v>
      </c>
      <c r="C22" s="42" t="s">
        <v>139</v>
      </c>
      <c r="D22" s="42">
        <v>49736.754053407414</v>
      </c>
      <c r="E22" s="42">
        <v>0</v>
      </c>
    </row>
    <row r="23" spans="1:5" x14ac:dyDescent="0.35">
      <c r="B23" s="42" t="s">
        <v>140</v>
      </c>
      <c r="C23" s="42" t="s">
        <v>141</v>
      </c>
      <c r="D23" s="42">
        <v>37203.755880133664</v>
      </c>
      <c r="E23" s="42">
        <v>0</v>
      </c>
    </row>
    <row r="24" spans="1:5" ht="15" thickBot="1" x14ac:dyDescent="0.4">
      <c r="B24" s="43" t="s">
        <v>142</v>
      </c>
      <c r="C24" s="43" t="s">
        <v>143</v>
      </c>
      <c r="D24" s="43">
        <v>0</v>
      </c>
      <c r="E24" s="43">
        <v>0</v>
      </c>
    </row>
    <row r="26" spans="1:5" ht="15" thickBot="1" x14ac:dyDescent="0.4">
      <c r="A26" t="s">
        <v>109</v>
      </c>
    </row>
    <row r="27" spans="1:5" x14ac:dyDescent="0.35">
      <c r="B27" s="55"/>
      <c r="C27" s="55"/>
      <c r="D27" s="55" t="s">
        <v>105</v>
      </c>
      <c r="E27" s="55" t="s">
        <v>110</v>
      </c>
    </row>
    <row r="28" spans="1:5" ht="15" thickBot="1" x14ac:dyDescent="0.4">
      <c r="B28" s="56" t="s">
        <v>103</v>
      </c>
      <c r="C28" s="56" t="s">
        <v>104</v>
      </c>
      <c r="D28" s="56" t="s">
        <v>106</v>
      </c>
      <c r="E28" s="56" t="s">
        <v>111</v>
      </c>
    </row>
    <row r="29" spans="1:5" x14ac:dyDescent="0.35">
      <c r="B29" s="42" t="s">
        <v>146</v>
      </c>
      <c r="C29" s="42" t="s">
        <v>147</v>
      </c>
      <c r="D29" s="42">
        <v>422201.16121639311</v>
      </c>
      <c r="E29" s="42">
        <v>0</v>
      </c>
    </row>
    <row r="30" spans="1:5" x14ac:dyDescent="0.35">
      <c r="B30" s="42" t="s">
        <v>148</v>
      </c>
      <c r="C30" s="42" t="s">
        <v>149</v>
      </c>
      <c r="D30" s="42">
        <v>407631.00050352601</v>
      </c>
      <c r="E30" s="42">
        <v>0</v>
      </c>
    </row>
    <row r="31" spans="1:5" x14ac:dyDescent="0.35">
      <c r="B31" s="42" t="s">
        <v>150</v>
      </c>
      <c r="C31" s="42" t="s">
        <v>151</v>
      </c>
      <c r="D31" s="42">
        <v>378858.52659569547</v>
      </c>
      <c r="E31" s="42">
        <v>0</v>
      </c>
    </row>
    <row r="32" spans="1:5" x14ac:dyDescent="0.35">
      <c r="B32" s="42" t="s">
        <v>152</v>
      </c>
      <c r="C32" s="42" t="s">
        <v>153</v>
      </c>
      <c r="D32" s="42">
        <v>361904.03439211537</v>
      </c>
      <c r="E32" s="42">
        <v>0</v>
      </c>
    </row>
    <row r="33" spans="2:5" x14ac:dyDescent="0.35">
      <c r="B33" s="42" t="s">
        <v>154</v>
      </c>
      <c r="C33" s="42" t="s">
        <v>155</v>
      </c>
      <c r="D33" s="42">
        <v>335260.65128285205</v>
      </c>
      <c r="E33" s="42">
        <v>0</v>
      </c>
    </row>
    <row r="34" spans="2:5" x14ac:dyDescent="0.35">
      <c r="B34" s="42" t="s">
        <v>156</v>
      </c>
      <c r="C34" s="42" t="s">
        <v>157</v>
      </c>
      <c r="D34" s="42">
        <v>-2.7532773856364656E-8</v>
      </c>
      <c r="E34" s="50">
        <v>952.89490480614404</v>
      </c>
    </row>
    <row r="35" spans="2:5" x14ac:dyDescent="0.35">
      <c r="B35" s="42" t="s">
        <v>158</v>
      </c>
      <c r="C35" s="42" t="s">
        <v>159</v>
      </c>
      <c r="D35" s="42">
        <v>-6.8830559030175209E-9</v>
      </c>
      <c r="E35" s="50">
        <v>233.88592141234395</v>
      </c>
    </row>
    <row r="36" spans="2:5" x14ac:dyDescent="0.35">
      <c r="B36" s="42" t="s">
        <v>160</v>
      </c>
      <c r="C36" s="42" t="s">
        <v>161</v>
      </c>
      <c r="D36" s="42">
        <v>-6.7811924964189529E-9</v>
      </c>
      <c r="E36" s="50">
        <v>204.80534381675386</v>
      </c>
    </row>
    <row r="37" spans="2:5" x14ac:dyDescent="0.35">
      <c r="B37" s="42" t="s">
        <v>162</v>
      </c>
      <c r="C37" s="42" t="s">
        <v>163</v>
      </c>
      <c r="D37" s="42">
        <v>3.378954716026783E-8</v>
      </c>
      <c r="E37" s="50">
        <v>198.34235150210756</v>
      </c>
    </row>
    <row r="38" spans="2:5" x14ac:dyDescent="0.35">
      <c r="B38" s="42" t="s">
        <v>164</v>
      </c>
      <c r="C38" s="42" t="s">
        <v>165</v>
      </c>
      <c r="D38" s="42">
        <v>-2.6775524020195007E-8</v>
      </c>
      <c r="E38" s="50">
        <v>198.34235150210759</v>
      </c>
    </row>
    <row r="39" spans="2:5" x14ac:dyDescent="0.35">
      <c r="B39" s="42" t="s">
        <v>170</v>
      </c>
      <c r="C39" s="42" t="s">
        <v>171</v>
      </c>
      <c r="D39" s="42">
        <v>0</v>
      </c>
      <c r="E39" s="42">
        <v>0.16595832456624976</v>
      </c>
    </row>
    <row r="40" spans="2:5" x14ac:dyDescent="0.35">
      <c r="B40" s="42" t="s">
        <v>172</v>
      </c>
      <c r="C40" s="42" t="s">
        <v>173</v>
      </c>
      <c r="D40" s="42">
        <v>0</v>
      </c>
      <c r="E40" s="42">
        <v>0</v>
      </c>
    </row>
    <row r="41" spans="2:5" x14ac:dyDescent="0.35">
      <c r="B41" s="42" t="s">
        <v>174</v>
      </c>
      <c r="C41" s="42" t="s">
        <v>175</v>
      </c>
      <c r="D41" s="42">
        <v>0</v>
      </c>
      <c r="E41" s="42">
        <v>0</v>
      </c>
    </row>
    <row r="42" spans="2:5" x14ac:dyDescent="0.35">
      <c r="B42" s="42" t="s">
        <v>176</v>
      </c>
      <c r="C42" s="42" t="s">
        <v>177</v>
      </c>
      <c r="D42" s="42">
        <v>0</v>
      </c>
      <c r="E42" s="42">
        <v>1.1006936636802406E-2</v>
      </c>
    </row>
    <row r="43" spans="2:5" x14ac:dyDescent="0.35">
      <c r="B43" s="42" t="s">
        <v>178</v>
      </c>
      <c r="C43" s="42" t="s">
        <v>179</v>
      </c>
      <c r="D43" s="42">
        <v>0</v>
      </c>
      <c r="E43" s="42">
        <v>3.1242266439165996E-3</v>
      </c>
    </row>
    <row r="44" spans="2:5" ht="15" thickBot="1" x14ac:dyDescent="0.4">
      <c r="B44" s="43" t="s">
        <v>144</v>
      </c>
      <c r="C44" s="43" t="s">
        <v>145</v>
      </c>
      <c r="D44" s="43">
        <v>-1.2078089639544487E-8</v>
      </c>
      <c r="E44" s="51">
        <v>115.80438599682202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7F22-5381-4679-A72C-EBD5E4948E3D}">
  <dimension ref="A1:E44"/>
  <sheetViews>
    <sheetView showGridLines="0" workbookViewId="0">
      <selection activeCell="E44" sqref="E44"/>
    </sheetView>
  </sheetViews>
  <sheetFormatPr defaultRowHeight="14.5" x14ac:dyDescent="0.35"/>
  <cols>
    <col min="1" max="1" width="2.1796875" customWidth="1"/>
    <col min="2" max="2" width="6.08984375" bestFit="1" customWidth="1"/>
    <col min="3" max="3" width="31.36328125" bestFit="1" customWidth="1"/>
    <col min="4" max="5" width="11.81640625" bestFit="1" customWidth="1"/>
  </cols>
  <sheetData>
    <row r="1" spans="1:5" x14ac:dyDescent="0.35">
      <c r="A1" s="29" t="s">
        <v>101</v>
      </c>
    </row>
    <row r="2" spans="1:5" x14ac:dyDescent="0.35">
      <c r="A2" s="29" t="s">
        <v>188</v>
      </c>
    </row>
    <row r="3" spans="1:5" x14ac:dyDescent="0.35">
      <c r="A3" s="29" t="s">
        <v>190</v>
      </c>
    </row>
    <row r="6" spans="1:5" ht="15" thickBot="1" x14ac:dyDescent="0.4">
      <c r="A6" t="s">
        <v>102</v>
      </c>
    </row>
    <row r="7" spans="1:5" x14ac:dyDescent="0.35">
      <c r="B7" s="53"/>
      <c r="C7" s="53"/>
      <c r="D7" s="53" t="s">
        <v>105</v>
      </c>
      <c r="E7" s="53" t="s">
        <v>107</v>
      </c>
    </row>
    <row r="8" spans="1:5" ht="15" thickBot="1" x14ac:dyDescent="0.4">
      <c r="B8" s="54" t="s">
        <v>103</v>
      </c>
      <c r="C8" s="54" t="s">
        <v>104</v>
      </c>
      <c r="D8" s="54" t="s">
        <v>106</v>
      </c>
      <c r="E8" s="54" t="s">
        <v>108</v>
      </c>
    </row>
    <row r="9" spans="1:5" x14ac:dyDescent="0.35">
      <c r="B9" s="42" t="s">
        <v>112</v>
      </c>
      <c r="C9" s="42" t="s">
        <v>113</v>
      </c>
      <c r="D9" s="42">
        <v>116282.64684022753</v>
      </c>
      <c r="E9" s="42">
        <v>0</v>
      </c>
    </row>
    <row r="10" spans="1:5" x14ac:dyDescent="0.35">
      <c r="B10" s="42" t="s">
        <v>114</v>
      </c>
      <c r="C10" s="42" t="s">
        <v>115</v>
      </c>
      <c r="D10" s="42">
        <v>18624.328159862238</v>
      </c>
      <c r="E10" s="42">
        <v>0</v>
      </c>
    </row>
    <row r="11" spans="1:5" x14ac:dyDescent="0.35">
      <c r="B11" s="42" t="s">
        <v>116</v>
      </c>
      <c r="C11" s="42" t="s">
        <v>117</v>
      </c>
      <c r="D11" s="42">
        <v>0</v>
      </c>
      <c r="E11" s="42">
        <v>0</v>
      </c>
    </row>
    <row r="12" spans="1:5" x14ac:dyDescent="0.35">
      <c r="B12" s="42" t="s">
        <v>118</v>
      </c>
      <c r="C12" s="42" t="s">
        <v>119</v>
      </c>
      <c r="D12" s="42">
        <v>314970.50063785934</v>
      </c>
      <c r="E12" s="42">
        <v>0</v>
      </c>
    </row>
    <row r="13" spans="1:5" x14ac:dyDescent="0.35">
      <c r="B13" s="42" t="s">
        <v>120</v>
      </c>
      <c r="C13" s="42" t="s">
        <v>121</v>
      </c>
      <c r="D13" s="42">
        <v>18624.33357414887</v>
      </c>
      <c r="E13" s="42">
        <v>0</v>
      </c>
    </row>
    <row r="14" spans="1:5" x14ac:dyDescent="0.35">
      <c r="B14" s="42" t="s">
        <v>122</v>
      </c>
      <c r="C14" s="42" t="s">
        <v>123</v>
      </c>
      <c r="D14" s="42">
        <v>0</v>
      </c>
      <c r="E14" s="42">
        <v>0</v>
      </c>
    </row>
    <row r="15" spans="1:5" x14ac:dyDescent="0.35">
      <c r="B15" s="42" t="s">
        <v>124</v>
      </c>
      <c r="C15" s="42" t="s">
        <v>125</v>
      </c>
      <c r="D15" s="42">
        <v>176251.29543905667</v>
      </c>
      <c r="E15" s="42">
        <v>0</v>
      </c>
    </row>
    <row r="16" spans="1:5" x14ac:dyDescent="0.35">
      <c r="B16" s="42" t="s">
        <v>126</v>
      </c>
      <c r="C16" s="42" t="s">
        <v>127</v>
      </c>
      <c r="D16" s="42">
        <v>18624.327667948874</v>
      </c>
      <c r="E16" s="42">
        <v>0</v>
      </c>
    </row>
    <row r="17" spans="1:5" x14ac:dyDescent="0.35">
      <c r="B17" s="42" t="s">
        <v>128</v>
      </c>
      <c r="C17" s="42" t="s">
        <v>129</v>
      </c>
      <c r="D17" s="42">
        <v>0</v>
      </c>
      <c r="E17" s="42">
        <v>0</v>
      </c>
    </row>
    <row r="18" spans="1:5" x14ac:dyDescent="0.35">
      <c r="B18" s="42" t="s">
        <v>130</v>
      </c>
      <c r="C18" s="42" t="s">
        <v>131</v>
      </c>
      <c r="D18" s="42">
        <v>36992.493139148704</v>
      </c>
      <c r="E18" s="42">
        <v>0</v>
      </c>
    </row>
    <row r="19" spans="1:5" x14ac:dyDescent="0.35">
      <c r="B19" s="42" t="s">
        <v>132</v>
      </c>
      <c r="C19" s="42" t="s">
        <v>133</v>
      </c>
      <c r="D19" s="42">
        <v>50102.961537112402</v>
      </c>
      <c r="E19" s="42">
        <v>0</v>
      </c>
    </row>
    <row r="20" spans="1:5" x14ac:dyDescent="0.35">
      <c r="B20" s="42" t="s">
        <v>134</v>
      </c>
      <c r="C20" s="42" t="s">
        <v>135</v>
      </c>
      <c r="D20" s="42">
        <v>0</v>
      </c>
      <c r="E20" s="42">
        <v>1402.0802193902437</v>
      </c>
    </row>
    <row r="21" spans="1:5" x14ac:dyDescent="0.35">
      <c r="B21" s="42" t="s">
        <v>136</v>
      </c>
      <c r="C21" s="42" t="s">
        <v>137</v>
      </c>
      <c r="D21" s="42">
        <v>0</v>
      </c>
      <c r="E21" s="42">
        <v>31.824427979862222</v>
      </c>
    </row>
    <row r="22" spans="1:5" x14ac:dyDescent="0.35">
      <c r="B22" s="42" t="s">
        <v>138</v>
      </c>
      <c r="C22" s="42" t="s">
        <v>139</v>
      </c>
      <c r="D22" s="42">
        <v>132676.26632851738</v>
      </c>
      <c r="E22" s="42">
        <v>0</v>
      </c>
    </row>
    <row r="23" spans="1:5" x14ac:dyDescent="0.35">
      <c r="B23" s="42" t="s">
        <v>140</v>
      </c>
      <c r="C23" s="42" t="s">
        <v>141</v>
      </c>
      <c r="D23" s="42">
        <v>0</v>
      </c>
      <c r="E23" s="42">
        <v>150.24030394071769</v>
      </c>
    </row>
    <row r="24" spans="1:5" ht="15" thickBot="1" x14ac:dyDescent="0.4">
      <c r="B24" s="43" t="s">
        <v>142</v>
      </c>
      <c r="C24" s="43" t="s">
        <v>143</v>
      </c>
      <c r="D24" s="43">
        <v>0</v>
      </c>
      <c r="E24" s="43">
        <v>115.29399199818468</v>
      </c>
    </row>
    <row r="26" spans="1:5" ht="15" thickBot="1" x14ac:dyDescent="0.4">
      <c r="A26" t="s">
        <v>109</v>
      </c>
    </row>
    <row r="27" spans="1:5" x14ac:dyDescent="0.35">
      <c r="B27" s="53"/>
      <c r="C27" s="53"/>
      <c r="D27" s="53" t="s">
        <v>105</v>
      </c>
      <c r="E27" s="53" t="s">
        <v>110</v>
      </c>
    </row>
    <row r="28" spans="1:5" ht="15" thickBot="1" x14ac:dyDescent="0.4">
      <c r="B28" s="54" t="s">
        <v>103</v>
      </c>
      <c r="C28" s="54" t="s">
        <v>104</v>
      </c>
      <c r="D28" s="54" t="s">
        <v>106</v>
      </c>
      <c r="E28" s="54" t="s">
        <v>111</v>
      </c>
    </row>
    <row r="29" spans="1:5" x14ac:dyDescent="0.35">
      <c r="B29" s="42" t="s">
        <v>146</v>
      </c>
      <c r="C29" s="42" t="s">
        <v>147</v>
      </c>
      <c r="D29" s="42">
        <v>365093.02499991021</v>
      </c>
      <c r="E29" s="42">
        <v>0</v>
      </c>
    </row>
    <row r="30" spans="1:5" x14ac:dyDescent="0.35">
      <c r="B30" s="42" t="s">
        <v>148</v>
      </c>
      <c r="C30" s="42" t="s">
        <v>149</v>
      </c>
      <c r="D30" s="42">
        <v>365093.01958562358</v>
      </c>
      <c r="E30" s="42">
        <v>0</v>
      </c>
    </row>
    <row r="31" spans="1:5" x14ac:dyDescent="0.35">
      <c r="B31" s="42" t="s">
        <v>150</v>
      </c>
      <c r="C31" s="42" t="s">
        <v>151</v>
      </c>
      <c r="D31" s="42">
        <v>365093.02549182362</v>
      </c>
      <c r="E31" s="42">
        <v>0</v>
      </c>
    </row>
    <row r="32" spans="1:5" x14ac:dyDescent="0.35">
      <c r="B32" s="42" t="s">
        <v>152</v>
      </c>
      <c r="C32" s="42" t="s">
        <v>153</v>
      </c>
      <c r="D32" s="42">
        <v>333614.39162266004</v>
      </c>
      <c r="E32" s="42">
        <v>0</v>
      </c>
    </row>
    <row r="33" spans="2:5" x14ac:dyDescent="0.35">
      <c r="B33" s="42" t="s">
        <v>154</v>
      </c>
      <c r="C33" s="42" t="s">
        <v>155</v>
      </c>
      <c r="D33" s="42">
        <v>251041.08683125509</v>
      </c>
      <c r="E33" s="42">
        <v>0</v>
      </c>
    </row>
    <row r="34" spans="2:5" x14ac:dyDescent="0.35">
      <c r="B34" s="42" t="s">
        <v>156</v>
      </c>
      <c r="C34" s="42" t="s">
        <v>157</v>
      </c>
      <c r="D34" s="42">
        <v>0</v>
      </c>
      <c r="E34" s="50">
        <v>213.2281845153463</v>
      </c>
    </row>
    <row r="35" spans="2:5" x14ac:dyDescent="0.35">
      <c r="B35" s="42" t="s">
        <v>158</v>
      </c>
      <c r="C35" s="42" t="s">
        <v>159</v>
      </c>
      <c r="D35" s="42">
        <v>0</v>
      </c>
      <c r="E35" s="50">
        <v>213.22818451534624</v>
      </c>
    </row>
    <row r="36" spans="2:5" x14ac:dyDescent="0.35">
      <c r="B36" s="42" t="s">
        <v>160</v>
      </c>
      <c r="C36" s="42" t="s">
        <v>161</v>
      </c>
      <c r="D36" s="42">
        <v>0</v>
      </c>
      <c r="E36" s="50">
        <v>213.22818451534621</v>
      </c>
    </row>
    <row r="37" spans="2:5" x14ac:dyDescent="0.35">
      <c r="B37" s="42" t="s">
        <v>162</v>
      </c>
      <c r="C37" s="42" t="s">
        <v>163</v>
      </c>
      <c r="D37" s="42">
        <v>0</v>
      </c>
      <c r="E37" s="50">
        <v>181.4124753718167</v>
      </c>
    </row>
    <row r="38" spans="2:5" x14ac:dyDescent="0.35">
      <c r="B38" s="42" t="s">
        <v>164</v>
      </c>
      <c r="C38" s="42" t="s">
        <v>165</v>
      </c>
      <c r="D38" s="42">
        <v>0</v>
      </c>
      <c r="E38" s="50">
        <v>97.954950811177696</v>
      </c>
    </row>
    <row r="39" spans="2:5" x14ac:dyDescent="0.35">
      <c r="B39" s="42" t="s">
        <v>170</v>
      </c>
      <c r="C39" s="42" t="s">
        <v>171</v>
      </c>
      <c r="D39" s="42">
        <v>0</v>
      </c>
      <c r="E39" s="42">
        <v>5.9666012896277812E-3</v>
      </c>
    </row>
    <row r="40" spans="2:5" x14ac:dyDescent="0.35">
      <c r="B40" s="42" t="s">
        <v>172</v>
      </c>
      <c r="C40" s="42" t="s">
        <v>173</v>
      </c>
      <c r="D40" s="42">
        <v>0</v>
      </c>
      <c r="E40" s="42">
        <v>1.0662670433198749E-2</v>
      </c>
    </row>
    <row r="41" spans="2:5" x14ac:dyDescent="0.35">
      <c r="B41" s="42" t="s">
        <v>174</v>
      </c>
      <c r="C41" s="42" t="s">
        <v>175</v>
      </c>
      <c r="D41" s="42">
        <v>0</v>
      </c>
      <c r="E41" s="42">
        <v>5.0802627363791847E-2</v>
      </c>
    </row>
    <row r="42" spans="2:5" x14ac:dyDescent="0.35">
      <c r="B42" s="42" t="s">
        <v>176</v>
      </c>
      <c r="C42" s="42" t="s">
        <v>177</v>
      </c>
      <c r="D42" s="42">
        <v>0</v>
      </c>
      <c r="E42" s="42">
        <v>0</v>
      </c>
    </row>
    <row r="43" spans="2:5" x14ac:dyDescent="0.35">
      <c r="B43" s="42" t="s">
        <v>178</v>
      </c>
      <c r="C43" s="42" t="s">
        <v>179</v>
      </c>
      <c r="D43" s="42">
        <v>0</v>
      </c>
      <c r="E43" s="42">
        <v>0</v>
      </c>
    </row>
    <row r="44" spans="2:5" ht="15" thickBot="1" x14ac:dyDescent="0.4">
      <c r="B44" s="43" t="s">
        <v>144</v>
      </c>
      <c r="C44" s="43" t="s">
        <v>145</v>
      </c>
      <c r="D44" s="43">
        <v>0</v>
      </c>
      <c r="E44" s="51">
        <v>60.603895571882205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3BF14-977A-42CE-9F53-36D524BA6E40}">
  <dimension ref="A1:E44"/>
  <sheetViews>
    <sheetView showGridLines="0" workbookViewId="0">
      <selection activeCell="E44" sqref="E44"/>
    </sheetView>
  </sheetViews>
  <sheetFormatPr defaultRowHeight="14.5" x14ac:dyDescent="0.35"/>
  <cols>
    <col min="1" max="1" width="2.1796875" customWidth="1"/>
    <col min="2" max="2" width="6.08984375" bestFit="1" customWidth="1"/>
    <col min="3" max="3" width="31.36328125" bestFit="1" customWidth="1"/>
    <col min="4" max="4" width="12.453125" bestFit="1" customWidth="1"/>
    <col min="5" max="5" width="11.81640625" bestFit="1" customWidth="1"/>
  </cols>
  <sheetData>
    <row r="1" spans="1:5" x14ac:dyDescent="0.35">
      <c r="A1" s="29" t="s">
        <v>101</v>
      </c>
    </row>
    <row r="2" spans="1:5" x14ac:dyDescent="0.35">
      <c r="A2" s="29" t="s">
        <v>203</v>
      </c>
    </row>
    <row r="3" spans="1:5" x14ac:dyDescent="0.35">
      <c r="A3" s="29" t="s">
        <v>204</v>
      </c>
    </row>
    <row r="6" spans="1:5" ht="15" thickBot="1" x14ac:dyDescent="0.4">
      <c r="A6" t="s">
        <v>102</v>
      </c>
    </row>
    <row r="7" spans="1:5" x14ac:dyDescent="0.35">
      <c r="B7" s="66"/>
      <c r="C7" s="66"/>
      <c r="D7" s="66" t="s">
        <v>105</v>
      </c>
      <c r="E7" s="66" t="s">
        <v>107</v>
      </c>
    </row>
    <row r="8" spans="1:5" ht="15" thickBot="1" x14ac:dyDescent="0.4">
      <c r="B8" s="67" t="s">
        <v>103</v>
      </c>
      <c r="C8" s="67" t="s">
        <v>104</v>
      </c>
      <c r="D8" s="67" t="s">
        <v>106</v>
      </c>
      <c r="E8" s="67" t="s">
        <v>108</v>
      </c>
    </row>
    <row r="9" spans="1:5" x14ac:dyDescent="0.35">
      <c r="B9" s="42" t="s">
        <v>112</v>
      </c>
      <c r="C9" s="42" t="s">
        <v>113</v>
      </c>
      <c r="D9" s="42">
        <v>106477.78963512497</v>
      </c>
      <c r="E9" s="42">
        <v>0</v>
      </c>
    </row>
    <row r="10" spans="1:5" x14ac:dyDescent="0.35">
      <c r="B10" s="42" t="s">
        <v>114</v>
      </c>
      <c r="C10" s="42" t="s">
        <v>115</v>
      </c>
      <c r="D10" s="42">
        <v>0</v>
      </c>
      <c r="E10" s="42">
        <v>189.18265902124108</v>
      </c>
    </row>
    <row r="11" spans="1:5" x14ac:dyDescent="0.35">
      <c r="B11" s="42" t="s">
        <v>116</v>
      </c>
      <c r="C11" s="42" t="s">
        <v>117</v>
      </c>
      <c r="D11" s="42">
        <v>0</v>
      </c>
      <c r="E11" s="42">
        <v>0</v>
      </c>
    </row>
    <row r="12" spans="1:5" x14ac:dyDescent="0.35">
      <c r="B12" s="42" t="s">
        <v>118</v>
      </c>
      <c r="C12" s="42" t="s">
        <v>119</v>
      </c>
      <c r="D12" s="42">
        <v>184922.98351992096</v>
      </c>
      <c r="E12" s="42">
        <v>0</v>
      </c>
    </row>
    <row r="13" spans="1:5" x14ac:dyDescent="0.35">
      <c r="B13" s="42" t="s">
        <v>120</v>
      </c>
      <c r="C13" s="42" t="s">
        <v>121</v>
      </c>
      <c r="D13" s="42">
        <v>0</v>
      </c>
      <c r="E13" s="42">
        <v>189.18242909985497</v>
      </c>
    </row>
    <row r="14" spans="1:5" x14ac:dyDescent="0.35">
      <c r="B14" s="42" t="s">
        <v>122</v>
      </c>
      <c r="C14" s="42" t="s">
        <v>123</v>
      </c>
      <c r="D14" s="42">
        <v>0</v>
      </c>
      <c r="E14" s="42">
        <v>0</v>
      </c>
    </row>
    <row r="15" spans="1:5" x14ac:dyDescent="0.35">
      <c r="B15" s="42" t="s">
        <v>124</v>
      </c>
      <c r="C15" s="42" t="s">
        <v>125</v>
      </c>
      <c r="D15" s="42">
        <v>46203.752115971052</v>
      </c>
      <c r="E15" s="42">
        <v>0</v>
      </c>
    </row>
    <row r="16" spans="1:5" x14ac:dyDescent="0.35">
      <c r="B16" s="42" t="s">
        <v>126</v>
      </c>
      <c r="C16" s="42" t="s">
        <v>127</v>
      </c>
      <c r="D16" s="42">
        <v>19226.244131890344</v>
      </c>
      <c r="E16" s="42">
        <v>0</v>
      </c>
    </row>
    <row r="17" spans="1:5" x14ac:dyDescent="0.35">
      <c r="B17" s="42" t="s">
        <v>128</v>
      </c>
      <c r="C17" s="42" t="s">
        <v>129</v>
      </c>
      <c r="D17" s="42">
        <v>0</v>
      </c>
      <c r="E17" s="42">
        <v>933.00621992871447</v>
      </c>
    </row>
    <row r="18" spans="1:5" x14ac:dyDescent="0.35">
      <c r="B18" s="42" t="s">
        <v>130</v>
      </c>
      <c r="C18" s="42" t="s">
        <v>131</v>
      </c>
      <c r="D18" s="42">
        <v>0</v>
      </c>
      <c r="E18" s="42">
        <v>58.566317500828603</v>
      </c>
    </row>
    <row r="19" spans="1:5" x14ac:dyDescent="0.35">
      <c r="B19" s="42" t="s">
        <v>132</v>
      </c>
      <c r="C19" s="42" t="s">
        <v>133</v>
      </c>
      <c r="D19" s="42">
        <v>58347.955095919307</v>
      </c>
      <c r="E19" s="42">
        <v>0</v>
      </c>
    </row>
    <row r="20" spans="1:5" x14ac:dyDescent="0.35">
      <c r="B20" s="42" t="s">
        <v>134</v>
      </c>
      <c r="C20" s="42" t="s">
        <v>135</v>
      </c>
      <c r="D20" s="42">
        <v>0</v>
      </c>
      <c r="E20" s="42">
        <v>339.89686792148541</v>
      </c>
    </row>
    <row r="21" spans="1:5" x14ac:dyDescent="0.35">
      <c r="B21" s="42" t="s">
        <v>136</v>
      </c>
      <c r="C21" s="42" t="s">
        <v>137</v>
      </c>
      <c r="D21" s="42">
        <v>0</v>
      </c>
      <c r="E21" s="42">
        <v>98.107247666882955</v>
      </c>
    </row>
    <row r="22" spans="1:5" x14ac:dyDescent="0.35">
      <c r="B22" s="42" t="s">
        <v>138</v>
      </c>
      <c r="C22" s="42" t="s">
        <v>139</v>
      </c>
      <c r="D22" s="42">
        <v>80766.768040857292</v>
      </c>
      <c r="E22" s="42">
        <v>0</v>
      </c>
    </row>
    <row r="23" spans="1:5" x14ac:dyDescent="0.35">
      <c r="B23" s="42" t="s">
        <v>140</v>
      </c>
      <c r="C23" s="42" t="s">
        <v>141</v>
      </c>
      <c r="D23" s="42">
        <v>19409.849369182713</v>
      </c>
      <c r="E23" s="42">
        <v>0</v>
      </c>
    </row>
    <row r="24" spans="1:5" ht="15" thickBot="1" x14ac:dyDescent="0.4">
      <c r="B24" s="43" t="s">
        <v>142</v>
      </c>
      <c r="C24" s="43" t="s">
        <v>143</v>
      </c>
      <c r="D24" s="43">
        <v>0</v>
      </c>
      <c r="E24" s="43">
        <v>0</v>
      </c>
    </row>
    <row r="26" spans="1:5" ht="15" thickBot="1" x14ac:dyDescent="0.4">
      <c r="A26" t="s">
        <v>109</v>
      </c>
    </row>
    <row r="27" spans="1:5" x14ac:dyDescent="0.35">
      <c r="B27" s="66"/>
      <c r="C27" s="66"/>
      <c r="D27" s="66" t="s">
        <v>105</v>
      </c>
      <c r="E27" s="66" t="s">
        <v>110</v>
      </c>
    </row>
    <row r="28" spans="1:5" ht="15" thickBot="1" x14ac:dyDescent="0.4">
      <c r="B28" s="67" t="s">
        <v>103</v>
      </c>
      <c r="C28" s="67" t="s">
        <v>104</v>
      </c>
      <c r="D28" s="67" t="s">
        <v>106</v>
      </c>
      <c r="E28" s="67" t="s">
        <v>111</v>
      </c>
    </row>
    <row r="29" spans="1:5" x14ac:dyDescent="0.35">
      <c r="B29" s="42" t="s">
        <v>146</v>
      </c>
      <c r="C29" s="42" t="s">
        <v>147</v>
      </c>
      <c r="D29" s="42">
        <v>393522.21036487503</v>
      </c>
      <c r="E29" s="42">
        <v>0</v>
      </c>
    </row>
    <row r="30" spans="1:5" x14ac:dyDescent="0.35">
      <c r="B30" s="42" t="s">
        <v>148</v>
      </c>
      <c r="C30" s="42" t="s">
        <v>149</v>
      </c>
      <c r="D30" s="42">
        <v>393522.21036487503</v>
      </c>
      <c r="E30" s="42">
        <v>0</v>
      </c>
    </row>
    <row r="31" spans="1:5" x14ac:dyDescent="0.35">
      <c r="B31" s="42" t="s">
        <v>150</v>
      </c>
      <c r="C31" s="42" t="s">
        <v>151</v>
      </c>
      <c r="D31" s="42">
        <v>374295.96623298468</v>
      </c>
      <c r="E31" s="42">
        <v>0</v>
      </c>
    </row>
    <row r="32" spans="1:5" x14ac:dyDescent="0.35">
      <c r="B32" s="42" t="s">
        <v>152</v>
      </c>
      <c r="C32" s="42" t="s">
        <v>153</v>
      </c>
      <c r="D32" s="42">
        <v>335174.25526895572</v>
      </c>
      <c r="E32" s="42">
        <v>0</v>
      </c>
    </row>
    <row r="33" spans="2:5" x14ac:dyDescent="0.35">
      <c r="B33" s="42" t="s">
        <v>154</v>
      </c>
      <c r="C33" s="42" t="s">
        <v>155</v>
      </c>
      <c r="D33" s="42">
        <v>293345.59295483504</v>
      </c>
      <c r="E33" s="42">
        <v>0</v>
      </c>
    </row>
    <row r="34" spans="2:5" x14ac:dyDescent="0.35">
      <c r="B34" s="42" t="s">
        <v>156</v>
      </c>
      <c r="C34" s="42" t="s">
        <v>157</v>
      </c>
      <c r="D34" s="42">
        <v>5.6228600442409515E-7</v>
      </c>
      <c r="E34" s="50">
        <v>282.13181526663539</v>
      </c>
    </row>
    <row r="35" spans="2:5" x14ac:dyDescent="0.35">
      <c r="B35" s="42" t="s">
        <v>158</v>
      </c>
      <c r="C35" s="42" t="s">
        <v>159</v>
      </c>
      <c r="D35" s="42">
        <v>5.6234421208500862E-7</v>
      </c>
      <c r="E35" s="50">
        <v>282.13176776221826</v>
      </c>
    </row>
    <row r="36" spans="2:5" x14ac:dyDescent="0.35">
      <c r="B36" s="42" t="s">
        <v>160</v>
      </c>
      <c r="C36" s="42" t="s">
        <v>161</v>
      </c>
      <c r="D36" s="42">
        <v>1.4202669262886047E-7</v>
      </c>
      <c r="E36" s="50">
        <v>223.64552299560188</v>
      </c>
    </row>
    <row r="37" spans="2:5" x14ac:dyDescent="0.35">
      <c r="B37" s="42" t="s">
        <v>162</v>
      </c>
      <c r="C37" s="42" t="s">
        <v>163</v>
      </c>
      <c r="D37" s="42">
        <v>1.4202669262886047E-7</v>
      </c>
      <c r="E37" s="50">
        <v>184.10489450060234</v>
      </c>
    </row>
    <row r="38" spans="2:5" x14ac:dyDescent="0.35">
      <c r="B38" s="42" t="s">
        <v>164</v>
      </c>
      <c r="C38" s="42" t="s">
        <v>165</v>
      </c>
      <c r="D38" s="42">
        <v>-6.9860834628343582E-7</v>
      </c>
      <c r="E38" s="50">
        <v>161.44602221650513</v>
      </c>
    </row>
    <row r="39" spans="2:5" x14ac:dyDescent="0.35">
      <c r="B39" s="42" t="s">
        <v>170</v>
      </c>
      <c r="C39" s="42" t="s">
        <v>171</v>
      </c>
      <c r="D39" s="42">
        <v>0</v>
      </c>
      <c r="E39" s="42">
        <v>9.7894834358146117E-3</v>
      </c>
    </row>
    <row r="40" spans="2:5" x14ac:dyDescent="0.35">
      <c r="B40" s="42" t="s">
        <v>172</v>
      </c>
      <c r="C40" s="42" t="s">
        <v>173</v>
      </c>
      <c r="D40" s="42">
        <v>0</v>
      </c>
      <c r="E40" s="42">
        <v>3.9180794347305592E-2</v>
      </c>
    </row>
    <row r="41" spans="2:5" x14ac:dyDescent="0.35">
      <c r="B41" s="42" t="s">
        <v>174</v>
      </c>
      <c r="C41" s="42" t="s">
        <v>175</v>
      </c>
      <c r="D41" s="42">
        <v>0</v>
      </c>
      <c r="E41" s="42">
        <v>0</v>
      </c>
    </row>
    <row r="42" spans="2:5" x14ac:dyDescent="0.35">
      <c r="B42" s="42" t="s">
        <v>176</v>
      </c>
      <c r="C42" s="42" t="s">
        <v>177</v>
      </c>
      <c r="D42" s="42">
        <v>0</v>
      </c>
      <c r="E42" s="42">
        <v>0</v>
      </c>
    </row>
    <row r="43" spans="2:5" x14ac:dyDescent="0.35">
      <c r="B43" s="42" t="s">
        <v>178</v>
      </c>
      <c r="C43" s="42" t="s">
        <v>179</v>
      </c>
      <c r="D43" s="42">
        <v>0</v>
      </c>
      <c r="E43" s="42">
        <v>6.221907704329975E-3</v>
      </c>
    </row>
    <row r="44" spans="2:5" ht="15" thickBot="1" x14ac:dyDescent="0.4">
      <c r="B44" s="43" t="s">
        <v>144</v>
      </c>
      <c r="C44" s="43" t="s">
        <v>145</v>
      </c>
      <c r="D44" s="43">
        <v>2.3975735530257225E-7</v>
      </c>
      <c r="E44" s="51">
        <v>97.356221354020789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B16B6-35A4-4C2B-BCDD-216D5F8C9C7D}">
  <dimension ref="A1:E44"/>
  <sheetViews>
    <sheetView showGridLines="0" workbookViewId="0">
      <selection activeCell="E44" sqref="E44"/>
    </sheetView>
  </sheetViews>
  <sheetFormatPr defaultRowHeight="14.5" x14ac:dyDescent="0.35"/>
  <cols>
    <col min="1" max="1" width="2.1796875" customWidth="1"/>
    <col min="2" max="2" width="6.08984375" bestFit="1" customWidth="1"/>
    <col min="3" max="3" width="31.36328125" bestFit="1" customWidth="1"/>
    <col min="4" max="4" width="12.453125" bestFit="1" customWidth="1"/>
    <col min="5" max="5" width="11.81640625" bestFit="1" customWidth="1"/>
  </cols>
  <sheetData>
    <row r="1" spans="1:5" x14ac:dyDescent="0.35">
      <c r="A1" s="29" t="s">
        <v>101</v>
      </c>
    </row>
    <row r="2" spans="1:5" x14ac:dyDescent="0.35">
      <c r="A2" s="29" t="s">
        <v>203</v>
      </c>
    </row>
    <row r="3" spans="1:5" x14ac:dyDescent="0.35">
      <c r="A3" s="29" t="s">
        <v>205</v>
      </c>
    </row>
    <row r="6" spans="1:5" ht="15" thickBot="1" x14ac:dyDescent="0.4">
      <c r="A6" t="s">
        <v>102</v>
      </c>
    </row>
    <row r="7" spans="1:5" x14ac:dyDescent="0.35">
      <c r="B7" s="66"/>
      <c r="C7" s="66"/>
      <c r="D7" s="66" t="s">
        <v>105</v>
      </c>
      <c r="E7" s="66" t="s">
        <v>107</v>
      </c>
    </row>
    <row r="8" spans="1:5" ht="15" thickBot="1" x14ac:dyDescent="0.4">
      <c r="B8" s="67" t="s">
        <v>103</v>
      </c>
      <c r="C8" s="67" t="s">
        <v>104</v>
      </c>
      <c r="D8" s="67" t="s">
        <v>106</v>
      </c>
      <c r="E8" s="67" t="s">
        <v>108</v>
      </c>
    </row>
    <row r="9" spans="1:5" x14ac:dyDescent="0.35">
      <c r="B9" s="42" t="s">
        <v>112</v>
      </c>
      <c r="C9" s="42" t="s">
        <v>113</v>
      </c>
      <c r="D9" s="42">
        <v>95670.853293396445</v>
      </c>
      <c r="E9" s="42">
        <v>0</v>
      </c>
    </row>
    <row r="10" spans="1:5" x14ac:dyDescent="0.35">
      <c r="B10" s="42" t="s">
        <v>114</v>
      </c>
      <c r="C10" s="42" t="s">
        <v>115</v>
      </c>
      <c r="D10" s="42">
        <v>-4.5474735088646412E-13</v>
      </c>
      <c r="E10" s="42">
        <v>427.67399711343342</v>
      </c>
    </row>
    <row r="11" spans="1:5" x14ac:dyDescent="0.35">
      <c r="B11" s="42" t="s">
        <v>116</v>
      </c>
      <c r="C11" s="42" t="s">
        <v>117</v>
      </c>
      <c r="D11" s="42">
        <v>0</v>
      </c>
      <c r="E11" s="42">
        <v>0</v>
      </c>
    </row>
    <row r="12" spans="1:5" x14ac:dyDescent="0.35">
      <c r="B12" s="42" t="s">
        <v>118</v>
      </c>
      <c r="C12" s="42" t="s">
        <v>119</v>
      </c>
      <c r="D12" s="42">
        <v>140938.75260853412</v>
      </c>
      <c r="E12" s="42">
        <v>0</v>
      </c>
    </row>
    <row r="13" spans="1:5" x14ac:dyDescent="0.35">
      <c r="B13" s="42" t="s">
        <v>120</v>
      </c>
      <c r="C13" s="42" t="s">
        <v>121</v>
      </c>
      <c r="D13" s="42">
        <v>0</v>
      </c>
      <c r="E13" s="42">
        <v>427.67432133787725</v>
      </c>
    </row>
    <row r="14" spans="1:5" x14ac:dyDescent="0.35">
      <c r="B14" s="42" t="s">
        <v>122</v>
      </c>
      <c r="C14" s="42" t="s">
        <v>123</v>
      </c>
      <c r="D14" s="42">
        <v>0</v>
      </c>
      <c r="E14" s="42">
        <v>0</v>
      </c>
    </row>
    <row r="15" spans="1:5" x14ac:dyDescent="0.35">
      <c r="B15" s="42" t="s">
        <v>124</v>
      </c>
      <c r="C15" s="42" t="s">
        <v>125</v>
      </c>
      <c r="D15" s="42">
        <v>2219.5212045841859</v>
      </c>
      <c r="E15" s="42">
        <v>0</v>
      </c>
    </row>
    <row r="16" spans="1:5" x14ac:dyDescent="0.35">
      <c r="B16" s="42" t="s">
        <v>126</v>
      </c>
      <c r="C16" s="42" t="s">
        <v>127</v>
      </c>
      <c r="D16" s="42">
        <v>27414.337785737531</v>
      </c>
      <c r="E16" s="42">
        <v>0</v>
      </c>
    </row>
    <row r="17" spans="1:5" x14ac:dyDescent="0.35">
      <c r="B17" s="42" t="s">
        <v>128</v>
      </c>
      <c r="C17" s="42" t="s">
        <v>129</v>
      </c>
      <c r="D17" s="42">
        <v>290.25717505100636</v>
      </c>
      <c r="E17" s="42">
        <v>0</v>
      </c>
    </row>
    <row r="18" spans="1:5" x14ac:dyDescent="0.35">
      <c r="B18" s="42" t="s">
        <v>130</v>
      </c>
      <c r="C18" s="42" t="s">
        <v>131</v>
      </c>
      <c r="D18" s="42">
        <v>0</v>
      </c>
      <c r="E18" s="42">
        <v>0</v>
      </c>
    </row>
    <row r="19" spans="1:5" x14ac:dyDescent="0.35">
      <c r="B19" s="42" t="s">
        <v>132</v>
      </c>
      <c r="C19" s="42" t="s">
        <v>133</v>
      </c>
      <c r="D19" s="42">
        <v>27414.337239269065</v>
      </c>
      <c r="E19" s="42">
        <v>0</v>
      </c>
    </row>
    <row r="20" spans="1:5" x14ac:dyDescent="0.35">
      <c r="B20" s="42" t="s">
        <v>134</v>
      </c>
      <c r="C20" s="42" t="s">
        <v>135</v>
      </c>
      <c r="D20" s="42">
        <v>12913.529422517726</v>
      </c>
      <c r="E20" s="42">
        <v>0</v>
      </c>
    </row>
    <row r="21" spans="1:5" x14ac:dyDescent="0.35">
      <c r="B21" s="42" t="s">
        <v>136</v>
      </c>
      <c r="C21" s="42" t="s">
        <v>137</v>
      </c>
      <c r="D21" s="42">
        <v>0</v>
      </c>
      <c r="E21" s="42">
        <v>0</v>
      </c>
    </row>
    <row r="22" spans="1:5" x14ac:dyDescent="0.35">
      <c r="B22" s="42" t="s">
        <v>138</v>
      </c>
      <c r="C22" s="42" t="s">
        <v>139</v>
      </c>
      <c r="D22" s="42">
        <v>27414.329524132831</v>
      </c>
      <c r="E22" s="42">
        <v>0</v>
      </c>
    </row>
    <row r="23" spans="1:5" x14ac:dyDescent="0.35">
      <c r="B23" s="42" t="s">
        <v>140</v>
      </c>
      <c r="C23" s="42" t="s">
        <v>141</v>
      </c>
      <c r="D23" s="42">
        <v>39557.184924588109</v>
      </c>
      <c r="E23" s="42">
        <v>0</v>
      </c>
    </row>
    <row r="24" spans="1:5" ht="15" thickBot="1" x14ac:dyDescent="0.4">
      <c r="B24" s="43" t="s">
        <v>142</v>
      </c>
      <c r="C24" s="43" t="s">
        <v>143</v>
      </c>
      <c r="D24" s="43">
        <v>0</v>
      </c>
      <c r="E24" s="43">
        <v>0</v>
      </c>
    </row>
    <row r="26" spans="1:5" ht="15" thickBot="1" x14ac:dyDescent="0.4">
      <c r="A26" t="s">
        <v>109</v>
      </c>
    </row>
    <row r="27" spans="1:5" x14ac:dyDescent="0.35">
      <c r="B27" s="66"/>
      <c r="C27" s="66"/>
      <c r="D27" s="66" t="s">
        <v>105</v>
      </c>
      <c r="E27" s="66" t="s">
        <v>110</v>
      </c>
    </row>
    <row r="28" spans="1:5" ht="15" thickBot="1" x14ac:dyDescent="0.4">
      <c r="B28" s="67" t="s">
        <v>103</v>
      </c>
      <c r="C28" s="67" t="s">
        <v>104</v>
      </c>
      <c r="D28" s="67" t="s">
        <v>106</v>
      </c>
      <c r="E28" s="67" t="s">
        <v>111</v>
      </c>
    </row>
    <row r="29" spans="1:5" x14ac:dyDescent="0.35">
      <c r="B29" s="42" t="s">
        <v>146</v>
      </c>
      <c r="C29" s="42" t="s">
        <v>147</v>
      </c>
      <c r="D29" s="42">
        <v>404329.14670660358</v>
      </c>
      <c r="E29" s="42">
        <v>0</v>
      </c>
    </row>
    <row r="30" spans="1:5" x14ac:dyDescent="0.35">
      <c r="B30" s="42" t="s">
        <v>148</v>
      </c>
      <c r="C30" s="42" t="s">
        <v>149</v>
      </c>
      <c r="D30" s="42">
        <v>404329.14670660358</v>
      </c>
      <c r="E30" s="42">
        <v>0</v>
      </c>
    </row>
    <row r="31" spans="1:5" x14ac:dyDescent="0.35">
      <c r="B31" s="42" t="s">
        <v>150</v>
      </c>
      <c r="C31" s="42" t="s">
        <v>151</v>
      </c>
      <c r="D31" s="42">
        <v>376624.55174581503</v>
      </c>
      <c r="E31" s="42">
        <v>0</v>
      </c>
    </row>
    <row r="32" spans="1:5" x14ac:dyDescent="0.35">
      <c r="B32" s="42" t="s">
        <v>152</v>
      </c>
      <c r="C32" s="42" t="s">
        <v>153</v>
      </c>
      <c r="D32" s="42">
        <v>364001.28004481678</v>
      </c>
      <c r="E32" s="42">
        <v>0</v>
      </c>
    </row>
    <row r="33" spans="2:5" x14ac:dyDescent="0.35">
      <c r="B33" s="42" t="s">
        <v>154</v>
      </c>
      <c r="C33" s="42" t="s">
        <v>155</v>
      </c>
      <c r="D33" s="42">
        <v>337357.63225788262</v>
      </c>
      <c r="E33" s="42">
        <v>0</v>
      </c>
    </row>
    <row r="34" spans="2:5" x14ac:dyDescent="0.35">
      <c r="B34" s="42" t="s">
        <v>156</v>
      </c>
      <c r="C34" s="42" t="s">
        <v>157</v>
      </c>
      <c r="D34" s="42">
        <v>1.0537787602515891E-8</v>
      </c>
      <c r="E34" s="50">
        <v>340.97047256307695</v>
      </c>
    </row>
    <row r="35" spans="2:5" x14ac:dyDescent="0.35">
      <c r="B35" s="42" t="s">
        <v>158</v>
      </c>
      <c r="C35" s="42" t="s">
        <v>159</v>
      </c>
      <c r="D35" s="42">
        <v>1.0535586625337601E-8</v>
      </c>
      <c r="E35" s="50">
        <v>340.97054273074195</v>
      </c>
    </row>
    <row r="36" spans="2:5" x14ac:dyDescent="0.35">
      <c r="B36" s="42" t="s">
        <v>160</v>
      </c>
      <c r="C36" s="42" t="s">
        <v>161</v>
      </c>
      <c r="D36" s="42">
        <v>5.9165176935493946E-7</v>
      </c>
      <c r="E36" s="50">
        <v>224.88570032593506</v>
      </c>
    </row>
    <row r="37" spans="2:5" x14ac:dyDescent="0.35">
      <c r="B37" s="42" t="s">
        <v>162</v>
      </c>
      <c r="C37" s="42" t="s">
        <v>163</v>
      </c>
      <c r="D37" s="42">
        <v>-6.0163438320159912E-7</v>
      </c>
      <c r="E37" s="50">
        <v>224.88570032593515</v>
      </c>
    </row>
    <row r="38" spans="2:5" x14ac:dyDescent="0.35">
      <c r="B38" s="42" t="s">
        <v>164</v>
      </c>
      <c r="C38" s="42" t="s">
        <v>165</v>
      </c>
      <c r="D38" s="42">
        <v>1.9499566406011581E-9</v>
      </c>
      <c r="E38" s="50">
        <v>224.88570032593515</v>
      </c>
    </row>
    <row r="39" spans="2:5" x14ac:dyDescent="0.35">
      <c r="B39" s="42" t="s">
        <v>170</v>
      </c>
      <c r="C39" s="42" t="s">
        <v>171</v>
      </c>
      <c r="D39" s="42">
        <v>0</v>
      </c>
      <c r="E39" s="42">
        <v>1.2356812150037226E-2</v>
      </c>
    </row>
    <row r="40" spans="2:5" x14ac:dyDescent="0.35">
      <c r="B40" s="42" t="s">
        <v>172</v>
      </c>
      <c r="C40" s="42" t="s">
        <v>173</v>
      </c>
      <c r="D40" s="42">
        <v>0</v>
      </c>
      <c r="E40" s="42">
        <v>0.78465332043499569</v>
      </c>
    </row>
    <row r="41" spans="2:5" x14ac:dyDescent="0.35">
      <c r="B41" s="42" t="s">
        <v>174</v>
      </c>
      <c r="C41" s="42" t="s">
        <v>175</v>
      </c>
      <c r="D41" s="42">
        <v>0</v>
      </c>
      <c r="E41" s="42">
        <v>0.40045983762755338</v>
      </c>
    </row>
    <row r="42" spans="2:5" x14ac:dyDescent="0.35">
      <c r="B42" s="42" t="s">
        <v>176</v>
      </c>
      <c r="C42" s="42" t="s">
        <v>177</v>
      </c>
      <c r="D42" s="42">
        <v>0</v>
      </c>
      <c r="E42" s="42">
        <v>9.0011287502677756E-3</v>
      </c>
    </row>
    <row r="43" spans="2:5" x14ac:dyDescent="0.35">
      <c r="B43" s="42" t="s">
        <v>178</v>
      </c>
      <c r="C43" s="42" t="s">
        <v>179</v>
      </c>
      <c r="D43" s="42">
        <v>0</v>
      </c>
      <c r="E43" s="42">
        <v>2.9384382117611635E-3</v>
      </c>
    </row>
    <row r="44" spans="2:5" ht="15" thickBot="1" x14ac:dyDescent="0.4">
      <c r="B44" s="43" t="s">
        <v>144</v>
      </c>
      <c r="C44" s="43" t="s">
        <v>145</v>
      </c>
      <c r="D44" s="43">
        <v>4.6566128730773926E-9</v>
      </c>
      <c r="E44" s="51">
        <v>129.0760604087358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9E9E-BB6E-4FD1-A047-270863CB22BD}">
  <dimension ref="A1:E44"/>
  <sheetViews>
    <sheetView showGridLines="0" workbookViewId="0">
      <selection activeCell="M23" sqref="M23"/>
    </sheetView>
  </sheetViews>
  <sheetFormatPr defaultRowHeight="14.5" x14ac:dyDescent="0.35"/>
  <cols>
    <col min="1" max="1" width="2.1796875" customWidth="1"/>
    <col min="2" max="2" width="6.08984375" bestFit="1" customWidth="1"/>
    <col min="3" max="3" width="31.36328125" bestFit="1" customWidth="1"/>
    <col min="4" max="5" width="11.81640625" bestFit="1" customWidth="1"/>
  </cols>
  <sheetData>
    <row r="1" spans="1:5" x14ac:dyDescent="0.35">
      <c r="A1" s="29" t="s">
        <v>101</v>
      </c>
    </row>
    <row r="2" spans="1:5" x14ac:dyDescent="0.35">
      <c r="A2" s="29" t="s">
        <v>188</v>
      </c>
    </row>
    <row r="3" spans="1:5" x14ac:dyDescent="0.35">
      <c r="A3" s="29" t="s">
        <v>194</v>
      </c>
    </row>
    <row r="6" spans="1:5" ht="15" thickBot="1" x14ac:dyDescent="0.4">
      <c r="A6" t="s">
        <v>102</v>
      </c>
    </row>
    <row r="7" spans="1:5" x14ac:dyDescent="0.35">
      <c r="B7" s="57"/>
      <c r="C7" s="57"/>
      <c r="D7" s="57" t="s">
        <v>105</v>
      </c>
      <c r="E7" s="57" t="s">
        <v>107</v>
      </c>
    </row>
    <row r="8" spans="1:5" ht="15" thickBot="1" x14ac:dyDescent="0.4">
      <c r="B8" s="58" t="s">
        <v>103</v>
      </c>
      <c r="C8" s="58" t="s">
        <v>104</v>
      </c>
      <c r="D8" s="58" t="s">
        <v>106</v>
      </c>
      <c r="E8" s="58" t="s">
        <v>108</v>
      </c>
    </row>
    <row r="9" spans="1:5" x14ac:dyDescent="0.35">
      <c r="B9" s="42" t="s">
        <v>112</v>
      </c>
      <c r="C9" s="42" t="s">
        <v>113</v>
      </c>
      <c r="D9" s="42">
        <v>111501.95707664941</v>
      </c>
      <c r="E9" s="42">
        <v>0</v>
      </c>
    </row>
    <row r="10" spans="1:5" x14ac:dyDescent="0.35">
      <c r="B10" s="42" t="s">
        <v>114</v>
      </c>
      <c r="C10" s="42" t="s">
        <v>115</v>
      </c>
      <c r="D10" s="42">
        <v>10236.21916767656</v>
      </c>
      <c r="E10" s="42">
        <v>0</v>
      </c>
    </row>
    <row r="11" spans="1:5" x14ac:dyDescent="0.35">
      <c r="B11" s="42" t="s">
        <v>116</v>
      </c>
      <c r="C11" s="42" t="s">
        <v>117</v>
      </c>
      <c r="D11" s="42">
        <v>0</v>
      </c>
      <c r="E11" s="42">
        <v>0</v>
      </c>
    </row>
    <row r="12" spans="1:5" x14ac:dyDescent="0.35">
      <c r="B12" s="42" t="s">
        <v>118</v>
      </c>
      <c r="C12" s="42" t="s">
        <v>119</v>
      </c>
      <c r="D12" s="42">
        <v>254914.64577791785</v>
      </c>
      <c r="E12" s="42">
        <v>0</v>
      </c>
    </row>
    <row r="13" spans="1:5" x14ac:dyDescent="0.35">
      <c r="B13" s="42" t="s">
        <v>120</v>
      </c>
      <c r="C13" s="42" t="s">
        <v>121</v>
      </c>
      <c r="D13" s="42">
        <v>10236.227060962576</v>
      </c>
      <c r="E13" s="42">
        <v>0</v>
      </c>
    </row>
    <row r="14" spans="1:5" x14ac:dyDescent="0.35">
      <c r="B14" s="42" t="s">
        <v>122</v>
      </c>
      <c r="C14" s="42" t="s">
        <v>123</v>
      </c>
      <c r="D14" s="42">
        <v>0</v>
      </c>
      <c r="E14" s="42">
        <v>0</v>
      </c>
    </row>
    <row r="15" spans="1:5" x14ac:dyDescent="0.35">
      <c r="B15" s="42" t="s">
        <v>124</v>
      </c>
      <c r="C15" s="42" t="s">
        <v>125</v>
      </c>
      <c r="D15" s="42">
        <v>116195.45257747221</v>
      </c>
      <c r="E15" s="42">
        <v>0</v>
      </c>
    </row>
    <row r="16" spans="1:5" x14ac:dyDescent="0.35">
      <c r="B16" s="42" t="s">
        <v>126</v>
      </c>
      <c r="C16" s="42" t="s">
        <v>127</v>
      </c>
      <c r="D16" s="42">
        <v>15001.376056092298</v>
      </c>
      <c r="E16" s="42">
        <v>0</v>
      </c>
    </row>
    <row r="17" spans="1:5" x14ac:dyDescent="0.35">
      <c r="B17" s="42" t="s">
        <v>128</v>
      </c>
      <c r="C17" s="42" t="s">
        <v>129</v>
      </c>
      <c r="D17" s="42">
        <v>0</v>
      </c>
      <c r="E17" s="42">
        <v>1806.8111083643751</v>
      </c>
    </row>
    <row r="18" spans="1:5" x14ac:dyDescent="0.35">
      <c r="B18" s="42" t="s">
        <v>130</v>
      </c>
      <c r="C18" s="42" t="s">
        <v>131</v>
      </c>
      <c r="D18" s="42">
        <v>0</v>
      </c>
      <c r="E18" s="42">
        <v>4.8011681307693266</v>
      </c>
    </row>
    <row r="19" spans="1:5" x14ac:dyDescent="0.35">
      <c r="B19" s="42" t="s">
        <v>132</v>
      </c>
      <c r="C19" s="42" t="s">
        <v>133</v>
      </c>
      <c r="D19" s="42">
        <v>54123.08702012126</v>
      </c>
      <c r="E19" s="42">
        <v>0</v>
      </c>
    </row>
    <row r="20" spans="1:5" x14ac:dyDescent="0.35">
      <c r="B20" s="42" t="s">
        <v>134</v>
      </c>
      <c r="C20" s="42" t="s">
        <v>135</v>
      </c>
      <c r="D20" s="42">
        <v>0</v>
      </c>
      <c r="E20" s="42">
        <v>1213.7071997477731</v>
      </c>
    </row>
    <row r="21" spans="1:5" x14ac:dyDescent="0.35">
      <c r="B21" s="42" t="s">
        <v>136</v>
      </c>
      <c r="C21" s="42" t="s">
        <v>137</v>
      </c>
      <c r="D21" s="42">
        <v>0</v>
      </c>
      <c r="E21" s="42">
        <v>44.347587254755354</v>
      </c>
    </row>
    <row r="22" spans="1:5" x14ac:dyDescent="0.35">
      <c r="B22" s="42" t="s">
        <v>138</v>
      </c>
      <c r="C22" s="42" t="s">
        <v>139</v>
      </c>
      <c r="D22" s="42">
        <v>134195.66084683969</v>
      </c>
      <c r="E22" s="42">
        <v>0</v>
      </c>
    </row>
    <row r="23" spans="1:5" x14ac:dyDescent="0.35">
      <c r="B23" s="42" t="s">
        <v>140</v>
      </c>
      <c r="C23" s="42" t="s">
        <v>141</v>
      </c>
      <c r="D23" s="42">
        <v>806.90252460552472</v>
      </c>
      <c r="E23" s="42">
        <v>0</v>
      </c>
    </row>
    <row r="24" spans="1:5" ht="15" thickBot="1" x14ac:dyDescent="0.4">
      <c r="B24" s="43" t="s">
        <v>142</v>
      </c>
      <c r="C24" s="43" t="s">
        <v>143</v>
      </c>
      <c r="D24" s="43">
        <v>0</v>
      </c>
      <c r="E24" s="43">
        <v>0</v>
      </c>
    </row>
    <row r="26" spans="1:5" ht="15" thickBot="1" x14ac:dyDescent="0.4">
      <c r="A26" t="s">
        <v>109</v>
      </c>
    </row>
    <row r="27" spans="1:5" x14ac:dyDescent="0.35">
      <c r="B27" s="57"/>
      <c r="C27" s="57"/>
      <c r="D27" s="57" t="s">
        <v>105</v>
      </c>
      <c r="E27" s="57" t="s">
        <v>110</v>
      </c>
    </row>
    <row r="28" spans="1:5" ht="15" thickBot="1" x14ac:dyDescent="0.4">
      <c r="B28" s="58" t="s">
        <v>103</v>
      </c>
      <c r="C28" s="58" t="s">
        <v>104</v>
      </c>
      <c r="D28" s="58" t="s">
        <v>106</v>
      </c>
      <c r="E28" s="58" t="s">
        <v>111</v>
      </c>
    </row>
    <row r="29" spans="1:5" x14ac:dyDescent="0.35">
      <c r="B29" s="42" t="s">
        <v>146</v>
      </c>
      <c r="C29" s="42" t="s">
        <v>147</v>
      </c>
      <c r="D29" s="42">
        <v>378261.82375567401</v>
      </c>
      <c r="E29" s="42">
        <v>0</v>
      </c>
    </row>
    <row r="30" spans="1:5" x14ac:dyDescent="0.35">
      <c r="B30" s="42" t="s">
        <v>148</v>
      </c>
      <c r="C30" s="42" t="s">
        <v>149</v>
      </c>
      <c r="D30" s="42">
        <v>378261.815862388</v>
      </c>
      <c r="E30" s="42">
        <v>0</v>
      </c>
    </row>
    <row r="31" spans="1:5" x14ac:dyDescent="0.35">
      <c r="B31" s="42" t="s">
        <v>150</v>
      </c>
      <c r="C31" s="42" t="s">
        <v>151</v>
      </c>
      <c r="D31" s="42">
        <v>373496.66686725826</v>
      </c>
      <c r="E31" s="42">
        <v>0</v>
      </c>
    </row>
    <row r="32" spans="1:5" x14ac:dyDescent="0.35">
      <c r="B32" s="42" t="s">
        <v>152</v>
      </c>
      <c r="C32" s="42" t="s">
        <v>153</v>
      </c>
      <c r="D32" s="42">
        <v>334374.9559032293</v>
      </c>
      <c r="E32" s="42">
        <v>0</v>
      </c>
    </row>
    <row r="33" spans="2:5" x14ac:dyDescent="0.35">
      <c r="B33" s="42" t="s">
        <v>154</v>
      </c>
      <c r="C33" s="42" t="s">
        <v>155</v>
      </c>
      <c r="D33" s="42">
        <v>253495.47955190536</v>
      </c>
      <c r="E33" s="42">
        <v>0</v>
      </c>
    </row>
    <row r="34" spans="2:5" x14ac:dyDescent="0.35">
      <c r="B34" s="42" t="s">
        <v>156</v>
      </c>
      <c r="C34" s="42" t="s">
        <v>157</v>
      </c>
      <c r="D34" s="42">
        <v>1.5279510989785194E-10</v>
      </c>
      <c r="E34" s="50">
        <v>279.00279332879916</v>
      </c>
    </row>
    <row r="35" spans="2:5" x14ac:dyDescent="0.35">
      <c r="B35" s="42" t="s">
        <v>158</v>
      </c>
      <c r="C35" s="42" t="s">
        <v>159</v>
      </c>
      <c r="D35" s="42">
        <v>1.1641532182693481E-10</v>
      </c>
      <c r="E35" s="50">
        <v>279.00276810766104</v>
      </c>
    </row>
    <row r="36" spans="2:5" x14ac:dyDescent="0.35">
      <c r="B36" s="42" t="s">
        <v>160</v>
      </c>
      <c r="C36" s="42" t="s">
        <v>161</v>
      </c>
      <c r="D36" s="42">
        <v>0</v>
      </c>
      <c r="E36" s="50">
        <v>218.38604615241596</v>
      </c>
    </row>
    <row r="37" spans="2:5" x14ac:dyDescent="0.35">
      <c r="B37" s="42" t="s">
        <v>162</v>
      </c>
      <c r="C37" s="42" t="s">
        <v>163</v>
      </c>
      <c r="D37" s="42">
        <v>0</v>
      </c>
      <c r="E37" s="50">
        <v>178.84540504684739</v>
      </c>
    </row>
    <row r="38" spans="2:5" x14ac:dyDescent="0.35">
      <c r="B38" s="42" t="s">
        <v>164</v>
      </c>
      <c r="C38" s="42" t="s">
        <v>165</v>
      </c>
      <c r="D38" s="42">
        <v>0</v>
      </c>
      <c r="E38" s="50">
        <v>48.957706704615489</v>
      </c>
    </row>
    <row r="39" spans="2:5" x14ac:dyDescent="0.35">
      <c r="B39" s="42" t="s">
        <v>170</v>
      </c>
      <c r="C39" s="42" t="s">
        <v>171</v>
      </c>
      <c r="D39" s="42">
        <v>0</v>
      </c>
      <c r="E39" s="42">
        <v>9.215169402649482E-3</v>
      </c>
    </row>
    <row r="40" spans="2:5" x14ac:dyDescent="0.35">
      <c r="B40" s="42" t="s">
        <v>172</v>
      </c>
      <c r="C40" s="42" t="s">
        <v>173</v>
      </c>
      <c r="D40" s="42">
        <v>0</v>
      </c>
      <c r="E40" s="42">
        <v>2.0216636323374757E-2</v>
      </c>
    </row>
    <row r="41" spans="2:5" x14ac:dyDescent="0.35">
      <c r="B41" s="42" t="s">
        <v>174</v>
      </c>
      <c r="C41" s="42" t="s">
        <v>175</v>
      </c>
      <c r="D41" s="42">
        <v>0</v>
      </c>
      <c r="E41" s="42">
        <v>0</v>
      </c>
    </row>
    <row r="42" spans="2:5" x14ac:dyDescent="0.35">
      <c r="B42" s="42" t="s">
        <v>176</v>
      </c>
      <c r="C42" s="42" t="s">
        <v>177</v>
      </c>
      <c r="D42" s="42">
        <v>0</v>
      </c>
      <c r="E42" s="42">
        <v>0</v>
      </c>
    </row>
    <row r="43" spans="2:5" x14ac:dyDescent="0.35">
      <c r="B43" s="42" t="s">
        <v>178</v>
      </c>
      <c r="C43" s="42" t="s">
        <v>179</v>
      </c>
      <c r="D43" s="42">
        <v>0</v>
      </c>
      <c r="E43" s="42">
        <v>7.7623735623967266E-2</v>
      </c>
    </row>
    <row r="44" spans="2:5" ht="15" thickBot="1" x14ac:dyDescent="0.4">
      <c r="B44" s="43" t="s">
        <v>144</v>
      </c>
      <c r="C44" s="43" t="s">
        <v>145</v>
      </c>
      <c r="D44" s="43">
        <v>0</v>
      </c>
      <c r="E44" s="51">
        <v>65.590913898625914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608FB-4A89-44E7-A1E4-DFF919E70B67}">
  <dimension ref="A1:E44"/>
  <sheetViews>
    <sheetView showGridLines="0" workbookViewId="0">
      <selection activeCell="K37" sqref="K37"/>
    </sheetView>
  </sheetViews>
  <sheetFormatPr defaultRowHeight="14.5" x14ac:dyDescent="0.35"/>
  <cols>
    <col min="1" max="1" width="2.1796875" customWidth="1"/>
    <col min="2" max="2" width="6.08984375" bestFit="1" customWidth="1"/>
    <col min="3" max="3" width="31.36328125" bestFit="1" customWidth="1"/>
    <col min="4" max="4" width="12.453125" bestFit="1" customWidth="1"/>
    <col min="5" max="5" width="11.81640625" bestFit="1" customWidth="1"/>
  </cols>
  <sheetData>
    <row r="1" spans="1:5" x14ac:dyDescent="0.35">
      <c r="A1" s="29" t="s">
        <v>101</v>
      </c>
    </row>
    <row r="2" spans="1:5" x14ac:dyDescent="0.35">
      <c r="A2" s="29" t="s">
        <v>188</v>
      </c>
    </row>
    <row r="3" spans="1:5" x14ac:dyDescent="0.35">
      <c r="A3" s="29" t="s">
        <v>195</v>
      </c>
    </row>
    <row r="6" spans="1:5" ht="15" thickBot="1" x14ac:dyDescent="0.4">
      <c r="A6" t="s">
        <v>102</v>
      </c>
    </row>
    <row r="7" spans="1:5" x14ac:dyDescent="0.35">
      <c r="B7" s="57"/>
      <c r="C7" s="57"/>
      <c r="D7" s="57" t="s">
        <v>105</v>
      </c>
      <c r="E7" s="57" t="s">
        <v>107</v>
      </c>
    </row>
    <row r="8" spans="1:5" ht="15" thickBot="1" x14ac:dyDescent="0.4">
      <c r="B8" s="58" t="s">
        <v>103</v>
      </c>
      <c r="C8" s="58" t="s">
        <v>104</v>
      </c>
      <c r="D8" s="58" t="s">
        <v>106</v>
      </c>
      <c r="E8" s="58" t="s">
        <v>108</v>
      </c>
    </row>
    <row r="9" spans="1:5" x14ac:dyDescent="0.35">
      <c r="B9" s="42" t="s">
        <v>112</v>
      </c>
      <c r="C9" s="42" t="s">
        <v>113</v>
      </c>
      <c r="D9" s="42">
        <v>77798.84027465542</v>
      </c>
      <c r="E9" s="42">
        <v>0</v>
      </c>
    </row>
    <row r="10" spans="1:5" x14ac:dyDescent="0.35">
      <c r="B10" s="42" t="s">
        <v>114</v>
      </c>
      <c r="C10" s="42" t="s">
        <v>115</v>
      </c>
      <c r="D10" s="42">
        <v>0</v>
      </c>
      <c r="E10" s="42">
        <v>3343.1561456541258</v>
      </c>
    </row>
    <row r="11" spans="1:5" x14ac:dyDescent="0.35">
      <c r="B11" s="42" t="s">
        <v>116</v>
      </c>
      <c r="C11" s="42" t="s">
        <v>117</v>
      </c>
      <c r="D11" s="42">
        <v>0</v>
      </c>
      <c r="E11" s="42">
        <v>0</v>
      </c>
    </row>
    <row r="12" spans="1:5" x14ac:dyDescent="0.35">
      <c r="B12" s="42" t="s">
        <v>118</v>
      </c>
      <c r="C12" s="42" t="s">
        <v>119</v>
      </c>
      <c r="D12" s="42">
        <v>68199.659622248626</v>
      </c>
      <c r="E12" s="42">
        <v>0</v>
      </c>
    </row>
    <row r="13" spans="1:5" x14ac:dyDescent="0.35">
      <c r="B13" s="42" t="s">
        <v>120</v>
      </c>
      <c r="C13" s="42" t="s">
        <v>121</v>
      </c>
      <c r="D13" s="42">
        <v>36528.638667693929</v>
      </c>
      <c r="E13" s="42">
        <v>0</v>
      </c>
    </row>
    <row r="14" spans="1:5" x14ac:dyDescent="0.35">
      <c r="B14" s="42" t="s">
        <v>122</v>
      </c>
      <c r="C14" s="42" t="s">
        <v>123</v>
      </c>
      <c r="D14" s="42">
        <v>0</v>
      </c>
      <c r="E14" s="42">
        <v>0</v>
      </c>
    </row>
    <row r="15" spans="1:5" x14ac:dyDescent="0.35">
      <c r="B15" s="42" t="s">
        <v>124</v>
      </c>
      <c r="C15" s="42" t="s">
        <v>125</v>
      </c>
      <c r="D15" s="42">
        <v>106279.03936993606</v>
      </c>
      <c r="E15" s="42">
        <v>0</v>
      </c>
    </row>
    <row r="16" spans="1:5" x14ac:dyDescent="0.35">
      <c r="B16" s="42" t="s">
        <v>126</v>
      </c>
      <c r="C16" s="42" t="s">
        <v>127</v>
      </c>
      <c r="D16" s="42">
        <v>73199.504502583004</v>
      </c>
      <c r="E16" s="42">
        <v>0</v>
      </c>
    </row>
    <row r="17" spans="1:5" x14ac:dyDescent="0.35">
      <c r="B17" s="42" t="s">
        <v>128</v>
      </c>
      <c r="C17" s="42" t="s">
        <v>129</v>
      </c>
      <c r="D17" s="42">
        <v>0</v>
      </c>
      <c r="E17" s="42">
        <v>0</v>
      </c>
    </row>
    <row r="18" spans="1:5" x14ac:dyDescent="0.35">
      <c r="B18" s="42" t="s">
        <v>130</v>
      </c>
      <c r="C18" s="42" t="s">
        <v>131</v>
      </c>
      <c r="D18" s="42">
        <v>144507.256297057</v>
      </c>
      <c r="E18" s="42">
        <v>0</v>
      </c>
    </row>
    <row r="19" spans="1:5" x14ac:dyDescent="0.35">
      <c r="B19" s="42" t="s">
        <v>132</v>
      </c>
      <c r="C19" s="42" t="s">
        <v>133</v>
      </c>
      <c r="D19" s="42">
        <v>102140.20733067425</v>
      </c>
      <c r="E19" s="42">
        <v>0</v>
      </c>
    </row>
    <row r="20" spans="1:5" x14ac:dyDescent="0.35">
      <c r="B20" s="42" t="s">
        <v>134</v>
      </c>
      <c r="C20" s="42" t="s">
        <v>135</v>
      </c>
      <c r="D20" s="42">
        <v>0</v>
      </c>
      <c r="E20" s="42">
        <v>0</v>
      </c>
    </row>
    <row r="21" spans="1:5" x14ac:dyDescent="0.35">
      <c r="B21" s="42" t="s">
        <v>136</v>
      </c>
      <c r="C21" s="42" t="s">
        <v>137</v>
      </c>
      <c r="D21" s="42">
        <v>95231.176918805679</v>
      </c>
      <c r="E21" s="42">
        <v>0</v>
      </c>
    </row>
    <row r="22" spans="1:5" x14ac:dyDescent="0.35">
      <c r="B22" s="42" t="s">
        <v>138</v>
      </c>
      <c r="C22" s="42" t="s">
        <v>139</v>
      </c>
      <c r="D22" s="42">
        <v>165037.25534273408</v>
      </c>
      <c r="E22" s="42">
        <v>0</v>
      </c>
    </row>
    <row r="23" spans="1:5" x14ac:dyDescent="0.35">
      <c r="B23" s="42" t="s">
        <v>140</v>
      </c>
      <c r="C23" s="42" t="s">
        <v>141</v>
      </c>
      <c r="D23" s="42">
        <v>0.12705952402053175</v>
      </c>
      <c r="E23" s="42">
        <v>0</v>
      </c>
    </row>
    <row r="24" spans="1:5" ht="15" thickBot="1" x14ac:dyDescent="0.4">
      <c r="B24" s="43" t="s">
        <v>142</v>
      </c>
      <c r="C24" s="43" t="s">
        <v>143</v>
      </c>
      <c r="D24" s="43">
        <v>0</v>
      </c>
      <c r="E24" s="43">
        <v>0</v>
      </c>
    </row>
    <row r="26" spans="1:5" ht="15" thickBot="1" x14ac:dyDescent="0.4">
      <c r="A26" t="s">
        <v>109</v>
      </c>
    </row>
    <row r="27" spans="1:5" x14ac:dyDescent="0.35">
      <c r="B27" s="57"/>
      <c r="C27" s="57"/>
      <c r="D27" s="57" t="s">
        <v>105</v>
      </c>
      <c r="E27" s="57" t="s">
        <v>110</v>
      </c>
    </row>
    <row r="28" spans="1:5" ht="15" thickBot="1" x14ac:dyDescent="0.4">
      <c r="B28" s="58" t="s">
        <v>103</v>
      </c>
      <c r="C28" s="58" t="s">
        <v>104</v>
      </c>
      <c r="D28" s="58" t="s">
        <v>106</v>
      </c>
      <c r="E28" s="58" t="s">
        <v>111</v>
      </c>
    </row>
    <row r="29" spans="1:5" x14ac:dyDescent="0.35">
      <c r="B29" s="42" t="s">
        <v>146</v>
      </c>
      <c r="C29" s="42" t="s">
        <v>147</v>
      </c>
      <c r="D29" s="42">
        <v>422201.15972534457</v>
      </c>
      <c r="E29" s="42">
        <v>0</v>
      </c>
    </row>
    <row r="30" spans="1:5" x14ac:dyDescent="0.35">
      <c r="B30" s="42" t="s">
        <v>148</v>
      </c>
      <c r="C30" s="42" t="s">
        <v>149</v>
      </c>
      <c r="D30" s="42">
        <v>385672.52105765062</v>
      </c>
      <c r="E30" s="42">
        <v>0</v>
      </c>
    </row>
    <row r="31" spans="1:5" x14ac:dyDescent="0.35">
      <c r="B31" s="42" t="s">
        <v>150</v>
      </c>
      <c r="C31" s="42" t="s">
        <v>151</v>
      </c>
      <c r="D31" s="42">
        <v>349001.65522276156</v>
      </c>
      <c r="E31" s="42">
        <v>0</v>
      </c>
    </row>
    <row r="32" spans="1:5" x14ac:dyDescent="0.35">
      <c r="B32" s="42" t="s">
        <v>152</v>
      </c>
      <c r="C32" s="42" t="s">
        <v>153</v>
      </c>
      <c r="D32" s="42">
        <v>320060.95239467034</v>
      </c>
      <c r="E32" s="42">
        <v>0</v>
      </c>
    </row>
    <row r="33" spans="2:5" x14ac:dyDescent="0.35">
      <c r="B33" s="42" t="s">
        <v>154</v>
      </c>
      <c r="C33" s="42" t="s">
        <v>155</v>
      </c>
      <c r="D33" s="42">
        <v>257163.77732308645</v>
      </c>
      <c r="E33" s="42">
        <v>0</v>
      </c>
    </row>
    <row r="34" spans="2:5" x14ac:dyDescent="0.35">
      <c r="B34" s="42" t="s">
        <v>156</v>
      </c>
      <c r="C34" s="42" t="s">
        <v>157</v>
      </c>
      <c r="D34" s="42">
        <v>9.8953023552894592E-10</v>
      </c>
      <c r="E34" s="50">
        <v>975.78899208828318</v>
      </c>
    </row>
    <row r="35" spans="2:5" x14ac:dyDescent="0.35">
      <c r="B35" s="42" t="s">
        <v>158</v>
      </c>
      <c r="C35" s="42" t="s">
        <v>159</v>
      </c>
      <c r="D35" s="42">
        <v>-2.3283064365386963E-10</v>
      </c>
      <c r="E35" s="50">
        <v>238.90962812130775</v>
      </c>
    </row>
    <row r="36" spans="2:5" x14ac:dyDescent="0.35">
      <c r="B36" s="42" t="s">
        <v>160</v>
      </c>
      <c r="C36" s="42" t="s">
        <v>161</v>
      </c>
      <c r="D36" s="42">
        <v>1.5762634575366974E-7</v>
      </c>
      <c r="E36" s="50">
        <v>154.06416280855217</v>
      </c>
    </row>
    <row r="37" spans="2:5" x14ac:dyDescent="0.35">
      <c r="B37" s="42" t="s">
        <v>162</v>
      </c>
      <c r="C37" s="42" t="s">
        <v>163</v>
      </c>
      <c r="D37" s="42">
        <v>-1.5518162399530411E-7</v>
      </c>
      <c r="E37" s="50">
        <v>124.81356952068521</v>
      </c>
    </row>
    <row r="38" spans="2:5" x14ac:dyDescent="0.35">
      <c r="B38" s="42" t="s">
        <v>164</v>
      </c>
      <c r="C38" s="42" t="s">
        <v>165</v>
      </c>
      <c r="D38" s="42">
        <v>2.0919833332300186E-7</v>
      </c>
      <c r="E38" s="50">
        <v>30.62150649631354</v>
      </c>
    </row>
    <row r="39" spans="2:5" x14ac:dyDescent="0.35">
      <c r="B39" s="42" t="s">
        <v>170</v>
      </c>
      <c r="C39" s="42" t="s">
        <v>171</v>
      </c>
      <c r="D39" s="42">
        <v>0</v>
      </c>
      <c r="E39" s="42">
        <v>0.19777883937764512</v>
      </c>
    </row>
    <row r="40" spans="2:5" x14ac:dyDescent="0.35">
      <c r="B40" s="42" t="s">
        <v>172</v>
      </c>
      <c r="C40" s="42" t="s">
        <v>173</v>
      </c>
      <c r="D40" s="42">
        <v>0</v>
      </c>
      <c r="E40" s="42">
        <v>2.2913829731076731E-2</v>
      </c>
    </row>
    <row r="41" spans="2:5" x14ac:dyDescent="0.35">
      <c r="B41" s="42" t="s">
        <v>174</v>
      </c>
      <c r="C41" s="42" t="s">
        <v>175</v>
      </c>
      <c r="D41" s="42">
        <v>0</v>
      </c>
      <c r="E41" s="42">
        <v>9.6348122084898256E-3</v>
      </c>
    </row>
    <row r="42" spans="2:5" x14ac:dyDescent="0.35">
      <c r="B42" s="42" t="s">
        <v>176</v>
      </c>
      <c r="C42" s="42" t="s">
        <v>177</v>
      </c>
      <c r="D42" s="42">
        <v>0</v>
      </c>
      <c r="E42" s="42">
        <v>1.0012911486735755E-2</v>
      </c>
    </row>
    <row r="43" spans="2:5" x14ac:dyDescent="0.35">
      <c r="B43" s="42" t="s">
        <v>178</v>
      </c>
      <c r="C43" s="42" t="s">
        <v>179</v>
      </c>
      <c r="D43" s="42">
        <v>0</v>
      </c>
      <c r="E43" s="42">
        <v>493.06927931548995</v>
      </c>
    </row>
    <row r="44" spans="2:5" ht="15" thickBot="1" x14ac:dyDescent="0.4">
      <c r="B44" s="43" t="s">
        <v>144</v>
      </c>
      <c r="C44" s="43" t="s">
        <v>145</v>
      </c>
      <c r="D44" s="43">
        <v>2.3515895009040833E-8</v>
      </c>
      <c r="E44" s="51">
        <v>47.255739427534749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BC4-0150-40A4-9FF5-5C5E073C7294}">
  <dimension ref="A1:E44"/>
  <sheetViews>
    <sheetView showGridLines="0" workbookViewId="0">
      <selection activeCell="E44" sqref="E44"/>
    </sheetView>
  </sheetViews>
  <sheetFormatPr defaultRowHeight="14.5" x14ac:dyDescent="0.35"/>
  <cols>
    <col min="1" max="1" width="2.1796875" customWidth="1"/>
    <col min="2" max="2" width="6.08984375" bestFit="1" customWidth="1"/>
    <col min="3" max="3" width="31.36328125" bestFit="1" customWidth="1"/>
    <col min="4" max="4" width="12.453125" bestFit="1" customWidth="1"/>
    <col min="5" max="5" width="11.81640625" bestFit="1" customWidth="1"/>
  </cols>
  <sheetData>
    <row r="1" spans="1:5" x14ac:dyDescent="0.35">
      <c r="A1" s="29" t="s">
        <v>101</v>
      </c>
    </row>
    <row r="2" spans="1:5" x14ac:dyDescent="0.35">
      <c r="A2" s="29" t="s">
        <v>188</v>
      </c>
    </row>
    <row r="3" spans="1:5" x14ac:dyDescent="0.35">
      <c r="A3" s="29" t="s">
        <v>196</v>
      </c>
    </row>
    <row r="6" spans="1:5" ht="15" thickBot="1" x14ac:dyDescent="0.4">
      <c r="A6" t="s">
        <v>102</v>
      </c>
    </row>
    <row r="7" spans="1:5" x14ac:dyDescent="0.35">
      <c r="B7" s="57"/>
      <c r="C7" s="57"/>
      <c r="D7" s="57" t="s">
        <v>105</v>
      </c>
      <c r="E7" s="57" t="s">
        <v>107</v>
      </c>
    </row>
    <row r="8" spans="1:5" ht="15" thickBot="1" x14ac:dyDescent="0.4">
      <c r="B8" s="58" t="s">
        <v>103</v>
      </c>
      <c r="C8" s="58" t="s">
        <v>104</v>
      </c>
      <c r="D8" s="58" t="s">
        <v>106</v>
      </c>
      <c r="E8" s="58" t="s">
        <v>108</v>
      </c>
    </row>
    <row r="9" spans="1:5" x14ac:dyDescent="0.35">
      <c r="B9" s="42" t="s">
        <v>112</v>
      </c>
      <c r="C9" s="42" t="s">
        <v>113</v>
      </c>
      <c r="D9" s="42">
        <v>74999.999761080631</v>
      </c>
      <c r="E9" s="42">
        <v>0</v>
      </c>
    </row>
    <row r="10" spans="1:5" x14ac:dyDescent="0.35">
      <c r="B10" s="42" t="s">
        <v>114</v>
      </c>
      <c r="C10" s="42" t="s">
        <v>115</v>
      </c>
      <c r="D10" s="42">
        <v>0</v>
      </c>
      <c r="E10" s="42">
        <v>9510.1216218344325</v>
      </c>
    </row>
    <row r="11" spans="1:5" x14ac:dyDescent="0.35">
      <c r="B11" s="42" t="s">
        <v>116</v>
      </c>
      <c r="C11" s="42" t="s">
        <v>117</v>
      </c>
      <c r="D11" s="42">
        <v>0</v>
      </c>
      <c r="E11" s="42">
        <v>0</v>
      </c>
    </row>
    <row r="12" spans="1:5" x14ac:dyDescent="0.35">
      <c r="B12" s="42" t="s">
        <v>118</v>
      </c>
      <c r="C12" s="42" t="s">
        <v>119</v>
      </c>
      <c r="D12" s="42">
        <v>56808.378732092533</v>
      </c>
      <c r="E12" s="42">
        <v>0</v>
      </c>
    </row>
    <row r="13" spans="1:5" x14ac:dyDescent="0.35">
      <c r="B13" s="42" t="s">
        <v>120</v>
      </c>
      <c r="C13" s="42" t="s">
        <v>121</v>
      </c>
      <c r="D13" s="42">
        <v>29577.813692722935</v>
      </c>
      <c r="E13" s="42">
        <v>0</v>
      </c>
    </row>
    <row r="14" spans="1:5" x14ac:dyDescent="0.35">
      <c r="B14" s="42" t="s">
        <v>122</v>
      </c>
      <c r="C14" s="42" t="s">
        <v>123</v>
      </c>
      <c r="D14" s="42">
        <v>0</v>
      </c>
      <c r="E14" s="42">
        <v>0</v>
      </c>
    </row>
    <row r="15" spans="1:5" x14ac:dyDescent="0.35">
      <c r="B15" s="42" t="s">
        <v>124</v>
      </c>
      <c r="C15" s="42" t="s">
        <v>125</v>
      </c>
      <c r="D15" s="42">
        <v>61245.765601305226</v>
      </c>
      <c r="E15" s="42">
        <v>0</v>
      </c>
    </row>
    <row r="16" spans="1:5" x14ac:dyDescent="0.35">
      <c r="B16" s="42" t="s">
        <v>126</v>
      </c>
      <c r="C16" s="42" t="s">
        <v>127</v>
      </c>
      <c r="D16" s="42">
        <v>62901.881374361343</v>
      </c>
      <c r="E16" s="42">
        <v>0</v>
      </c>
    </row>
    <row r="17" spans="1:5" x14ac:dyDescent="0.35">
      <c r="B17" s="42" t="s">
        <v>128</v>
      </c>
      <c r="C17" s="42" t="s">
        <v>129</v>
      </c>
      <c r="D17" s="42">
        <v>0</v>
      </c>
      <c r="E17" s="42">
        <v>0</v>
      </c>
    </row>
    <row r="18" spans="1:5" x14ac:dyDescent="0.35">
      <c r="B18" s="42" t="s">
        <v>130</v>
      </c>
      <c r="C18" s="42" t="s">
        <v>131</v>
      </c>
      <c r="D18" s="42">
        <v>83275.479466458011</v>
      </c>
      <c r="E18" s="42">
        <v>0</v>
      </c>
    </row>
    <row r="19" spans="1:5" x14ac:dyDescent="0.35">
      <c r="B19" s="42" t="s">
        <v>132</v>
      </c>
      <c r="C19" s="42" t="s">
        <v>133</v>
      </c>
      <c r="D19" s="42">
        <v>108212.35008442364</v>
      </c>
      <c r="E19" s="42">
        <v>0</v>
      </c>
    </row>
    <row r="20" spans="1:5" x14ac:dyDescent="0.35">
      <c r="B20" s="42" t="s">
        <v>134</v>
      </c>
      <c r="C20" s="42" t="s">
        <v>135</v>
      </c>
      <c r="D20" s="42">
        <v>0</v>
      </c>
      <c r="E20" s="42">
        <v>0</v>
      </c>
    </row>
    <row r="21" spans="1:5" x14ac:dyDescent="0.35">
      <c r="B21" s="42" t="s">
        <v>136</v>
      </c>
      <c r="C21" s="42" t="s">
        <v>137</v>
      </c>
      <c r="D21" s="42">
        <v>113229.06695616702</v>
      </c>
      <c r="E21" s="42">
        <v>0</v>
      </c>
    </row>
    <row r="22" spans="1:5" x14ac:dyDescent="0.35">
      <c r="B22" s="42" t="s">
        <v>138</v>
      </c>
      <c r="C22" s="42" t="s">
        <v>139</v>
      </c>
      <c r="D22" s="42">
        <v>153817.98864811563</v>
      </c>
      <c r="E22" s="42">
        <v>0</v>
      </c>
    </row>
    <row r="23" spans="1:5" x14ac:dyDescent="0.35">
      <c r="B23" s="42" t="s">
        <v>140</v>
      </c>
      <c r="C23" s="42" t="s">
        <v>141</v>
      </c>
      <c r="D23" s="42">
        <v>0</v>
      </c>
      <c r="E23" s="42">
        <v>0</v>
      </c>
    </row>
    <row r="24" spans="1:5" ht="15" thickBot="1" x14ac:dyDescent="0.4">
      <c r="B24" s="43" t="s">
        <v>142</v>
      </c>
      <c r="C24" s="43" t="s">
        <v>143</v>
      </c>
      <c r="D24" s="43">
        <v>183544.00055170685</v>
      </c>
      <c r="E24" s="43">
        <v>0</v>
      </c>
    </row>
    <row r="26" spans="1:5" ht="15" thickBot="1" x14ac:dyDescent="0.4">
      <c r="A26" t="s">
        <v>109</v>
      </c>
    </row>
    <row r="27" spans="1:5" x14ac:dyDescent="0.35">
      <c r="B27" s="57"/>
      <c r="C27" s="57"/>
      <c r="D27" s="57" t="s">
        <v>105</v>
      </c>
      <c r="E27" s="57" t="s">
        <v>110</v>
      </c>
    </row>
    <row r="28" spans="1:5" ht="15" thickBot="1" x14ac:dyDescent="0.4">
      <c r="B28" s="58" t="s">
        <v>103</v>
      </c>
      <c r="C28" s="58" t="s">
        <v>104</v>
      </c>
      <c r="D28" s="58" t="s">
        <v>106</v>
      </c>
      <c r="E28" s="58" t="s">
        <v>111</v>
      </c>
    </row>
    <row r="29" spans="1:5" x14ac:dyDescent="0.35">
      <c r="B29" s="42" t="s">
        <v>146</v>
      </c>
      <c r="C29" s="42" t="s">
        <v>147</v>
      </c>
      <c r="D29" s="42">
        <v>425000.0002389194</v>
      </c>
      <c r="E29" s="42">
        <v>0</v>
      </c>
    </row>
    <row r="30" spans="1:5" x14ac:dyDescent="0.35">
      <c r="B30" s="42" t="s">
        <v>148</v>
      </c>
      <c r="C30" s="42" t="s">
        <v>149</v>
      </c>
      <c r="D30" s="42">
        <v>395422.18654619646</v>
      </c>
      <c r="E30" s="42">
        <v>0</v>
      </c>
    </row>
    <row r="31" spans="1:5" x14ac:dyDescent="0.35">
      <c r="B31" s="42" t="s">
        <v>150</v>
      </c>
      <c r="C31" s="42" t="s">
        <v>151</v>
      </c>
      <c r="D31" s="42">
        <v>362098.11886455806</v>
      </c>
      <c r="E31" s="42">
        <v>0</v>
      </c>
    </row>
    <row r="32" spans="1:5" x14ac:dyDescent="0.35">
      <c r="B32" s="42" t="s">
        <v>152</v>
      </c>
      <c r="C32" s="42" t="s">
        <v>153</v>
      </c>
      <c r="D32" s="42">
        <v>316787.65015449573</v>
      </c>
      <c r="E32" s="42">
        <v>0</v>
      </c>
    </row>
    <row r="33" spans="2:5" x14ac:dyDescent="0.35">
      <c r="B33" s="42" t="s">
        <v>154</v>
      </c>
      <c r="C33" s="42" t="s">
        <v>155</v>
      </c>
      <c r="D33" s="42">
        <v>271182.01159080374</v>
      </c>
      <c r="E33" s="42">
        <v>0</v>
      </c>
    </row>
    <row r="34" spans="2:5" x14ac:dyDescent="0.35">
      <c r="B34" s="42" t="s">
        <v>156</v>
      </c>
      <c r="C34" s="42" t="s">
        <v>157</v>
      </c>
      <c r="D34" s="42">
        <v>9.42964106798172E-8</v>
      </c>
      <c r="E34" s="50">
        <v>2131.4808324853702</v>
      </c>
    </row>
    <row r="35" spans="2:5" x14ac:dyDescent="0.35">
      <c r="B35" s="42" t="s">
        <v>158</v>
      </c>
      <c r="C35" s="42" t="s">
        <v>159</v>
      </c>
      <c r="D35" s="42">
        <v>4.7797220759093761E-7</v>
      </c>
      <c r="E35" s="50">
        <v>129.26681714499603</v>
      </c>
    </row>
    <row r="36" spans="2:5" x14ac:dyDescent="0.35">
      <c r="B36" s="42" t="s">
        <v>160</v>
      </c>
      <c r="C36" s="42" t="s">
        <v>161</v>
      </c>
      <c r="D36" s="42">
        <v>4.0081795305013657E-7</v>
      </c>
      <c r="E36" s="50">
        <v>69.73255193293447</v>
      </c>
    </row>
    <row r="37" spans="2:5" x14ac:dyDescent="0.35">
      <c r="B37" s="42" t="s">
        <v>162</v>
      </c>
      <c r="C37" s="42" t="s">
        <v>163</v>
      </c>
      <c r="D37" s="42">
        <v>-6.915070116519928E-7</v>
      </c>
      <c r="E37" s="50">
        <v>23.936898323198701</v>
      </c>
    </row>
    <row r="38" spans="2:5" x14ac:dyDescent="0.35">
      <c r="B38" s="42" t="s">
        <v>164</v>
      </c>
      <c r="C38" s="42" t="s">
        <v>165</v>
      </c>
      <c r="D38" s="42">
        <v>249238.43813697912</v>
      </c>
      <c r="E38" s="50">
        <v>0</v>
      </c>
    </row>
    <row r="39" spans="2:5" x14ac:dyDescent="0.35">
      <c r="B39" s="42" t="s">
        <v>170</v>
      </c>
      <c r="C39" s="42" t="s">
        <v>171</v>
      </c>
      <c r="D39" s="42">
        <v>0</v>
      </c>
      <c r="E39" s="42">
        <v>0.91666112823097079</v>
      </c>
    </row>
    <row r="40" spans="2:5" x14ac:dyDescent="0.35">
      <c r="B40" s="42" t="s">
        <v>172</v>
      </c>
      <c r="C40" s="42" t="s">
        <v>173</v>
      </c>
      <c r="D40" s="42">
        <v>0</v>
      </c>
      <c r="E40" s="42">
        <v>0.20627231373887578</v>
      </c>
    </row>
    <row r="41" spans="2:5" x14ac:dyDescent="0.35">
      <c r="B41" s="42" t="s">
        <v>174</v>
      </c>
      <c r="C41" s="42" t="s">
        <v>175</v>
      </c>
      <c r="D41" s="42">
        <v>0</v>
      </c>
      <c r="E41" s="42">
        <v>0.13388488292505885</v>
      </c>
    </row>
    <row r="42" spans="2:5" x14ac:dyDescent="0.35">
      <c r="B42" s="42" t="s">
        <v>176</v>
      </c>
      <c r="C42" s="42" t="s">
        <v>177</v>
      </c>
      <c r="D42" s="42">
        <v>0</v>
      </c>
      <c r="E42" s="42">
        <v>8.8782761671912971E-2</v>
      </c>
    </row>
    <row r="43" spans="2:5" x14ac:dyDescent="0.35">
      <c r="B43" s="42" t="s">
        <v>178</v>
      </c>
      <c r="C43" s="42" t="s">
        <v>179</v>
      </c>
      <c r="D43" s="42">
        <v>0</v>
      </c>
      <c r="E43" s="42">
        <v>2.5354950577479114E-2</v>
      </c>
    </row>
    <row r="44" spans="2:5" ht="15" thickBot="1" x14ac:dyDescent="0.4">
      <c r="B44" s="43" t="s">
        <v>144</v>
      </c>
      <c r="C44" s="43" t="s">
        <v>145</v>
      </c>
      <c r="D44" s="43">
        <v>-7.4272975325584412E-8</v>
      </c>
      <c r="E44" s="51">
        <v>-268.54261396231362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D0F14-B083-4741-88C1-0AF40653C59C}">
  <dimension ref="A1:E44"/>
  <sheetViews>
    <sheetView showGridLines="0" workbookViewId="0">
      <selection activeCell="E44" sqref="E44"/>
    </sheetView>
  </sheetViews>
  <sheetFormatPr defaultRowHeight="14.5" x14ac:dyDescent="0.35"/>
  <cols>
    <col min="1" max="1" width="2.1796875" customWidth="1"/>
    <col min="2" max="2" width="6.08984375" bestFit="1" customWidth="1"/>
    <col min="3" max="3" width="31.36328125" bestFit="1" customWidth="1"/>
    <col min="4" max="4" width="12.453125" bestFit="1" customWidth="1"/>
    <col min="5" max="5" width="11.81640625" bestFit="1" customWidth="1"/>
  </cols>
  <sheetData>
    <row r="1" spans="1:5" x14ac:dyDescent="0.35">
      <c r="A1" s="29" t="s">
        <v>101</v>
      </c>
    </row>
    <row r="2" spans="1:5" x14ac:dyDescent="0.35">
      <c r="A2" s="29" t="s">
        <v>188</v>
      </c>
    </row>
    <row r="3" spans="1:5" x14ac:dyDescent="0.35">
      <c r="A3" s="29" t="s">
        <v>197</v>
      </c>
    </row>
    <row r="6" spans="1:5" ht="15" thickBot="1" x14ac:dyDescent="0.4">
      <c r="A6" t="s">
        <v>102</v>
      </c>
    </row>
    <row r="7" spans="1:5" x14ac:dyDescent="0.35">
      <c r="B7" s="57"/>
      <c r="C7" s="57"/>
      <c r="D7" s="57" t="s">
        <v>105</v>
      </c>
      <c r="E7" s="57" t="s">
        <v>107</v>
      </c>
    </row>
    <row r="8" spans="1:5" ht="15" thickBot="1" x14ac:dyDescent="0.4">
      <c r="B8" s="58" t="s">
        <v>103</v>
      </c>
      <c r="C8" s="58" t="s">
        <v>104</v>
      </c>
      <c r="D8" s="58" t="s">
        <v>106</v>
      </c>
      <c r="E8" s="58" t="s">
        <v>108</v>
      </c>
    </row>
    <row r="9" spans="1:5" x14ac:dyDescent="0.35">
      <c r="B9" s="42" t="s">
        <v>112</v>
      </c>
      <c r="C9" s="42" t="s">
        <v>113</v>
      </c>
      <c r="D9" s="42">
        <v>75000</v>
      </c>
      <c r="E9" s="42">
        <v>0</v>
      </c>
    </row>
    <row r="10" spans="1:5" x14ac:dyDescent="0.35">
      <c r="B10" s="42" t="s">
        <v>114</v>
      </c>
      <c r="C10" s="42" t="s">
        <v>115</v>
      </c>
      <c r="D10" s="42">
        <v>0</v>
      </c>
      <c r="E10" s="42">
        <v>13810.796573137215</v>
      </c>
    </row>
    <row r="11" spans="1:5" x14ac:dyDescent="0.35">
      <c r="B11" s="42" t="s">
        <v>116</v>
      </c>
      <c r="C11" s="42" t="s">
        <v>117</v>
      </c>
      <c r="D11" s="42">
        <v>0</v>
      </c>
      <c r="E11" s="42">
        <v>0</v>
      </c>
    </row>
    <row r="12" spans="1:5" x14ac:dyDescent="0.35">
      <c r="B12" s="42" t="s">
        <v>118</v>
      </c>
      <c r="C12" s="42" t="s">
        <v>119</v>
      </c>
      <c r="D12" s="42">
        <v>56808.379704400002</v>
      </c>
      <c r="E12" s="42">
        <v>0</v>
      </c>
    </row>
    <row r="13" spans="1:5" x14ac:dyDescent="0.35">
      <c r="B13" s="42" t="s">
        <v>120</v>
      </c>
      <c r="C13" s="42" t="s">
        <v>121</v>
      </c>
      <c r="D13" s="42">
        <v>25811.716231875766</v>
      </c>
      <c r="E13" s="42">
        <v>0</v>
      </c>
    </row>
    <row r="14" spans="1:5" x14ac:dyDescent="0.35">
      <c r="B14" s="42" t="s">
        <v>122</v>
      </c>
      <c r="C14" s="42" t="s">
        <v>123</v>
      </c>
      <c r="D14" s="42">
        <v>0</v>
      </c>
      <c r="E14" s="42">
        <v>0</v>
      </c>
    </row>
    <row r="15" spans="1:5" x14ac:dyDescent="0.35">
      <c r="B15" s="42" t="s">
        <v>124</v>
      </c>
      <c r="C15" s="42" t="s">
        <v>125</v>
      </c>
      <c r="D15" s="42">
        <v>43017.854862506108</v>
      </c>
      <c r="E15" s="42">
        <v>0</v>
      </c>
    </row>
    <row r="16" spans="1:5" x14ac:dyDescent="0.35">
      <c r="B16" s="42" t="s">
        <v>126</v>
      </c>
      <c r="C16" s="42" t="s">
        <v>127</v>
      </c>
      <c r="D16" s="42">
        <v>57781.136473834282</v>
      </c>
      <c r="E16" s="42">
        <v>0</v>
      </c>
    </row>
    <row r="17" spans="1:5" x14ac:dyDescent="0.35">
      <c r="B17" s="42" t="s">
        <v>128</v>
      </c>
      <c r="C17" s="42" t="s">
        <v>129</v>
      </c>
      <c r="D17" s="42">
        <v>0</v>
      </c>
      <c r="E17" s="42">
        <v>0</v>
      </c>
    </row>
    <row r="18" spans="1:5" x14ac:dyDescent="0.35">
      <c r="B18" s="42" t="s">
        <v>130</v>
      </c>
      <c r="C18" s="42" t="s">
        <v>131</v>
      </c>
      <c r="D18" s="42">
        <v>58491.075119839123</v>
      </c>
      <c r="E18" s="42">
        <v>0</v>
      </c>
    </row>
    <row r="19" spans="1:5" x14ac:dyDescent="0.35">
      <c r="B19" s="42" t="s">
        <v>132</v>
      </c>
      <c r="C19" s="42" t="s">
        <v>133</v>
      </c>
      <c r="D19" s="42">
        <v>101249.70800775617</v>
      </c>
      <c r="E19" s="42">
        <v>0</v>
      </c>
    </row>
    <row r="20" spans="1:5" x14ac:dyDescent="0.35">
      <c r="B20" s="42" t="s">
        <v>134</v>
      </c>
      <c r="C20" s="42" t="s">
        <v>135</v>
      </c>
      <c r="D20" s="42">
        <v>0</v>
      </c>
      <c r="E20" s="42">
        <v>0</v>
      </c>
    </row>
    <row r="21" spans="1:5" x14ac:dyDescent="0.35">
      <c r="B21" s="42" t="s">
        <v>136</v>
      </c>
      <c r="C21" s="42" t="s">
        <v>137</v>
      </c>
      <c r="D21" s="42">
        <v>79529.880277326374</v>
      </c>
      <c r="E21" s="42">
        <v>0</v>
      </c>
    </row>
    <row r="22" spans="1:5" x14ac:dyDescent="0.35">
      <c r="B22" s="42" t="s">
        <v>138</v>
      </c>
      <c r="C22" s="42" t="s">
        <v>139</v>
      </c>
      <c r="D22" s="42">
        <v>118177.85860437993</v>
      </c>
      <c r="E22" s="42">
        <v>0</v>
      </c>
    </row>
    <row r="23" spans="1:5" x14ac:dyDescent="0.35">
      <c r="B23" s="42" t="s">
        <v>140</v>
      </c>
      <c r="C23" s="42" t="s">
        <v>141</v>
      </c>
      <c r="D23" s="42">
        <v>0</v>
      </c>
      <c r="E23" s="42">
        <v>0</v>
      </c>
    </row>
    <row r="24" spans="1:5" ht="15" thickBot="1" x14ac:dyDescent="0.4">
      <c r="B24" s="43" t="s">
        <v>142</v>
      </c>
      <c r="C24" s="43" t="s">
        <v>143</v>
      </c>
      <c r="D24" s="43">
        <v>295825.67928274901</v>
      </c>
      <c r="E24" s="43">
        <v>0</v>
      </c>
    </row>
    <row r="26" spans="1:5" ht="15" thickBot="1" x14ac:dyDescent="0.4">
      <c r="A26" t="s">
        <v>109</v>
      </c>
    </row>
    <row r="27" spans="1:5" x14ac:dyDescent="0.35">
      <c r="B27" s="57"/>
      <c r="C27" s="57"/>
      <c r="D27" s="57" t="s">
        <v>105</v>
      </c>
      <c r="E27" s="57" t="s">
        <v>110</v>
      </c>
    </row>
    <row r="28" spans="1:5" ht="15" thickBot="1" x14ac:dyDescent="0.4">
      <c r="B28" s="58" t="s">
        <v>103</v>
      </c>
      <c r="C28" s="58" t="s">
        <v>104</v>
      </c>
      <c r="D28" s="58" t="s">
        <v>106</v>
      </c>
      <c r="E28" s="58" t="s">
        <v>111</v>
      </c>
    </row>
    <row r="29" spans="1:5" x14ac:dyDescent="0.35">
      <c r="B29" s="42" t="s">
        <v>146</v>
      </c>
      <c r="C29" s="42" t="s">
        <v>147</v>
      </c>
      <c r="D29" s="42">
        <v>425000</v>
      </c>
      <c r="E29" s="42">
        <v>0</v>
      </c>
    </row>
    <row r="30" spans="1:5" x14ac:dyDescent="0.35">
      <c r="B30" s="42" t="s">
        <v>148</v>
      </c>
      <c r="C30" s="42" t="s">
        <v>149</v>
      </c>
      <c r="D30" s="42">
        <v>399188.28376812424</v>
      </c>
      <c r="E30" s="42">
        <v>0</v>
      </c>
    </row>
    <row r="31" spans="1:5" x14ac:dyDescent="0.35">
      <c r="B31" s="42" t="s">
        <v>150</v>
      </c>
      <c r="C31" s="42" t="s">
        <v>151</v>
      </c>
      <c r="D31" s="42">
        <v>367218.86352616572</v>
      </c>
      <c r="E31" s="42">
        <v>0</v>
      </c>
    </row>
    <row r="32" spans="1:5" x14ac:dyDescent="0.35">
      <c r="B32" s="42" t="s">
        <v>152</v>
      </c>
      <c r="C32" s="42" t="s">
        <v>153</v>
      </c>
      <c r="D32" s="42">
        <v>323750.29199224385</v>
      </c>
      <c r="E32" s="42">
        <v>0</v>
      </c>
    </row>
    <row r="33" spans="2:5" x14ac:dyDescent="0.35">
      <c r="B33" s="42" t="s">
        <v>154</v>
      </c>
      <c r="C33" s="42" t="s">
        <v>155</v>
      </c>
      <c r="D33" s="42">
        <v>306822.14139562007</v>
      </c>
      <c r="E33" s="42">
        <v>0</v>
      </c>
    </row>
    <row r="34" spans="2:5" x14ac:dyDescent="0.35">
      <c r="B34" s="42" t="s">
        <v>156</v>
      </c>
      <c r="C34" s="42" t="s">
        <v>157</v>
      </c>
      <c r="D34" s="42">
        <v>0</v>
      </c>
      <c r="E34" s="50">
        <v>2978.3669243274908</v>
      </c>
    </row>
    <row r="35" spans="2:5" x14ac:dyDescent="0.35">
      <c r="B35" s="42" t="s">
        <v>158</v>
      </c>
      <c r="C35" s="42" t="s">
        <v>159</v>
      </c>
      <c r="D35" s="42">
        <v>-2.2267340682446957E-7</v>
      </c>
      <c r="E35" s="50">
        <v>102.28434376108467</v>
      </c>
    </row>
    <row r="36" spans="2:5" x14ac:dyDescent="0.35">
      <c r="B36" s="42" t="s">
        <v>160</v>
      </c>
      <c r="C36" s="42" t="s">
        <v>161</v>
      </c>
      <c r="D36" s="42">
        <v>-6.8801455199718475E-8</v>
      </c>
      <c r="E36" s="50">
        <v>49.51571825996696</v>
      </c>
    </row>
    <row r="37" spans="2:5" x14ac:dyDescent="0.35">
      <c r="B37" s="42" t="s">
        <v>162</v>
      </c>
      <c r="C37" s="42" t="s">
        <v>163</v>
      </c>
      <c r="D37" s="42">
        <v>-8.6339423432946205E-7</v>
      </c>
      <c r="E37" s="50">
        <v>5.5816809941590044</v>
      </c>
    </row>
    <row r="38" spans="2:5" x14ac:dyDescent="0.35">
      <c r="B38" s="42" t="s">
        <v>164</v>
      </c>
      <c r="C38" s="42" t="s">
        <v>165</v>
      </c>
      <c r="D38" s="42">
        <v>534018.34530730033</v>
      </c>
      <c r="E38" s="50">
        <v>0</v>
      </c>
    </row>
    <row r="39" spans="2:5" x14ac:dyDescent="0.35">
      <c r="B39" s="42" t="s">
        <v>170</v>
      </c>
      <c r="C39" s="42" t="s">
        <v>171</v>
      </c>
      <c r="D39" s="42">
        <v>0</v>
      </c>
      <c r="E39" s="42">
        <v>1.2567369564353483</v>
      </c>
    </row>
    <row r="40" spans="2:5" x14ac:dyDescent="0.35">
      <c r="B40" s="42" t="s">
        <v>172</v>
      </c>
      <c r="C40" s="42" t="s">
        <v>173</v>
      </c>
      <c r="D40" s="42">
        <v>0</v>
      </c>
      <c r="E40" s="42">
        <v>0.35805190103826467</v>
      </c>
    </row>
    <row r="41" spans="2:5" x14ac:dyDescent="0.35">
      <c r="B41" s="42" t="s">
        <v>174</v>
      </c>
      <c r="C41" s="42" t="s">
        <v>175</v>
      </c>
      <c r="D41" s="42">
        <v>0</v>
      </c>
      <c r="E41" s="42">
        <v>0.22996060413199942</v>
      </c>
    </row>
    <row r="42" spans="2:5" x14ac:dyDescent="0.35">
      <c r="B42" s="42" t="s">
        <v>176</v>
      </c>
      <c r="C42" s="42" t="s">
        <v>177</v>
      </c>
      <c r="D42" s="42">
        <v>0</v>
      </c>
      <c r="E42" s="42">
        <v>0.15547742518176128</v>
      </c>
    </row>
    <row r="43" spans="2:5" x14ac:dyDescent="0.35">
      <c r="B43" s="42" t="s">
        <v>178</v>
      </c>
      <c r="C43" s="42" t="s">
        <v>179</v>
      </c>
      <c r="D43" s="42">
        <v>0</v>
      </c>
      <c r="E43" s="42">
        <v>2.1717267002118817E-2</v>
      </c>
    </row>
    <row r="44" spans="2:5" ht="15" thickBot="1" x14ac:dyDescent="0.4">
      <c r="B44" s="43" t="s">
        <v>144</v>
      </c>
      <c r="C44" s="43" t="s">
        <v>145</v>
      </c>
      <c r="D44" s="43">
        <v>5.5856071412563324E-7</v>
      </c>
      <c r="E44" s="51">
        <v>-353.18399198775364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salt</vt:lpstr>
      <vt:lpstr>lm0_6000</vt:lpstr>
      <vt:lpstr>lm1_6000</vt:lpstr>
      <vt:lpstr>lm2_6000_2</vt:lpstr>
      <vt:lpstr>lm0_4500</vt:lpstr>
      <vt:lpstr>lm1_4500</vt:lpstr>
      <vt:lpstr>lm2_4500</vt:lpstr>
      <vt:lpstr>lm0_3000</vt:lpstr>
      <vt:lpstr>lm1_3000</vt:lpstr>
      <vt:lpstr>lm2_3000</vt:lpstr>
      <vt:lpstr>lm0_500</vt:lpstr>
      <vt:lpstr>lm1_500</vt:lpstr>
      <vt:lpstr>lm2_500</vt:lpstr>
      <vt:lpstr>lm0_500_d</vt:lpstr>
      <vt:lpstr>lm0_3000_d</vt:lpstr>
      <vt:lpstr>lm0_4500_d</vt:lpstr>
      <vt:lpstr>lm0_6000_d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 Yao</dc:creator>
  <cp:lastModifiedBy>Gracie Yao</cp:lastModifiedBy>
  <dcterms:created xsi:type="dcterms:W3CDTF">2019-06-05T01:15:16Z</dcterms:created>
  <dcterms:modified xsi:type="dcterms:W3CDTF">2021-08-11T20:53:28Z</dcterms:modified>
</cp:coreProperties>
</file>