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1\DATA\"/>
    </mc:Choice>
  </mc:AlternateContent>
  <xr:revisionPtr revIDLastSave="0" documentId="13_ncr:1_{0246439A-E6E2-4BF8-9756-C04F5C0C76FE}" xr6:coauthVersionLast="47" xr6:coauthVersionMax="47" xr10:uidLastSave="{00000000-0000-0000-0000-000000000000}"/>
  <bookViews>
    <workbookView xWindow="28680" yWindow="-120" windowWidth="29040" windowHeight="15840" tabRatio="647" activeTab="7" xr2:uid="{1E8D25FD-4424-4222-95ED-BEC3D41C5D56}"/>
  </bookViews>
  <sheets>
    <sheet name="Figure 3" sheetId="30" r:id="rId1"/>
    <sheet name="Figure 4" sheetId="33" r:id="rId2"/>
    <sheet name="Figure 5" sheetId="34" r:id="rId3"/>
    <sheet name="Figure 6a" sheetId="35" r:id="rId4"/>
    <sheet name="Figure 6b" sheetId="36" r:id="rId5"/>
    <sheet name="Figure 7" sheetId="37" r:id="rId6"/>
    <sheet name="Figure 8" sheetId="26" r:id="rId7"/>
    <sheet name="Figure 9" sheetId="38" r:id="rId8"/>
    <sheet name="base" sheetId="31" r:id="rId9"/>
  </sheets>
  <externalReferences>
    <externalReference r:id="rId10"/>
  </externalReferences>
  <definedNames>
    <definedName name="solver_adj" localSheetId="8" hidden="1">base!$I$1,base!$H$3:$J$7</definedName>
    <definedName name="solver_cvg" localSheetId="8" hidden="1">0.00001</definedName>
    <definedName name="solver_drv" localSheetId="8" hidden="1">2</definedName>
    <definedName name="solver_eng" localSheetId="8" hidden="1">1</definedName>
    <definedName name="solver_est" localSheetId="8" hidden="1">1</definedName>
    <definedName name="solver_itr" localSheetId="8" hidden="1">2147483647</definedName>
    <definedName name="solver_lhs1" localSheetId="8" hidden="1">base!$H$3:$H$6</definedName>
    <definedName name="solver_lhs10" localSheetId="8" hidden="1">base!$L$57</definedName>
    <definedName name="solver_lhs11" localSheetId="8" hidden="1">base!$L$57</definedName>
    <definedName name="solver_lhs12" localSheetId="8" hidden="1">base!$L$57</definedName>
    <definedName name="solver_lhs2" localSheetId="8" hidden="1">base!$H$3:$J$7</definedName>
    <definedName name="solver_lhs3" localSheetId="8" hidden="1">base!$H$40:$H$44</definedName>
    <definedName name="solver_lhs4" localSheetId="8" hidden="1">base!$H$46:$H$50</definedName>
    <definedName name="solver_lhs5" localSheetId="8" hidden="1">base!$I$1</definedName>
    <definedName name="solver_lhs6" localSheetId="8" hidden="1">base!$K$3:$K$7</definedName>
    <definedName name="solver_lhs7" localSheetId="8" hidden="1">base!$L$57</definedName>
    <definedName name="solver_lhs8" localSheetId="8" hidden="1">base!$L$57</definedName>
    <definedName name="solver_lhs9" localSheetId="8" hidden="1">base!$L$57</definedName>
    <definedName name="solver_mip" localSheetId="8" hidden="1">2147483647</definedName>
    <definedName name="solver_mni" localSheetId="8" hidden="1">30</definedName>
    <definedName name="solver_mrt" localSheetId="8" hidden="1">0.075</definedName>
    <definedName name="solver_msl" localSheetId="8" hidden="1">2</definedName>
    <definedName name="solver_neg" localSheetId="8" hidden="1">1</definedName>
    <definedName name="solver_nod" localSheetId="8" hidden="1">2147483647</definedName>
    <definedName name="solver_num" localSheetId="8" hidden="1">7</definedName>
    <definedName name="solver_nwt" localSheetId="8" hidden="1">1</definedName>
    <definedName name="solver_opt" localSheetId="8" hidden="1">base!$G$9</definedName>
    <definedName name="solver_pre" localSheetId="8" hidden="1">0.000001</definedName>
    <definedName name="solver_rbv" localSheetId="8" hidden="1">2</definedName>
    <definedName name="solver_rel1" localSheetId="8" hidden="1">1</definedName>
    <definedName name="solver_rel10" localSheetId="8" hidden="1">2</definedName>
    <definedName name="solver_rel11" localSheetId="8" hidden="1">2</definedName>
    <definedName name="solver_rel12" localSheetId="8" hidden="1">2</definedName>
    <definedName name="solver_rel2" localSheetId="8" hidden="1">3</definedName>
    <definedName name="solver_rel3" localSheetId="8" hidden="1">3</definedName>
    <definedName name="solver_rel4" localSheetId="8" hidden="1">3</definedName>
    <definedName name="solver_rel5" localSheetId="8" hidden="1">3</definedName>
    <definedName name="solver_rel6" localSheetId="8" hidden="1">2</definedName>
    <definedName name="solver_rel7" localSheetId="8" hidden="1">2</definedName>
    <definedName name="solver_rel8" localSheetId="8" hidden="1">2</definedName>
    <definedName name="solver_rel9" localSheetId="8" hidden="1">2</definedName>
    <definedName name="solver_rhs1" localSheetId="8" hidden="1">base!$H$4:$H$7</definedName>
    <definedName name="solver_rhs10" localSheetId="8" hidden="1">0</definedName>
    <definedName name="solver_rhs11" localSheetId="8" hidden="1">0</definedName>
    <definedName name="solver_rhs12" localSheetId="8" hidden="1">0</definedName>
    <definedName name="solver_rhs2" localSheetId="8" hidden="1">0</definedName>
    <definedName name="solver_rhs3" localSheetId="8" hidden="1">0</definedName>
    <definedName name="solver_rhs4" localSheetId="8" hidden="1">0</definedName>
    <definedName name="solver_rhs5" localSheetId="8" hidden="1">0</definedName>
    <definedName name="solver_rhs6" localSheetId="8" hidden="1">0</definedName>
    <definedName name="solver_rhs7" localSheetId="8" hidden="1">0</definedName>
    <definedName name="solver_rhs8" localSheetId="8" hidden="1">0</definedName>
    <definedName name="solver_rhs9" localSheetId="8" hidden="1">0</definedName>
    <definedName name="solver_rlx" localSheetId="8" hidden="1">2</definedName>
    <definedName name="solver_rsd" localSheetId="8" hidden="1">0</definedName>
    <definedName name="solver_scl" localSheetId="8" hidden="1">2</definedName>
    <definedName name="solver_sho" localSheetId="8" hidden="1">2</definedName>
    <definedName name="solver_ssz" localSheetId="8" hidden="1">100</definedName>
    <definedName name="solver_tim" localSheetId="8" hidden="1">2147483647</definedName>
    <definedName name="solver_tol" localSheetId="8" hidden="1">0.01</definedName>
    <definedName name="solver_typ" localSheetId="8" hidden="1">2</definedName>
    <definedName name="solver_val" localSheetId="8" hidden="1">0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8" l="1"/>
  <c r="E5" i="38"/>
  <c r="E6" i="38"/>
  <c r="E7" i="38"/>
  <c r="E8" i="38"/>
  <c r="E9" i="38"/>
  <c r="E10" i="38"/>
  <c r="E11" i="38"/>
  <c r="E12" i="38"/>
  <c r="E13" i="38"/>
  <c r="E3" i="38"/>
  <c r="C4" i="38"/>
  <c r="C5" i="38"/>
  <c r="C6" i="38"/>
  <c r="C7" i="38"/>
  <c r="C8" i="38"/>
  <c r="C9" i="38"/>
  <c r="C10" i="38"/>
  <c r="C11" i="38"/>
  <c r="C12" i="38"/>
  <c r="C13" i="38"/>
  <c r="C3" i="38"/>
  <c r="I5" i="38"/>
  <c r="I6" i="38"/>
  <c r="I7" i="38"/>
  <c r="I8" i="38"/>
  <c r="I9" i="38"/>
  <c r="I10" i="38"/>
  <c r="I11" i="38"/>
  <c r="I12" i="38"/>
  <c r="I13" i="38"/>
  <c r="I4" i="38"/>
  <c r="G5" i="38"/>
  <c r="G6" i="38"/>
  <c r="G7" i="38"/>
  <c r="G8" i="38"/>
  <c r="G9" i="38"/>
  <c r="G10" i="38"/>
  <c r="G11" i="38"/>
  <c r="G12" i="38"/>
  <c r="G13" i="38"/>
  <c r="G4" i="38"/>
  <c r="R3" i="26"/>
  <c r="R4" i="26"/>
  <c r="R5" i="26"/>
  <c r="R6" i="26"/>
  <c r="R8" i="26"/>
  <c r="R9" i="26"/>
  <c r="R10" i="26"/>
  <c r="R11" i="26"/>
  <c r="R12" i="26"/>
  <c r="R14" i="26"/>
  <c r="R15" i="26"/>
  <c r="R16" i="26"/>
  <c r="R17" i="26"/>
  <c r="R18" i="26"/>
  <c r="R2" i="26"/>
  <c r="P3" i="26"/>
  <c r="P4" i="26"/>
  <c r="P5" i="26"/>
  <c r="P6" i="26"/>
  <c r="P8" i="26"/>
  <c r="P9" i="26"/>
  <c r="P10" i="26"/>
  <c r="P11" i="26"/>
  <c r="P12" i="26"/>
  <c r="P14" i="26"/>
  <c r="P15" i="26"/>
  <c r="P16" i="26"/>
  <c r="P17" i="26"/>
  <c r="P18" i="26"/>
  <c r="P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2" i="26"/>
  <c r="L3" i="26"/>
  <c r="L4" i="26"/>
  <c r="L5" i="26"/>
  <c r="L6" i="26"/>
  <c r="L8" i="26"/>
  <c r="L9" i="26"/>
  <c r="L10" i="26"/>
  <c r="L11" i="26"/>
  <c r="L12" i="26"/>
  <c r="L14" i="26"/>
  <c r="L15" i="26"/>
  <c r="L16" i="26"/>
  <c r="L17" i="26"/>
  <c r="L18" i="26"/>
  <c r="L2" i="26"/>
  <c r="J3" i="26"/>
  <c r="J4" i="26"/>
  <c r="J5" i="26"/>
  <c r="J6" i="26"/>
  <c r="J8" i="26"/>
  <c r="J9" i="26"/>
  <c r="J10" i="26"/>
  <c r="J11" i="26"/>
  <c r="J12" i="26"/>
  <c r="J14" i="26"/>
  <c r="J15" i="26"/>
  <c r="J16" i="26"/>
  <c r="J17" i="26"/>
  <c r="J18" i="26"/>
  <c r="J2" i="26"/>
  <c r="H3" i="26"/>
  <c r="H4" i="26"/>
  <c r="H5" i="26"/>
  <c r="H6" i="26"/>
  <c r="H8" i="26"/>
  <c r="H9" i="26"/>
  <c r="H10" i="26"/>
  <c r="H11" i="26"/>
  <c r="H12" i="26"/>
  <c r="H14" i="26"/>
  <c r="H15" i="26"/>
  <c r="H16" i="26"/>
  <c r="H17" i="26"/>
  <c r="H18" i="26"/>
  <c r="H2" i="26"/>
  <c r="I4" i="37"/>
  <c r="I5" i="37"/>
  <c r="I6" i="37"/>
  <c r="I7" i="37"/>
  <c r="I8" i="37"/>
  <c r="I9" i="37"/>
  <c r="I10" i="37"/>
  <c r="I11" i="37"/>
  <c r="I12" i="37"/>
  <c r="I13" i="37"/>
  <c r="I3" i="37"/>
  <c r="G4" i="37"/>
  <c r="G5" i="37"/>
  <c r="G6" i="37"/>
  <c r="G7" i="37"/>
  <c r="G8" i="37"/>
  <c r="G9" i="37"/>
  <c r="G10" i="37"/>
  <c r="G11" i="37"/>
  <c r="G12" i="37"/>
  <c r="G13" i="37"/>
  <c r="G3" i="37"/>
  <c r="E4" i="37"/>
  <c r="E5" i="37"/>
  <c r="E6" i="37"/>
  <c r="E7" i="37"/>
  <c r="E8" i="37"/>
  <c r="E9" i="37"/>
  <c r="E10" i="37"/>
  <c r="E11" i="37"/>
  <c r="E12" i="37"/>
  <c r="E13" i="37"/>
  <c r="E3" i="37"/>
  <c r="C3" i="37"/>
  <c r="C4" i="37"/>
  <c r="C5" i="37"/>
  <c r="C6" i="37"/>
  <c r="C7" i="37"/>
  <c r="C8" i="37"/>
  <c r="C9" i="37"/>
  <c r="C10" i="37"/>
  <c r="C11" i="37"/>
  <c r="C12" i="37"/>
  <c r="C13" i="37"/>
  <c r="O3" i="36" l="1"/>
  <c r="O4" i="36"/>
  <c r="O5" i="36"/>
  <c r="O6" i="36"/>
  <c r="O8" i="36"/>
  <c r="O9" i="36"/>
  <c r="O10" i="36"/>
  <c r="O11" i="36"/>
  <c r="O12" i="36"/>
  <c r="O2" i="36"/>
  <c r="M3" i="36"/>
  <c r="M4" i="36"/>
  <c r="M5" i="36"/>
  <c r="M6" i="36"/>
  <c r="M8" i="36"/>
  <c r="M9" i="36"/>
  <c r="M10" i="36"/>
  <c r="M11" i="36"/>
  <c r="M12" i="36"/>
  <c r="M2" i="36"/>
  <c r="K3" i="36"/>
  <c r="K4" i="36"/>
  <c r="K5" i="36"/>
  <c r="K6" i="36"/>
  <c r="K8" i="36"/>
  <c r="K9" i="36"/>
  <c r="K10" i="36"/>
  <c r="K11" i="36"/>
  <c r="K12" i="36"/>
  <c r="K2" i="36"/>
  <c r="I3" i="36"/>
  <c r="I4" i="36"/>
  <c r="I5" i="36"/>
  <c r="I6" i="36"/>
  <c r="I8" i="36"/>
  <c r="I9" i="36"/>
  <c r="I10" i="36"/>
  <c r="I11" i="36"/>
  <c r="I12" i="36"/>
  <c r="I2" i="36"/>
  <c r="G3" i="36"/>
  <c r="G4" i="36"/>
  <c r="G5" i="36"/>
  <c r="G6" i="36"/>
  <c r="G8" i="36"/>
  <c r="G9" i="36"/>
  <c r="G10" i="36"/>
  <c r="G11" i="36"/>
  <c r="G12" i="36"/>
  <c r="G2" i="36"/>
  <c r="P12" i="36"/>
  <c r="N12" i="36"/>
  <c r="J12" i="36"/>
  <c r="H12" i="36"/>
  <c r="P11" i="36"/>
  <c r="N11" i="36"/>
  <c r="J11" i="36"/>
  <c r="H11" i="36"/>
  <c r="P10" i="36"/>
  <c r="N10" i="36"/>
  <c r="J10" i="36"/>
  <c r="H10" i="36"/>
  <c r="P9" i="36"/>
  <c r="N9" i="36"/>
  <c r="J9" i="36"/>
  <c r="H9" i="36"/>
  <c r="P8" i="36"/>
  <c r="N8" i="36"/>
  <c r="J8" i="36"/>
  <c r="H8" i="36"/>
  <c r="P6" i="36"/>
  <c r="N6" i="36"/>
  <c r="J6" i="36"/>
  <c r="H6" i="36"/>
  <c r="P5" i="36"/>
  <c r="N5" i="36"/>
  <c r="J5" i="36"/>
  <c r="H5" i="36"/>
  <c r="P4" i="36"/>
  <c r="N4" i="36"/>
  <c r="J4" i="36"/>
  <c r="H4" i="36"/>
  <c r="P3" i="36"/>
  <c r="N3" i="36"/>
  <c r="J3" i="36"/>
  <c r="H3" i="36"/>
  <c r="P2" i="36"/>
  <c r="N2" i="36"/>
  <c r="J2" i="36"/>
  <c r="H2" i="36"/>
  <c r="Q3" i="35"/>
  <c r="Q4" i="35"/>
  <c r="Q5" i="35"/>
  <c r="Q6" i="35"/>
  <c r="Q8" i="35"/>
  <c r="Q9" i="35"/>
  <c r="Q10" i="35"/>
  <c r="Q11" i="35"/>
  <c r="Q12" i="35"/>
  <c r="Q2" i="35"/>
  <c r="O3" i="35"/>
  <c r="O4" i="35"/>
  <c r="O5" i="35"/>
  <c r="O6" i="35"/>
  <c r="O8" i="35"/>
  <c r="O9" i="35"/>
  <c r="O10" i="35"/>
  <c r="O11" i="35"/>
  <c r="O12" i="35"/>
  <c r="O2" i="35"/>
  <c r="M3" i="35"/>
  <c r="M4" i="35"/>
  <c r="M5" i="35"/>
  <c r="M6" i="35"/>
  <c r="M8" i="35"/>
  <c r="M9" i="35"/>
  <c r="M10" i="35"/>
  <c r="M11" i="35"/>
  <c r="M12" i="35"/>
  <c r="M2" i="35"/>
  <c r="K3" i="35"/>
  <c r="K4" i="35"/>
  <c r="K5" i="35"/>
  <c r="K6" i="35"/>
  <c r="K8" i="35"/>
  <c r="K9" i="35"/>
  <c r="K10" i="35"/>
  <c r="K11" i="35"/>
  <c r="K12" i="35"/>
  <c r="K2" i="35"/>
  <c r="I3" i="35"/>
  <c r="I4" i="35"/>
  <c r="I5" i="35"/>
  <c r="I6" i="35"/>
  <c r="I8" i="35"/>
  <c r="I9" i="35"/>
  <c r="I10" i="35"/>
  <c r="I11" i="35"/>
  <c r="I12" i="35"/>
  <c r="I2" i="35"/>
  <c r="G3" i="35"/>
  <c r="G4" i="35"/>
  <c r="G5" i="35"/>
  <c r="G6" i="35"/>
  <c r="G8" i="35"/>
  <c r="G9" i="35"/>
  <c r="G10" i="35"/>
  <c r="G11" i="35"/>
  <c r="G12" i="35"/>
  <c r="G2" i="35"/>
  <c r="P12" i="35"/>
  <c r="N12" i="35"/>
  <c r="J12" i="35"/>
  <c r="H12" i="35"/>
  <c r="P11" i="35"/>
  <c r="N11" i="35"/>
  <c r="J11" i="35"/>
  <c r="H11" i="35"/>
  <c r="P10" i="35"/>
  <c r="N10" i="35"/>
  <c r="J10" i="35"/>
  <c r="H10" i="35"/>
  <c r="P9" i="35"/>
  <c r="N9" i="35"/>
  <c r="J9" i="35"/>
  <c r="H9" i="35"/>
  <c r="P8" i="35"/>
  <c r="N8" i="35"/>
  <c r="J8" i="35"/>
  <c r="H8" i="35"/>
  <c r="P6" i="35"/>
  <c r="N6" i="35"/>
  <c r="J6" i="35"/>
  <c r="H6" i="35"/>
  <c r="P5" i="35"/>
  <c r="N5" i="35"/>
  <c r="J5" i="35"/>
  <c r="H5" i="35"/>
  <c r="P4" i="35"/>
  <c r="N4" i="35"/>
  <c r="J4" i="35"/>
  <c r="H4" i="35"/>
  <c r="P3" i="35"/>
  <c r="N3" i="35"/>
  <c r="J3" i="35"/>
  <c r="H3" i="35"/>
  <c r="P2" i="35"/>
  <c r="N2" i="35"/>
  <c r="J2" i="35"/>
  <c r="H2" i="35"/>
  <c r="Q3" i="34"/>
  <c r="Q4" i="34"/>
  <c r="Q5" i="34"/>
  <c r="Q6" i="34"/>
  <c r="Q8" i="34"/>
  <c r="Q9" i="34"/>
  <c r="Q10" i="34"/>
  <c r="Q11" i="34"/>
  <c r="Q12" i="34"/>
  <c r="Q2" i="34"/>
  <c r="O3" i="34"/>
  <c r="O4" i="34"/>
  <c r="O5" i="34"/>
  <c r="O6" i="34"/>
  <c r="O8" i="34"/>
  <c r="O9" i="34"/>
  <c r="O10" i="34"/>
  <c r="O11" i="34"/>
  <c r="O12" i="34"/>
  <c r="O2" i="34"/>
  <c r="M3" i="34"/>
  <c r="M4" i="34"/>
  <c r="M5" i="34"/>
  <c r="M6" i="34"/>
  <c r="M8" i="34"/>
  <c r="M9" i="34"/>
  <c r="M10" i="34"/>
  <c r="M11" i="34"/>
  <c r="M12" i="34"/>
  <c r="M2" i="34"/>
  <c r="K3" i="34"/>
  <c r="K4" i="34"/>
  <c r="K5" i="34"/>
  <c r="K6" i="34"/>
  <c r="K8" i="34"/>
  <c r="K9" i="34"/>
  <c r="K10" i="34"/>
  <c r="K11" i="34"/>
  <c r="K12" i="34"/>
  <c r="K2" i="34"/>
  <c r="I3" i="34"/>
  <c r="I4" i="34"/>
  <c r="I5" i="34"/>
  <c r="I6" i="34"/>
  <c r="I8" i="34"/>
  <c r="I9" i="34"/>
  <c r="I10" i="34"/>
  <c r="I11" i="34"/>
  <c r="I12" i="34"/>
  <c r="I2" i="34"/>
  <c r="G3" i="34"/>
  <c r="G4" i="34"/>
  <c r="G5" i="34"/>
  <c r="G6" i="34"/>
  <c r="G8" i="34"/>
  <c r="G9" i="34"/>
  <c r="G10" i="34"/>
  <c r="G11" i="34"/>
  <c r="G12" i="34"/>
  <c r="G2" i="34"/>
  <c r="P12" i="34"/>
  <c r="N12" i="34"/>
  <c r="J12" i="34"/>
  <c r="H12" i="34"/>
  <c r="P11" i="34"/>
  <c r="N11" i="34"/>
  <c r="J11" i="34"/>
  <c r="H11" i="34"/>
  <c r="P10" i="34"/>
  <c r="N10" i="34"/>
  <c r="J10" i="34"/>
  <c r="H10" i="34"/>
  <c r="P9" i="34"/>
  <c r="N9" i="34"/>
  <c r="J9" i="34"/>
  <c r="H9" i="34"/>
  <c r="P8" i="34"/>
  <c r="N8" i="34"/>
  <c r="J8" i="34"/>
  <c r="H8" i="34"/>
  <c r="P6" i="34"/>
  <c r="N6" i="34"/>
  <c r="J6" i="34"/>
  <c r="H6" i="34"/>
  <c r="P5" i="34"/>
  <c r="N5" i="34"/>
  <c r="J5" i="34"/>
  <c r="H5" i="34"/>
  <c r="P4" i="34"/>
  <c r="N4" i="34"/>
  <c r="J4" i="34"/>
  <c r="H4" i="34"/>
  <c r="P3" i="34"/>
  <c r="N3" i="34"/>
  <c r="J3" i="34"/>
  <c r="H3" i="34"/>
  <c r="P2" i="34"/>
  <c r="N2" i="34"/>
  <c r="J2" i="34"/>
  <c r="H2" i="34"/>
  <c r="Q3" i="33"/>
  <c r="Q4" i="33"/>
  <c r="Q5" i="33"/>
  <c r="Q6" i="33"/>
  <c r="Q8" i="33"/>
  <c r="Q9" i="33"/>
  <c r="Q10" i="33"/>
  <c r="Q11" i="33"/>
  <c r="Q12" i="33"/>
  <c r="Q14" i="33"/>
  <c r="Q15" i="33"/>
  <c r="Q16" i="33"/>
  <c r="Q17" i="33"/>
  <c r="Q18" i="33"/>
  <c r="Q20" i="33"/>
  <c r="Q21" i="33"/>
  <c r="Q22" i="33"/>
  <c r="Q23" i="33"/>
  <c r="Q24" i="33"/>
  <c r="Q2" i="33"/>
  <c r="O3" i="33"/>
  <c r="O4" i="33"/>
  <c r="O5" i="33"/>
  <c r="O6" i="33"/>
  <c r="O8" i="33"/>
  <c r="O9" i="33"/>
  <c r="O10" i="33"/>
  <c r="O11" i="33"/>
  <c r="O12" i="33"/>
  <c r="O14" i="33"/>
  <c r="O15" i="33"/>
  <c r="O16" i="33"/>
  <c r="O17" i="33"/>
  <c r="O18" i="33"/>
  <c r="O20" i="33"/>
  <c r="O21" i="33"/>
  <c r="O22" i="33"/>
  <c r="O23" i="33"/>
  <c r="O24" i="33"/>
  <c r="O2" i="33"/>
  <c r="M3" i="33"/>
  <c r="M4" i="33"/>
  <c r="M5" i="33"/>
  <c r="M6" i="33"/>
  <c r="M8" i="33"/>
  <c r="M9" i="33"/>
  <c r="M10" i="33"/>
  <c r="M11" i="33"/>
  <c r="M12" i="33"/>
  <c r="M14" i="33"/>
  <c r="M15" i="33"/>
  <c r="M16" i="33"/>
  <c r="M17" i="33"/>
  <c r="M18" i="33"/>
  <c r="M20" i="33"/>
  <c r="M21" i="33"/>
  <c r="M22" i="33"/>
  <c r="M23" i="33"/>
  <c r="M24" i="33"/>
  <c r="M2" i="33"/>
  <c r="K3" i="33"/>
  <c r="K4" i="33"/>
  <c r="K5" i="33"/>
  <c r="K6" i="33"/>
  <c r="K8" i="33"/>
  <c r="K9" i="33"/>
  <c r="K10" i="33"/>
  <c r="K11" i="33"/>
  <c r="K12" i="33"/>
  <c r="K14" i="33"/>
  <c r="K15" i="33"/>
  <c r="K16" i="33"/>
  <c r="K17" i="33"/>
  <c r="K18" i="33"/>
  <c r="K20" i="33"/>
  <c r="K21" i="33"/>
  <c r="K22" i="33"/>
  <c r="K23" i="33"/>
  <c r="K24" i="33"/>
  <c r="K2" i="33"/>
  <c r="I3" i="33"/>
  <c r="I4" i="33"/>
  <c r="I5" i="33"/>
  <c r="I6" i="33"/>
  <c r="I8" i="33"/>
  <c r="I9" i="33"/>
  <c r="I10" i="33"/>
  <c r="I11" i="33"/>
  <c r="I12" i="33"/>
  <c r="I14" i="33"/>
  <c r="I15" i="33"/>
  <c r="I16" i="33"/>
  <c r="I17" i="33"/>
  <c r="I18" i="33"/>
  <c r="I20" i="33"/>
  <c r="I21" i="33"/>
  <c r="I22" i="33"/>
  <c r="I23" i="33"/>
  <c r="I24" i="33"/>
  <c r="I2" i="33"/>
  <c r="G3" i="33"/>
  <c r="G4" i="33"/>
  <c r="G5" i="33"/>
  <c r="G6" i="33"/>
  <c r="G8" i="33"/>
  <c r="G9" i="33"/>
  <c r="G10" i="33"/>
  <c r="G11" i="33"/>
  <c r="G12" i="33"/>
  <c r="G14" i="33"/>
  <c r="G15" i="33"/>
  <c r="G16" i="33"/>
  <c r="G17" i="33"/>
  <c r="G18" i="33"/>
  <c r="G20" i="33"/>
  <c r="G21" i="33"/>
  <c r="G22" i="33"/>
  <c r="G23" i="33"/>
  <c r="G24" i="33"/>
  <c r="G2" i="33"/>
  <c r="P24" i="33"/>
  <c r="N24" i="33"/>
  <c r="J24" i="33"/>
  <c r="H24" i="33"/>
  <c r="P23" i="33"/>
  <c r="N23" i="33"/>
  <c r="J23" i="33"/>
  <c r="H23" i="33"/>
  <c r="P22" i="33"/>
  <c r="N22" i="33"/>
  <c r="J22" i="33"/>
  <c r="H22" i="33"/>
  <c r="P21" i="33"/>
  <c r="N21" i="33"/>
  <c r="J21" i="33"/>
  <c r="H21" i="33"/>
  <c r="P20" i="33"/>
  <c r="N20" i="33"/>
  <c r="J20" i="33"/>
  <c r="H20" i="33"/>
  <c r="P18" i="33"/>
  <c r="N18" i="33"/>
  <c r="J18" i="33"/>
  <c r="H18" i="33"/>
  <c r="P17" i="33"/>
  <c r="N17" i="33"/>
  <c r="J17" i="33"/>
  <c r="H17" i="33"/>
  <c r="P16" i="33"/>
  <c r="N16" i="33"/>
  <c r="J16" i="33"/>
  <c r="H16" i="33"/>
  <c r="P15" i="33"/>
  <c r="N15" i="33"/>
  <c r="J15" i="33"/>
  <c r="H15" i="33"/>
  <c r="P14" i="33"/>
  <c r="N14" i="33"/>
  <c r="J14" i="33"/>
  <c r="H14" i="33"/>
  <c r="P12" i="33"/>
  <c r="N12" i="33"/>
  <c r="J12" i="33"/>
  <c r="H12" i="33"/>
  <c r="P11" i="33"/>
  <c r="N11" i="33"/>
  <c r="J11" i="33"/>
  <c r="H11" i="33"/>
  <c r="P10" i="33"/>
  <c r="N10" i="33"/>
  <c r="J10" i="33"/>
  <c r="H10" i="33"/>
  <c r="P9" i="33"/>
  <c r="N9" i="33"/>
  <c r="J9" i="33"/>
  <c r="H9" i="33"/>
  <c r="P8" i="33"/>
  <c r="N8" i="33"/>
  <c r="J8" i="33"/>
  <c r="H8" i="33"/>
  <c r="P6" i="33"/>
  <c r="N6" i="33"/>
  <c r="J6" i="33"/>
  <c r="H6" i="33"/>
  <c r="P5" i="33"/>
  <c r="N5" i="33"/>
  <c r="J5" i="33"/>
  <c r="H5" i="33"/>
  <c r="P4" i="33"/>
  <c r="N4" i="33"/>
  <c r="J4" i="33"/>
  <c r="H4" i="33"/>
  <c r="P3" i="33"/>
  <c r="N3" i="33"/>
  <c r="J3" i="33"/>
  <c r="H3" i="33"/>
  <c r="P2" i="33"/>
  <c r="N2" i="33"/>
  <c r="J2" i="33"/>
  <c r="H2" i="33"/>
  <c r="K6" i="30" l="1"/>
  <c r="K5" i="30"/>
  <c r="K4" i="30"/>
  <c r="K3" i="30"/>
  <c r="K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2" i="30"/>
  <c r="Q12" i="26" l="1"/>
  <c r="K70" i="31"/>
  <c r="L70" i="31" s="1"/>
  <c r="M68" i="31"/>
  <c r="K68" i="31"/>
  <c r="J68" i="31"/>
  <c r="I68" i="31"/>
  <c r="M67" i="31"/>
  <c r="K67" i="31"/>
  <c r="I67" i="31"/>
  <c r="J67" i="31" s="1"/>
  <c r="M66" i="31"/>
  <c r="K66" i="31"/>
  <c r="J66" i="31"/>
  <c r="I66" i="31"/>
  <c r="M65" i="31"/>
  <c r="K65" i="31"/>
  <c r="I65" i="31"/>
  <c r="J65" i="31" s="1"/>
  <c r="M64" i="31"/>
  <c r="K64" i="31"/>
  <c r="J64" i="31"/>
  <c r="I64" i="31"/>
  <c r="H64" i="31"/>
  <c r="L64" i="31" s="1"/>
  <c r="K56" i="31"/>
  <c r="K62" i="31" s="1"/>
  <c r="J56" i="31"/>
  <c r="J62" i="31" s="1"/>
  <c r="I56" i="31"/>
  <c r="H56" i="31"/>
  <c r="K55" i="31"/>
  <c r="K61" i="31" s="1"/>
  <c r="J55" i="31"/>
  <c r="J61" i="31" s="1"/>
  <c r="I55" i="31"/>
  <c r="H55" i="31"/>
  <c r="K54" i="31"/>
  <c r="K60" i="31" s="1"/>
  <c r="J54" i="31"/>
  <c r="J60" i="31" s="1"/>
  <c r="I54" i="31"/>
  <c r="H54" i="31"/>
  <c r="K53" i="31"/>
  <c r="K59" i="31" s="1"/>
  <c r="J53" i="31"/>
  <c r="J59" i="31" s="1"/>
  <c r="I53" i="31"/>
  <c r="H53" i="31"/>
  <c r="K52" i="31"/>
  <c r="K58" i="31" s="1"/>
  <c r="J52" i="31"/>
  <c r="J58" i="31" s="1"/>
  <c r="I52" i="31"/>
  <c r="H52" i="31"/>
  <c r="H58" i="31" s="1"/>
  <c r="H50" i="31"/>
  <c r="H46" i="31"/>
  <c r="H44" i="31"/>
  <c r="H43" i="31"/>
  <c r="H42" i="31"/>
  <c r="H41" i="31"/>
  <c r="H40" i="31"/>
  <c r="B39" i="31"/>
  <c r="I35" i="31"/>
  <c r="I34" i="31"/>
  <c r="I33" i="31"/>
  <c r="I32" i="31"/>
  <c r="I31" i="31"/>
  <c r="I36" i="31" s="1"/>
  <c r="B29" i="31"/>
  <c r="H35" i="31" s="1"/>
  <c r="K35" i="31" s="1"/>
  <c r="H28" i="31"/>
  <c r="H27" i="31"/>
  <c r="H26" i="31"/>
  <c r="H25" i="31"/>
  <c r="H29" i="31" s="1"/>
  <c r="H24" i="31"/>
  <c r="G22" i="31"/>
  <c r="B22" i="31"/>
  <c r="J35" i="31" s="1"/>
  <c r="K21" i="31"/>
  <c r="I20" i="31"/>
  <c r="J20" i="31" s="1"/>
  <c r="H20" i="31"/>
  <c r="I19" i="31"/>
  <c r="H19" i="31"/>
  <c r="J19" i="31" s="1"/>
  <c r="I18" i="31"/>
  <c r="H18" i="31"/>
  <c r="J18" i="31" s="1"/>
  <c r="J17" i="31"/>
  <c r="I17" i="31"/>
  <c r="H17" i="31"/>
  <c r="I16" i="31"/>
  <c r="J16" i="31" s="1"/>
  <c r="H16" i="31"/>
  <c r="I15" i="31"/>
  <c r="H15" i="31"/>
  <c r="J15" i="31" s="1"/>
  <c r="I14" i="31"/>
  <c r="H14" i="31"/>
  <c r="J14" i="31" s="1"/>
  <c r="J13" i="31"/>
  <c r="I13" i="31"/>
  <c r="H13" i="31"/>
  <c r="I12" i="31"/>
  <c r="J12" i="31" s="1"/>
  <c r="H12" i="31"/>
  <c r="I11" i="31"/>
  <c r="H11" i="31"/>
  <c r="J11" i="31" s="1"/>
  <c r="J21" i="31" s="1"/>
  <c r="J8" i="31"/>
  <c r="I8" i="31"/>
  <c r="H8" i="31"/>
  <c r="K7" i="31"/>
  <c r="K6" i="31"/>
  <c r="D6" i="31"/>
  <c r="H68" i="31" s="1"/>
  <c r="L68" i="31" s="1"/>
  <c r="K5" i="31"/>
  <c r="D5" i="31"/>
  <c r="J34" i="31" s="1"/>
  <c r="K4" i="31"/>
  <c r="D4" i="31"/>
  <c r="H48" i="31" s="1"/>
  <c r="K3" i="31"/>
  <c r="D3" i="31"/>
  <c r="D7" i="31" s="1"/>
  <c r="D2" i="31"/>
  <c r="E100" i="30"/>
  <c r="F100" i="30" s="1"/>
  <c r="E99" i="30"/>
  <c r="F99" i="30" s="1"/>
  <c r="E98" i="30"/>
  <c r="F98" i="30" s="1"/>
  <c r="E97" i="30"/>
  <c r="F97" i="30" s="1"/>
  <c r="E96" i="30"/>
  <c r="F96" i="30" s="1"/>
  <c r="E95" i="30"/>
  <c r="F95" i="30" s="1"/>
  <c r="E94" i="30"/>
  <c r="F94" i="30" s="1"/>
  <c r="E93" i="30"/>
  <c r="F93" i="30" s="1"/>
  <c r="E92" i="30"/>
  <c r="F92" i="30" s="1"/>
  <c r="E91" i="30"/>
  <c r="F91" i="30" s="1"/>
  <c r="J6" i="30" s="1"/>
  <c r="Q7" i="30" s="1"/>
  <c r="E90" i="30"/>
  <c r="F90" i="30" s="1"/>
  <c r="E89" i="30"/>
  <c r="F89" i="30" s="1"/>
  <c r="E88" i="30"/>
  <c r="F88" i="30" s="1"/>
  <c r="E87" i="30"/>
  <c r="F87" i="30" s="1"/>
  <c r="E86" i="30"/>
  <c r="F86" i="30" s="1"/>
  <c r="E85" i="30"/>
  <c r="F85" i="30" s="1"/>
  <c r="E84" i="30"/>
  <c r="F84" i="30" s="1"/>
  <c r="E83" i="30"/>
  <c r="F83" i="30" s="1"/>
  <c r="E82" i="30"/>
  <c r="F82" i="30" s="1"/>
  <c r="E81" i="30"/>
  <c r="F81" i="30" s="1"/>
  <c r="E80" i="30"/>
  <c r="F80" i="30" s="1"/>
  <c r="E79" i="30"/>
  <c r="F79" i="30" s="1"/>
  <c r="E78" i="30"/>
  <c r="F78" i="30" s="1"/>
  <c r="E77" i="30"/>
  <c r="F77" i="30" s="1"/>
  <c r="E76" i="30"/>
  <c r="F76" i="30" s="1"/>
  <c r="E75" i="30"/>
  <c r="F75" i="30" s="1"/>
  <c r="E74" i="30"/>
  <c r="F74" i="30" s="1"/>
  <c r="E73" i="30"/>
  <c r="F73" i="30" s="1"/>
  <c r="E72" i="30"/>
  <c r="F72" i="30" s="1"/>
  <c r="E71" i="30"/>
  <c r="F71" i="30" s="1"/>
  <c r="J5" i="30" s="1"/>
  <c r="Q6" i="30" s="1"/>
  <c r="E70" i="30"/>
  <c r="F70" i="30" s="1"/>
  <c r="E69" i="30"/>
  <c r="F69" i="30" s="1"/>
  <c r="E68" i="30"/>
  <c r="F68" i="30" s="1"/>
  <c r="E67" i="30"/>
  <c r="F67" i="30" s="1"/>
  <c r="E66" i="30"/>
  <c r="F66" i="30" s="1"/>
  <c r="E65" i="30"/>
  <c r="F65" i="30" s="1"/>
  <c r="E64" i="30"/>
  <c r="F64" i="30" s="1"/>
  <c r="E63" i="30"/>
  <c r="F63" i="30" s="1"/>
  <c r="E62" i="30"/>
  <c r="F62" i="30" s="1"/>
  <c r="E61" i="30"/>
  <c r="F61" i="30" s="1"/>
  <c r="E60" i="30"/>
  <c r="F60" i="30" s="1"/>
  <c r="E59" i="30"/>
  <c r="F59" i="30" s="1"/>
  <c r="E58" i="30"/>
  <c r="F58" i="30" s="1"/>
  <c r="E57" i="30"/>
  <c r="F57" i="30" s="1"/>
  <c r="E56" i="30"/>
  <c r="F56" i="30" s="1"/>
  <c r="E55" i="30"/>
  <c r="F55" i="30" s="1"/>
  <c r="E54" i="30"/>
  <c r="F54" i="30" s="1"/>
  <c r="E53" i="30"/>
  <c r="F53" i="30" s="1"/>
  <c r="E52" i="30"/>
  <c r="F52" i="30" s="1"/>
  <c r="E51" i="30"/>
  <c r="F51" i="30" s="1"/>
  <c r="J4" i="30" s="1"/>
  <c r="Q5" i="30" s="1"/>
  <c r="E50" i="30"/>
  <c r="F50" i="30" s="1"/>
  <c r="E49" i="30"/>
  <c r="F49" i="30" s="1"/>
  <c r="E48" i="30"/>
  <c r="F48" i="30" s="1"/>
  <c r="E47" i="30"/>
  <c r="F47" i="30" s="1"/>
  <c r="E46" i="30"/>
  <c r="F46" i="30" s="1"/>
  <c r="E45" i="30"/>
  <c r="F45" i="30" s="1"/>
  <c r="E44" i="30"/>
  <c r="F44" i="30" s="1"/>
  <c r="E43" i="30"/>
  <c r="F43" i="30" s="1"/>
  <c r="E42" i="30"/>
  <c r="F42" i="30" s="1"/>
  <c r="E41" i="30"/>
  <c r="F41" i="30" s="1"/>
  <c r="E40" i="30"/>
  <c r="F40" i="30" s="1"/>
  <c r="E39" i="30"/>
  <c r="F39" i="30" s="1"/>
  <c r="E38" i="30"/>
  <c r="F38" i="30" s="1"/>
  <c r="E37" i="30"/>
  <c r="F37" i="30" s="1"/>
  <c r="E36" i="30"/>
  <c r="F36" i="30" s="1"/>
  <c r="E35" i="30"/>
  <c r="F35" i="30" s="1"/>
  <c r="E34" i="30"/>
  <c r="F34" i="30" s="1"/>
  <c r="E33" i="30"/>
  <c r="F33" i="30" s="1"/>
  <c r="E32" i="30"/>
  <c r="F32" i="30" s="1"/>
  <c r="E31" i="30"/>
  <c r="F31" i="30" s="1"/>
  <c r="J3" i="30" s="1"/>
  <c r="Q4" i="30" s="1"/>
  <c r="E30" i="30"/>
  <c r="F30" i="30" s="1"/>
  <c r="E29" i="30"/>
  <c r="F29" i="30" s="1"/>
  <c r="E28" i="30"/>
  <c r="F28" i="30" s="1"/>
  <c r="E27" i="30"/>
  <c r="F27" i="30" s="1"/>
  <c r="E26" i="30"/>
  <c r="F26" i="30" s="1"/>
  <c r="E25" i="30"/>
  <c r="F25" i="30" s="1"/>
  <c r="E24" i="30"/>
  <c r="F24" i="30" s="1"/>
  <c r="E23" i="30"/>
  <c r="F23" i="30" s="1"/>
  <c r="E22" i="30"/>
  <c r="F22" i="30" s="1"/>
  <c r="E21" i="30"/>
  <c r="F21" i="30" s="1"/>
  <c r="E20" i="30"/>
  <c r="F20" i="30" s="1"/>
  <c r="E19" i="30"/>
  <c r="F19" i="30" s="1"/>
  <c r="E18" i="30"/>
  <c r="F18" i="30" s="1"/>
  <c r="E17" i="30"/>
  <c r="F17" i="30" s="1"/>
  <c r="E16" i="30"/>
  <c r="F16" i="30" s="1"/>
  <c r="E15" i="30"/>
  <c r="F15" i="30" s="1"/>
  <c r="E14" i="30"/>
  <c r="F14" i="30" s="1"/>
  <c r="E13" i="30"/>
  <c r="F13" i="30" s="1"/>
  <c r="E12" i="30"/>
  <c r="F12" i="30" s="1"/>
  <c r="E11" i="30"/>
  <c r="F11" i="30" s="1"/>
  <c r="J2" i="30" s="1"/>
  <c r="Q3" i="30" s="1"/>
  <c r="E10" i="30"/>
  <c r="F10" i="30" s="1"/>
  <c r="E9" i="30"/>
  <c r="F9" i="30" s="1"/>
  <c r="E8" i="30"/>
  <c r="F8" i="30" s="1"/>
  <c r="F7" i="30"/>
  <c r="E7" i="30"/>
  <c r="F6" i="30"/>
  <c r="E6" i="30"/>
  <c r="F5" i="30"/>
  <c r="E5" i="30"/>
  <c r="F4" i="30"/>
  <c r="E4" i="30"/>
  <c r="F3" i="30"/>
  <c r="E3" i="30"/>
  <c r="E2" i="30"/>
  <c r="F2" i="30" s="1"/>
  <c r="B2" i="30"/>
  <c r="B1" i="30"/>
  <c r="L21" i="31" l="1"/>
  <c r="H65" i="31"/>
  <c r="L65" i="31" s="1"/>
  <c r="L69" i="31" s="1"/>
  <c r="L71" i="31" s="1"/>
  <c r="H47" i="31"/>
  <c r="L57" i="31"/>
  <c r="H49" i="31"/>
  <c r="H67" i="31"/>
  <c r="L67" i="31" s="1"/>
  <c r="J31" i="31"/>
  <c r="J32" i="31"/>
  <c r="J33" i="31"/>
  <c r="B30" i="31"/>
  <c r="H66" i="31"/>
  <c r="L66" i="31" s="1"/>
  <c r="H31" i="31"/>
  <c r="H32" i="31"/>
  <c r="K32" i="31" s="1"/>
  <c r="H33" i="31"/>
  <c r="K33" i="31" s="1"/>
  <c r="H34" i="31"/>
  <c r="K34" i="31" s="1"/>
  <c r="H36" i="31" l="1"/>
  <c r="K31" i="31"/>
  <c r="K36" i="31" s="1"/>
  <c r="G9" i="31" s="1"/>
  <c r="J36" i="31"/>
  <c r="Q14" i="26" l="1"/>
  <c r="Q15" i="26"/>
  <c r="Q16" i="26"/>
  <c r="Q17" i="26"/>
  <c r="Q18" i="26"/>
  <c r="O14" i="26"/>
  <c r="O15" i="26"/>
  <c r="O16" i="26"/>
  <c r="O17" i="26"/>
  <c r="O18" i="26"/>
  <c r="K14" i="26"/>
  <c r="K15" i="26"/>
  <c r="K16" i="26"/>
  <c r="K17" i="26"/>
  <c r="K18" i="26"/>
  <c r="I14" i="26"/>
  <c r="I15" i="26"/>
  <c r="I16" i="26"/>
  <c r="I17" i="26"/>
  <c r="I18" i="26"/>
  <c r="O12" i="26"/>
  <c r="K12" i="26"/>
  <c r="I12" i="26"/>
  <c r="Q11" i="26"/>
  <c r="O11" i="26"/>
  <c r="K11" i="26"/>
  <c r="I11" i="26"/>
  <c r="Q10" i="26"/>
  <c r="O10" i="26"/>
  <c r="K10" i="26"/>
  <c r="I10" i="26"/>
  <c r="Q9" i="26"/>
  <c r="O9" i="26"/>
  <c r="K9" i="26"/>
  <c r="I9" i="26"/>
  <c r="Q8" i="26"/>
  <c r="O8" i="26"/>
  <c r="K8" i="26"/>
  <c r="I8" i="26"/>
  <c r="Q6" i="26"/>
  <c r="O6" i="26"/>
  <c r="K6" i="26"/>
  <c r="I6" i="26"/>
  <c r="Q5" i="26"/>
  <c r="O5" i="26"/>
  <c r="K5" i="26"/>
  <c r="I5" i="26"/>
  <c r="Q4" i="26"/>
  <c r="O4" i="26"/>
  <c r="K4" i="26"/>
  <c r="I4" i="26"/>
  <c r="Q3" i="26"/>
  <c r="O3" i="26"/>
  <c r="K3" i="26"/>
  <c r="I3" i="26"/>
  <c r="Q2" i="26"/>
  <c r="O2" i="26"/>
  <c r="K2" i="26"/>
  <c r="I2" i="26"/>
</calcChain>
</file>

<file path=xl/sharedStrings.xml><?xml version="1.0" encoding="utf-8"?>
<sst xmlns="http://schemas.openxmlformats.org/spreadsheetml/2006/main" count="233" uniqueCount="117">
  <si>
    <t>Xp</t>
  </si>
  <si>
    <t>Xa</t>
  </si>
  <si>
    <t>Xr</t>
  </si>
  <si>
    <t>sw</t>
  </si>
  <si>
    <t>irr</t>
  </si>
  <si>
    <t>Wpump</t>
  </si>
  <si>
    <t>awP</t>
  </si>
  <si>
    <t>awA</t>
  </si>
  <si>
    <t>Profit</t>
  </si>
  <si>
    <t>GW</t>
  </si>
  <si>
    <t>AR</t>
  </si>
  <si>
    <t>No-overdraft</t>
  </si>
  <si>
    <t>Decadal optimum (no overdraft)</t>
  </si>
  <si>
    <t>Optimal decade 1 of long term (no overdraft)</t>
  </si>
  <si>
    <t>Base</t>
  </si>
  <si>
    <t>Drier</t>
  </si>
  <si>
    <t>Even drier</t>
  </si>
  <si>
    <t>t\climate</t>
  </si>
  <si>
    <t>base</t>
  </si>
  <si>
    <t>t\r</t>
  </si>
  <si>
    <t>logmu</t>
  </si>
  <si>
    <t>logsigma</t>
  </si>
  <si>
    <t>WYT</t>
  </si>
  <si>
    <t>j</t>
  </si>
  <si>
    <t>SWj (AF)</t>
  </si>
  <si>
    <t>Pj</t>
  </si>
  <si>
    <t>C</t>
  </si>
  <si>
    <t>D</t>
  </si>
  <si>
    <t>BN</t>
  </si>
  <si>
    <t>AN</t>
  </si>
  <si>
    <t>W</t>
  </si>
  <si>
    <t>beginning GW</t>
  </si>
  <si>
    <t>averaged SW inflow</t>
  </si>
  <si>
    <t>Prob</t>
  </si>
  <si>
    <t>DV</t>
  </si>
  <si>
    <t>ending GW</t>
  </si>
  <si>
    <t>C (10 percentile)</t>
  </si>
  <si>
    <t>R</t>
  </si>
  <si>
    <t>D (30 percentile)</t>
  </si>
  <si>
    <t>Vp</t>
  </si>
  <si>
    <t>BN (50 percentile)</t>
  </si>
  <si>
    <t>Yldp</t>
  </si>
  <si>
    <t>AN (70 percentile)</t>
  </si>
  <si>
    <t>alphap</t>
  </si>
  <si>
    <t>W (90 percentile)</t>
  </si>
  <si>
    <t>gammap</t>
  </si>
  <si>
    <t>expected sw</t>
  </si>
  <si>
    <t>Awp</t>
  </si>
  <si>
    <t>INIp</t>
  </si>
  <si>
    <t>Obj</t>
  </si>
  <si>
    <t>Va</t>
  </si>
  <si>
    <t>Permanent benefit</t>
  </si>
  <si>
    <t>year</t>
  </si>
  <si>
    <t>discount rate</t>
  </si>
  <si>
    <t>acre</t>
  </si>
  <si>
    <t>yearly benefit</t>
  </si>
  <si>
    <t>ylda</t>
  </si>
  <si>
    <t>alphaa</t>
  </si>
  <si>
    <t>gammaa</t>
  </si>
  <si>
    <t>Awa</t>
  </si>
  <si>
    <t>Cpu</t>
  </si>
  <si>
    <t>Cre($/acre)</t>
  </si>
  <si>
    <t>Cc1($/AF)</t>
  </si>
  <si>
    <t>Cc2($/AF)</t>
  </si>
  <si>
    <t>L(acre)</t>
  </si>
  <si>
    <t>cap(AF/acre/yr)</t>
  </si>
  <si>
    <t>phi</t>
  </si>
  <si>
    <t>sum</t>
  </si>
  <si>
    <t>SWc1</t>
  </si>
  <si>
    <t>Permanent cost</t>
  </si>
  <si>
    <t>stage</t>
  </si>
  <si>
    <t>Annual benefit</t>
  </si>
  <si>
    <t>T</t>
  </si>
  <si>
    <t>Xp,t,0</t>
  </si>
  <si>
    <t>retiring rate</t>
  </si>
  <si>
    <t xml:space="preserve">ratio </t>
  </si>
  <si>
    <t>max depth</t>
  </si>
  <si>
    <t>Sy</t>
  </si>
  <si>
    <t>original storage</t>
  </si>
  <si>
    <t>Annual cost</t>
  </si>
  <si>
    <t>pump</t>
  </si>
  <si>
    <t>recharge</t>
  </si>
  <si>
    <t>SW</t>
  </si>
  <si>
    <t>yearly cost</t>
  </si>
  <si>
    <t>starting Ho (ft)</t>
  </si>
  <si>
    <t>starting thickness Bo (ft)</t>
  </si>
  <si>
    <t>pump efficiency</t>
  </si>
  <si>
    <t>Cpump($/kWh)</t>
  </si>
  <si>
    <t>AF to m^3</t>
  </si>
  <si>
    <t>density (kg/m^3)</t>
  </si>
  <si>
    <t>g(m/s^2)</t>
  </si>
  <si>
    <t>ft to meter</t>
  </si>
  <si>
    <t>s.t.</t>
  </si>
  <si>
    <t>FtoP</t>
  </si>
  <si>
    <t>Land</t>
  </si>
  <si>
    <t>remaining land</t>
  </si>
  <si>
    <t>&gt;=</t>
  </si>
  <si>
    <t>Surface water</t>
  </si>
  <si>
    <t>remaining water</t>
  </si>
  <si>
    <t>GW mass balance</t>
  </si>
  <si>
    <t>pumping</t>
  </si>
  <si>
    <t>TAF</t>
  </si>
  <si>
    <t>prob</t>
  </si>
  <si>
    <t>m^3</t>
  </si>
  <si>
    <t>in m^3</t>
  </si>
  <si>
    <t>Restoring 2 MAF
(2*1.233*10^9 m^3)</t>
  </si>
  <si>
    <t>Restoring 1 MAF
(1.233*10^9 m^3)</t>
  </si>
  <si>
    <t>Pumping 1 MAF
(1.233*10^9 m^3)</t>
  </si>
  <si>
    <t>Wpump (AF)</t>
  </si>
  <si>
    <t>GWo = 10 MAF
(10*1.233*10^9 m^3)</t>
  </si>
  <si>
    <t>GWo = 15 MAF
(15*1.233*10^9 m^3)</t>
  </si>
  <si>
    <t xml:space="preserve">Decadal optimum 
(pumps 3 MAF = 3*1.233*10^9 m^3)
</t>
  </si>
  <si>
    <t>Optimal decade 1 of long term optimum 
(pumps 2 MAF = 2*1.233*10^9 m^3)</t>
  </si>
  <si>
    <t>in MAF</t>
  </si>
  <si>
    <t>driest (MAF)</t>
  </si>
  <si>
    <t>driest (Acre)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</si>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</sst>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#,##0.000"/>
    <numFmt numFmtId="166" formatCode="#,##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3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/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1" applyNumberFormat="1" applyFont="1" applyFill="1"/>
    <xf numFmtId="0" fontId="0" fillId="4" borderId="0" xfId="0" applyFill="1"/>
    <xf numFmtId="3" fontId="0" fillId="4" borderId="0" xfId="0" applyNumberFormat="1" applyFill="1"/>
    <xf numFmtId="4" fontId="0" fillId="0" borderId="0" xfId="0" applyNumberFormat="1"/>
    <xf numFmtId="165" fontId="0" fillId="0" borderId="0" xfId="0" applyNumberFormat="1"/>
    <xf numFmtId="3" fontId="1" fillId="4" borderId="0" xfId="0" applyNumberFormat="1" applyFont="1" applyFill="1" applyAlignment="1">
      <alignment vertical="center" wrapText="1"/>
    </xf>
    <xf numFmtId="166" fontId="0" fillId="0" borderId="0" xfId="0" applyNumberFormat="1"/>
    <xf numFmtId="3" fontId="5" fillId="0" borderId="0" xfId="1" applyNumberFormat="1" applyFont="1" applyFill="1"/>
    <xf numFmtId="0" fontId="4" fillId="2" borderId="0" xfId="0" applyFont="1" applyFill="1"/>
    <xf numFmtId="3" fontId="5" fillId="2" borderId="0" xfId="1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1" applyNumberFormat="1" applyFont="1" applyFill="1"/>
    <xf numFmtId="0" fontId="0" fillId="6" borderId="0" xfId="0" applyFill="1"/>
    <xf numFmtId="3" fontId="0" fillId="6" borderId="0" xfId="0" applyNumberFormat="1" applyFill="1"/>
    <xf numFmtId="3" fontId="0" fillId="0" borderId="0" xfId="1" applyNumberFormat="1" applyFont="1"/>
    <xf numFmtId="43" fontId="0" fillId="5" borderId="0" xfId="0" applyNumberFormat="1" applyFill="1"/>
    <xf numFmtId="0" fontId="4" fillId="5" borderId="0" xfId="0" applyFont="1" applyFill="1"/>
    <xf numFmtId="3" fontId="4" fillId="5" borderId="0" xfId="1" applyNumberFormat="1" applyFont="1" applyFill="1"/>
    <xf numFmtId="0" fontId="4" fillId="7" borderId="0" xfId="0" applyFont="1" applyFill="1" applyAlignment="1">
      <alignment horizontal="center" vertical="center"/>
    </xf>
    <xf numFmtId="3" fontId="4" fillId="7" borderId="0" xfId="0" applyNumberFormat="1" applyFont="1" applyFill="1"/>
    <xf numFmtId="3" fontId="0" fillId="3" borderId="0" xfId="0" applyNumberFormat="1" applyFill="1"/>
    <xf numFmtId="3" fontId="2" fillId="5" borderId="0" xfId="0" applyNumberFormat="1" applyFont="1" applyFill="1"/>
    <xf numFmtId="164" fontId="0" fillId="6" borderId="0" xfId="0" applyNumberFormat="1" applyFill="1"/>
    <xf numFmtId="43" fontId="0" fillId="0" borderId="0" xfId="0" applyNumberFormat="1"/>
    <xf numFmtId="0" fontId="0" fillId="8" borderId="0" xfId="0" applyFill="1"/>
    <xf numFmtId="3" fontId="0" fillId="8" borderId="0" xfId="0" applyNumberFormat="1" applyFill="1"/>
    <xf numFmtId="4" fontId="0" fillId="8" borderId="0" xfId="0" applyNumberFormat="1" applyFill="1"/>
    <xf numFmtId="3" fontId="4" fillId="5" borderId="0" xfId="0" applyNumberFormat="1" applyFon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0" fontId="4" fillId="0" borderId="0" xfId="0" applyFont="1"/>
    <xf numFmtId="3" fontId="4" fillId="0" borderId="0" xfId="0" applyNumberFormat="1" applyFont="1"/>
    <xf numFmtId="4" fontId="0" fillId="2" borderId="0" xfId="0" applyNumberFormat="1" applyFill="1"/>
    <xf numFmtId="3" fontId="0" fillId="0" borderId="0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horizontal="center" vertical="center" wrapText="1"/>
    </xf>
    <xf numFmtId="3" fontId="1" fillId="0" borderId="0" xfId="0" applyNumberFormat="1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CC66FF"/>
      <color rgb="FF0066FF"/>
      <color rgb="FF99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'Figure 3'!$D$2:$D$101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'Figure 3'!$G$2:$G$101</c:f>
              <c:numCache>
                <c:formatCode>#,##0</c:formatCode>
                <c:ptCount val="100"/>
                <c:pt idx="0">
                  <c:v>166147667.08675534</c:v>
                </c:pt>
                <c:pt idx="1">
                  <c:v>194921907.88669777</c:v>
                </c:pt>
                <c:pt idx="2">
                  <c:v>215710563.92939365</c:v>
                </c:pt>
                <c:pt idx="3">
                  <c:v>232797866.0654878</c:v>
                </c:pt>
                <c:pt idx="4">
                  <c:v>247690561.70704615</c:v>
                </c:pt>
                <c:pt idx="5">
                  <c:v>261114814.08710125</c:v>
                </c:pt>
                <c:pt idx="6">
                  <c:v>273482580.28805012</c:v>
                </c:pt>
                <c:pt idx="7">
                  <c:v>285052708.05699748</c:v>
                </c:pt>
                <c:pt idx="8">
                  <c:v>295999761.24137515</c:v>
                </c:pt>
                <c:pt idx="9">
                  <c:v>306447769.74671221</c:v>
                </c:pt>
                <c:pt idx="10">
                  <c:v>316488480.53934282</c:v>
                </c:pt>
                <c:pt idx="11">
                  <c:v>326191979.90645838</c:v>
                </c:pt>
                <c:pt idx="12">
                  <c:v>335613241.16287708</c:v>
                </c:pt>
                <c:pt idx="13">
                  <c:v>344796351.69538045</c:v>
                </c:pt>
                <c:pt idx="14">
                  <c:v>353777347.74561357</c:v>
                </c:pt>
                <c:pt idx="15">
                  <c:v>362586177.22882468</c:v>
                </c:pt>
                <c:pt idx="16">
                  <c:v>371248096.33254057</c:v>
                </c:pt>
                <c:pt idx="17">
                  <c:v>379784686.90617359</c:v>
                </c:pt>
                <c:pt idx="18">
                  <c:v>388214613.02545357</c:v>
                </c:pt>
                <c:pt idx="19">
                  <c:v>396554193.93879348</c:v>
                </c:pt>
                <c:pt idx="20">
                  <c:v>404817845.08002174</c:v>
                </c:pt>
                <c:pt idx="21">
                  <c:v>413018422.55440819</c:v>
                </c:pt>
                <c:pt idx="22">
                  <c:v>421167495.85813737</c:v>
                </c:pt>
                <c:pt idx="23">
                  <c:v>429275566.46897882</c:v>
                </c:pt>
                <c:pt idx="24">
                  <c:v>437352245.08403778</c:v>
                </c:pt>
                <c:pt idx="25">
                  <c:v>445406396.90073884</c:v>
                </c:pt>
                <c:pt idx="26">
                  <c:v>453446261.94864631</c:v>
                </c:pt>
                <c:pt idx="27">
                  <c:v>461479555.76633012</c:v>
                </c:pt>
                <c:pt idx="28">
                  <c:v>469513554.47139293</c:v>
                </c:pt>
                <c:pt idx="29">
                  <c:v>477555167.35437512</c:v>
                </c:pt>
                <c:pt idx="30">
                  <c:v>485610999.44403988</c:v>
                </c:pt>
                <c:pt idx="31">
                  <c:v>493687405.9776147</c:v>
                </c:pt>
                <c:pt idx="32">
                  <c:v>501790540.31939805</c:v>
                </c:pt>
                <c:pt idx="33">
                  <c:v>509926396.57249326</c:v>
                </c:pt>
                <c:pt idx="34">
                  <c:v>518100847.89834744</c:v>
                </c:pt>
                <c:pt idx="35">
                  <c:v>526319681.38046867</c:v>
                </c:pt>
                <c:pt idx="36">
                  <c:v>534588630.13000053</c:v>
                </c:pt>
                <c:pt idx="37">
                  <c:v>542913403.2227819</c:v>
                </c:pt>
                <c:pt idx="38">
                  <c:v>551299713.9734149</c:v>
                </c:pt>
                <c:pt idx="39">
                  <c:v>559753306.98672175</c:v>
                </c:pt>
                <c:pt idx="40">
                  <c:v>568279984.37711346</c:v>
                </c:pt>
                <c:pt idx="41">
                  <c:v>576885631.50897503</c:v>
                </c:pt>
                <c:pt idx="42">
                  <c:v>585576242.58415687</c:v>
                </c:pt>
                <c:pt idx="43">
                  <c:v>594357946.38453782</c:v>
                </c:pt>
                <c:pt idx="44">
                  <c:v>603237032.46724224</c:v>
                </c:pt>
                <c:pt idx="45">
                  <c:v>612219978.10681832</c:v>
                </c:pt>
                <c:pt idx="46">
                  <c:v>621313476.28196752</c:v>
                </c:pt>
                <c:pt idx="47">
                  <c:v>630524465.01414132</c:v>
                </c:pt>
                <c:pt idx="48">
                  <c:v>639860158.38153732</c:v>
                </c:pt>
                <c:pt idx="49">
                  <c:v>649328079.55497539</c:v>
                </c:pt>
                <c:pt idx="50">
                  <c:v>658936096.23236406</c:v>
                </c:pt>
                <c:pt idx="51">
                  <c:v>668692458.88673985</c:v>
                </c:pt>
                <c:pt idx="52">
                  <c:v>678605842.29016066</c:v>
                </c:pt>
                <c:pt idx="53">
                  <c:v>688685390.83346951</c:v>
                </c:pt>
                <c:pt idx="54">
                  <c:v>698940768.23184431</c:v>
                </c:pt>
                <c:pt idx="55">
                  <c:v>709382212.29024839</c:v>
                </c:pt>
                <c:pt idx="56">
                  <c:v>720020595.50419283</c:v>
                </c:pt>
                <c:pt idx="57">
                  <c:v>730867492.39306164</c:v>
                </c:pt>
                <c:pt idx="58">
                  <c:v>741935254.60991526</c:v>
                </c:pt>
                <c:pt idx="59">
                  <c:v>753237095.04864788</c:v>
                </c:pt>
                <c:pt idx="60">
                  <c:v>764787182.38349068</c:v>
                </c:pt>
                <c:pt idx="61">
                  <c:v>776600747.73571169</c:v>
                </c:pt>
                <c:pt idx="62">
                  <c:v>788694205.47912085</c:v>
                </c:pt>
                <c:pt idx="63">
                  <c:v>801085290.58362246</c:v>
                </c:pt>
                <c:pt idx="64">
                  <c:v>813793215.37276566</c:v>
                </c:pt>
                <c:pt idx="65">
                  <c:v>826838849.16048288</c:v>
                </c:pt>
                <c:pt idx="66">
                  <c:v>840244924.96446776</c:v>
                </c:pt>
                <c:pt idx="67">
                  <c:v>854036278.40907526</c:v>
                </c:pt>
                <c:pt idx="68">
                  <c:v>868240125.0821321</c:v>
                </c:pt>
                <c:pt idx="69">
                  <c:v>882886384.06812298</c:v>
                </c:pt>
                <c:pt idx="70">
                  <c:v>898008057.23968029</c:v>
                </c:pt>
                <c:pt idx="71">
                  <c:v>913641676.27838063</c:v>
                </c:pt>
                <c:pt idx="72">
                  <c:v>929827832.49033034</c:v>
                </c:pt>
                <c:pt idx="73">
                  <c:v>946611808.52441621</c:v>
                </c:pt>
                <c:pt idx="74">
                  <c:v>964044336.4307785</c:v>
                </c:pt>
                <c:pt idx="75">
                  <c:v>982182513.59298074</c:v>
                </c:pt>
                <c:pt idx="76">
                  <c:v>1001090917.6157548</c:v>
                </c:pt>
                <c:pt idx="77">
                  <c:v>1020842974.2453198</c:v>
                </c:pt>
                <c:pt idx="78">
                  <c:v>1041522650.3051215</c:v>
                </c:pt>
                <c:pt idx="79">
                  <c:v>1063226568.632959</c:v>
                </c:pt>
                <c:pt idx="80">
                  <c:v>1086066677.4305789</c:v>
                </c:pt>
                <c:pt idx="81">
                  <c:v>1110173657.4300458</c:v>
                </c:pt>
                <c:pt idx="82">
                  <c:v>1135701324.9729517</c:v>
                </c:pt>
                <c:pt idx="83">
                  <c:v>1162832400.6198051</c:v>
                </c:pt>
                <c:pt idx="84">
                  <c:v>1191786182.9913614</c:v>
                </c:pt>
                <c:pt idx="85">
                  <c:v>1222828933.1525466</c:v>
                </c:pt>
                <c:pt idx="86">
                  <c:v>1256288200.7802899</c:v>
                </c:pt>
                <c:pt idx="87">
                  <c:v>1292573027.1463504</c:v>
                </c:pt>
                <c:pt idx="88">
                  <c:v>1332203163.2242603</c:v>
                </c:pt>
                <c:pt idx="89">
                  <c:v>1375852580.8395963</c:v>
                </c:pt>
                <c:pt idx="90">
                  <c:v>1424416537.1293445</c:v>
                </c:pt>
                <c:pt idx="91">
                  <c:v>1479119275.0719123</c:v>
                </c:pt>
                <c:pt idx="92">
                  <c:v>1541695834.7199543</c:v>
                </c:pt>
                <c:pt idx="93">
                  <c:v>1614718630.0885568</c:v>
                </c:pt>
                <c:pt idx="94">
                  <c:v>1702232624.4196091</c:v>
                </c:pt>
                <c:pt idx="95">
                  <c:v>1811128950.7264876</c:v>
                </c:pt>
                <c:pt idx="96">
                  <c:v>1954595765.8177519</c:v>
                </c:pt>
                <c:pt idx="97">
                  <c:v>2163055756.3782487</c:v>
                </c:pt>
                <c:pt idx="98">
                  <c:v>2537664008.7181988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3-44B1-BCD6-05EA0DA2BD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3'!$H$2:$H$6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'Figure 3'!$K$2:$K$6</c:f>
              <c:numCache>
                <c:formatCode>General</c:formatCode>
                <c:ptCount val="5"/>
                <c:pt idx="0">
                  <c:v>306447769.74671221</c:v>
                </c:pt>
                <c:pt idx="1">
                  <c:v>477555167.35437512</c:v>
                </c:pt>
                <c:pt idx="2">
                  <c:v>649328079.55497539</c:v>
                </c:pt>
                <c:pt idx="3">
                  <c:v>882886384.06812298</c:v>
                </c:pt>
                <c:pt idx="4">
                  <c:v>1375852580.8395963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3-44B1-BCD6-05EA0DA2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72328"/>
        <c:axId val="537376592"/>
      </c:scatterChart>
      <c:valAx>
        <c:axId val="537372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Non-exceedance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6592"/>
        <c:crosses val="autoZero"/>
        <c:crossBetween val="midCat"/>
        <c:majorUnit val="0.1"/>
      </c:valAx>
      <c:valAx>
        <c:axId val="5373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Surface Water Inflow (</a:t>
                </a:r>
                <a:r>
                  <a:rPr lang="en-US" altLang="zh-CN" sz="1600"/>
                  <a:t>million m</a:t>
                </a:r>
                <a:r>
                  <a:rPr lang="en-US" altLang="zh-CN" sz="1600" baseline="30000"/>
                  <a:t>3</a:t>
                </a:r>
                <a:r>
                  <a:rPr lang="en-US" sz="1600"/>
                  <a:t>/yr)</a:t>
                </a:r>
              </a:p>
            </c:rich>
          </c:tx>
          <c:layout>
            <c:manualLayout>
              <c:xMode val="edge"/>
              <c:yMode val="edge"/>
              <c:x val="1.2618259900787415E-2"/>
              <c:y val="7.74920078118197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7232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9157789816458"/>
          <c:y val="3.5699792598771131E-2"/>
          <c:w val="0.86126348995109347"/>
          <c:h val="0.74030340044043785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4'!$I$2:$I$24</c:f>
              <c:numCache>
                <c:formatCode>#,##0</c:formatCode>
                <c:ptCount val="23"/>
                <c:pt idx="0">
                  <c:v>613857751.95360005</c:v>
                </c:pt>
                <c:pt idx="1">
                  <c:v>613857751.95360005</c:v>
                </c:pt>
                <c:pt idx="2">
                  <c:v>613857751.95360005</c:v>
                </c:pt>
                <c:pt idx="3">
                  <c:v>613857751.95360005</c:v>
                </c:pt>
                <c:pt idx="4">
                  <c:v>613857751.95360005</c:v>
                </c:pt>
                <c:pt idx="6">
                  <c:v>583771312.19880009</c:v>
                </c:pt>
                <c:pt idx="7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  <c:pt idx="12">
                  <c:v>534547627.60080004</c:v>
                </c:pt>
                <c:pt idx="13">
                  <c:v>534547627.60080004</c:v>
                </c:pt>
                <c:pt idx="14">
                  <c:v>534547627.60080004</c:v>
                </c:pt>
                <c:pt idx="15">
                  <c:v>534547627.60080004</c:v>
                </c:pt>
                <c:pt idx="16">
                  <c:v>534547627.60080004</c:v>
                </c:pt>
                <c:pt idx="18">
                  <c:v>480293638.87560004</c:v>
                </c:pt>
                <c:pt idx="19">
                  <c:v>480293638.87560004</c:v>
                </c:pt>
                <c:pt idx="20">
                  <c:v>480293638.87560004</c:v>
                </c:pt>
                <c:pt idx="21">
                  <c:v>480293638.87560004</c:v>
                </c:pt>
                <c:pt idx="22">
                  <c:v>480293638.87560004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A-49E5-9736-F34DAB5C8DC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4'!$K$2:$K$24</c:f>
              <c:numCache>
                <c:formatCode>#,##0</c:formatCode>
                <c:ptCount val="23"/>
                <c:pt idx="0">
                  <c:v>309474528.16149849</c:v>
                </c:pt>
                <c:pt idx="1">
                  <c:v>309474528.16149849</c:v>
                </c:pt>
                <c:pt idx="2">
                  <c:v>309474528.16149849</c:v>
                </c:pt>
                <c:pt idx="3">
                  <c:v>309474528.16149849</c:v>
                </c:pt>
                <c:pt idx="4">
                  <c:v>761993200.79356301</c:v>
                </c:pt>
                <c:pt idx="6">
                  <c:v>111188054.58430986</c:v>
                </c:pt>
                <c:pt idx="7">
                  <c:v>111188054.58430974</c:v>
                </c:pt>
                <c:pt idx="8">
                  <c:v>111188054.58430956</c:v>
                </c:pt>
                <c:pt idx="9">
                  <c:v>299116845.92786145</c:v>
                </c:pt>
                <c:pt idx="10">
                  <c:v>792083042.69931591</c:v>
                </c:pt>
                <c:pt idx="12">
                  <c:v>2.8234557830728591E-7</c:v>
                </c:pt>
                <c:pt idx="13">
                  <c:v>0</c:v>
                </c:pt>
                <c:pt idx="14">
                  <c:v>114781506.87982184</c:v>
                </c:pt>
                <c:pt idx="15">
                  <c:v>348339811.39298832</c:v>
                </c:pt>
                <c:pt idx="16">
                  <c:v>482181090.84469563</c:v>
                </c:pt>
                <c:pt idx="18">
                  <c:v>0</c:v>
                </c:pt>
                <c:pt idx="19">
                  <c:v>0</c:v>
                </c:pt>
                <c:pt idx="20">
                  <c:v>163664778.72019616</c:v>
                </c:pt>
                <c:pt idx="21">
                  <c:v>163664781.49713722</c:v>
                </c:pt>
                <c:pt idx="22">
                  <c:v>163664744.45040956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A-49E5-9736-F34DAB5C8DC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4'!$Q$2:$Q$24</c:f>
              <c:numCache>
                <c:formatCode>#,##0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359124917.31974727</c:v>
                </c:pt>
                <c:pt idx="18">
                  <c:v>0</c:v>
                </c:pt>
                <c:pt idx="19">
                  <c:v>0</c:v>
                </c:pt>
                <c:pt idx="20">
                  <c:v>5370401.3873201301</c:v>
                </c:pt>
                <c:pt idx="21">
                  <c:v>238928703.12354553</c:v>
                </c:pt>
                <c:pt idx="22">
                  <c:v>731894936.94172788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4'!$O$2:$O$24</c:f>
              <c:numCache>
                <c:formatCode>#,##0</c:formatCode>
                <c:ptCount val="23"/>
                <c:pt idx="0">
                  <c:v>923333908.20753884</c:v>
                </c:pt>
                <c:pt idx="1">
                  <c:v>923333908.20753884</c:v>
                </c:pt>
                <c:pt idx="2">
                  <c:v>923333908.20753884</c:v>
                </c:pt>
                <c:pt idx="3">
                  <c:v>923333908.20753884</c:v>
                </c:pt>
                <c:pt idx="4">
                  <c:v>1375852580.8396034</c:v>
                </c:pt>
                <c:pt idx="6">
                  <c:v>694957592.72459722</c:v>
                </c:pt>
                <c:pt idx="7">
                  <c:v>694957592.7245971</c:v>
                </c:pt>
                <c:pt idx="8">
                  <c:v>694957592.72459698</c:v>
                </c:pt>
                <c:pt idx="9">
                  <c:v>882886384.06814873</c:v>
                </c:pt>
                <c:pt idx="10">
                  <c:v>1375852580.8396034</c:v>
                </c:pt>
                <c:pt idx="12">
                  <c:v>534546572.67516065</c:v>
                </c:pt>
                <c:pt idx="13">
                  <c:v>534546572.67516041</c:v>
                </c:pt>
                <c:pt idx="14">
                  <c:v>649328079.5549823</c:v>
                </c:pt>
                <c:pt idx="15">
                  <c:v>882886384.06814873</c:v>
                </c:pt>
                <c:pt idx="16">
                  <c:v>1375852580.8396034</c:v>
                </c:pt>
                <c:pt idx="18">
                  <c:v>480292899.44746602</c:v>
                </c:pt>
                <c:pt idx="19">
                  <c:v>480292899.44746602</c:v>
                </c:pt>
                <c:pt idx="20">
                  <c:v>649328079.5549823</c:v>
                </c:pt>
                <c:pt idx="21">
                  <c:v>882886384.06814873</c:v>
                </c:pt>
                <c:pt idx="22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A-49E5-9736-F34DAB5C8DC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4'!$A$2:$B$24</c:f>
              <c:multiLvlStrCache>
                <c:ptCount val="2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8">
                    <c:v>1</c:v>
                  </c:pt>
                  <c:pt idx="19">
                    <c:v>2</c:v>
                  </c:pt>
                  <c:pt idx="20">
                    <c:v>3</c:v>
                  </c:pt>
                  <c:pt idx="21">
                    <c:v>4</c:v>
                  </c:pt>
                  <c:pt idx="22">
                    <c:v>5</c:v>
                  </c:pt>
                </c:lvl>
                <c:lvl>
                  <c:pt idx="0">
                    <c:v>Pumping 1 MAF
(1.233*10^9 m^3)</c:v>
                  </c:pt>
                  <c:pt idx="6">
                    <c:v>No-overdraft</c:v>
                  </c:pt>
                  <c:pt idx="12">
                    <c:v>Restoring 1 MAF
(1.233*10^9 m^3)</c:v>
                  </c:pt>
                  <c:pt idx="18">
                    <c:v>Restoring 2 MAF
(2*1.233*10^9 m^3)</c:v>
                  </c:pt>
                </c:lvl>
              </c:multiLvlStrCache>
            </c:multiLvlStrRef>
          </c:cat>
          <c:val>
            <c:numRef>
              <c:f>'Figure 4'!$G$2:$G$24</c:f>
              <c:numCache>
                <c:formatCode>#,##0</c:formatCode>
                <c:ptCount val="23"/>
                <c:pt idx="0">
                  <c:v>616886138.40532219</c:v>
                </c:pt>
                <c:pt idx="1">
                  <c:v>445778740.85317796</c:v>
                </c:pt>
                <c:pt idx="2">
                  <c:v>274005828.6525566</c:v>
                </c:pt>
                <c:pt idx="3">
                  <c:v>40447524.139390104</c:v>
                </c:pt>
                <c:pt idx="4">
                  <c:v>0</c:v>
                </c:pt>
                <c:pt idx="6">
                  <c:v>388509822.92238057</c:v>
                </c:pt>
                <c:pt idx="7">
                  <c:v>217402425.37023616</c:v>
                </c:pt>
                <c:pt idx="8">
                  <c:v>45629513.169614695</c:v>
                </c:pt>
                <c:pt idx="9">
                  <c:v>0</c:v>
                </c:pt>
                <c:pt idx="10">
                  <c:v>0</c:v>
                </c:pt>
                <c:pt idx="12">
                  <c:v>228098802.872944</c:v>
                </c:pt>
                <c:pt idx="13">
                  <c:v>56991405.320799522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173845129.64524937</c:v>
                </c:pt>
                <c:pt idx="19">
                  <c:v>2737732.0931051164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9A-49E5-9736-F34DAB5C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15525662290617"/>
          <c:y val="3.5699792598771131E-2"/>
          <c:w val="0.85009980525016782"/>
          <c:h val="0.768500419687176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5'!$I$2:$I$12</c:f>
              <c:numCache>
                <c:formatCode>#,##0</c:formatCode>
                <c:ptCount val="11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583771312.19880009</c:v>
                </c:pt>
                <c:pt idx="7">
                  <c:v>583771312.19880009</c:v>
                </c:pt>
                <c:pt idx="8">
                  <c:v>583771312.19880009</c:v>
                </c:pt>
                <c:pt idx="9">
                  <c:v>583771312.19880009</c:v>
                </c:pt>
                <c:pt idx="10">
                  <c:v>583771312.19880009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B-474D-B2EE-6E0F1FB3530A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5'!$K$2:$K$12</c:f>
              <c:numCache>
                <c:formatCode>#,##0</c:formatCode>
                <c:ptCount val="11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164343349.2096</c:v>
                </c:pt>
                <c:pt idx="7">
                  <c:v>164343349.2096</c:v>
                </c:pt>
                <c:pt idx="8">
                  <c:v>164343349.2096</c:v>
                </c:pt>
                <c:pt idx="9">
                  <c:v>299117074.44959998</c:v>
                </c:pt>
                <c:pt idx="10">
                  <c:v>632615627.68799996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B-474D-B2EE-6E0F1FB3530A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5'!$Q$2:$Q$12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159470461.80000001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4925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5'!$O$2:$O$12</c:f>
              <c:numCache>
                <c:formatCode>#,##0</c:formatCode>
                <c:ptCount val="11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748113786.0022167</c:v>
                </c:pt>
                <c:pt idx="7">
                  <c:v>748114071.43436086</c:v>
                </c:pt>
                <c:pt idx="8">
                  <c:v>748113792.3149823</c:v>
                </c:pt>
                <c:pt idx="9">
                  <c:v>882886384.06814873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B-474D-B2EE-6E0F1FB3530A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5'!$A$2:$B$13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GWo = 10 MAF
(10*1.233*10^9 m^3)</c:v>
                  </c:pt>
                  <c:pt idx="6">
                    <c:v>GWo = 15 MAF
(15*1.233*10^9 m^3)</c:v>
                  </c:pt>
                </c:lvl>
              </c:multiLvlStrCache>
            </c:multiLvlStrRef>
          </c:cat>
          <c:val>
            <c:numRef>
              <c:f>'Figure 5'!$G$2:$G$12</c:f>
              <c:numCache>
                <c:formatCode>#,##0</c:formatCode>
                <c:ptCount val="11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441666016.19999999</c:v>
                </c:pt>
                <c:pt idx="7">
                  <c:v>270558904.07999998</c:v>
                </c:pt>
                <c:pt idx="8">
                  <c:v>98785712.760000005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B-474D-B2EE-6E0F1FB3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22674350599247"/>
          <c:y val="3.5699792598771131E-2"/>
          <c:w val="0.87686152141247231"/>
          <c:h val="0.816669103728794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6a'!$I$2:$I$12</c:f>
              <c:numCache>
                <c:formatCode>#,##0</c:formatCode>
                <c:ptCount val="11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753039540</c:v>
                </c:pt>
                <c:pt idx="7">
                  <c:v>753039540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A-42E3-A022-5CCF1C8364D9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6a'!$K$2:$K$12</c:f>
              <c:numCache>
                <c:formatCode>#,##0</c:formatCode>
                <c:ptCount val="11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129848439.60000001</c:v>
                </c:pt>
                <c:pt idx="10">
                  <c:v>448565165.87519997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0A-42E3-A022-5CCF1C8364D9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6a'!$Q$2:$Q$12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174253719.59999999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6a'!$O$2:$O$12</c:f>
              <c:numCache>
                <c:formatCode>#,##0</c:formatCode>
                <c:ptCount val="11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753039071.64221668</c:v>
                </c:pt>
                <c:pt idx="7">
                  <c:v>753039357.07436085</c:v>
                </c:pt>
                <c:pt idx="8">
                  <c:v>753039077.95498228</c:v>
                </c:pt>
                <c:pt idx="9">
                  <c:v>882886384.06814873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A-42E3-A022-5CCF1C8364D9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6a'!$A$2:$B$13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(no overdraft)</c:v>
                  </c:pt>
                  <c:pt idx="6">
                    <c:v>Optimal decade 1 of long term (no overdraft)</c:v>
                  </c:pt>
                </c:lvl>
              </c:multiLvlStrCache>
            </c:multiLvlStrRef>
          </c:cat>
          <c:val>
            <c:numRef>
              <c:f>'Figure 6a'!$G$2:$G$12</c:f>
              <c:numCache>
                <c:formatCode>#,##0</c:formatCode>
                <c:ptCount val="11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446591301.84000003</c:v>
                </c:pt>
                <c:pt idx="7">
                  <c:v>275484189.72000003</c:v>
                </c:pt>
                <c:pt idx="8">
                  <c:v>103710998.40000001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0A-42E3-A022-5CCF1C83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</a:t>
                </a:r>
                <a:r>
                  <a:rPr lang="en-US" sz="1200" baseline="0"/>
                  <a:t> 10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344189806483"/>
          <c:y val="3.5699792598771131E-2"/>
          <c:w val="0.86616156900058094"/>
          <c:h val="0.72073197048536852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6b'!$I$2:$I$12</c:f>
              <c:numCache>
                <c:formatCode>#,##0</c:formatCode>
                <c:ptCount val="11"/>
                <c:pt idx="0">
                  <c:v>674040671.99039996</c:v>
                </c:pt>
                <c:pt idx="1">
                  <c:v>674040671.99039996</c:v>
                </c:pt>
                <c:pt idx="2">
                  <c:v>674040671.99039996</c:v>
                </c:pt>
                <c:pt idx="3">
                  <c:v>674040671.99039996</c:v>
                </c:pt>
                <c:pt idx="4">
                  <c:v>674040671.99039996</c:v>
                </c:pt>
                <c:pt idx="6">
                  <c:v>753039540</c:v>
                </c:pt>
                <c:pt idx="7">
                  <c:v>753039540</c:v>
                </c:pt>
                <c:pt idx="8">
                  <c:v>753039540</c:v>
                </c:pt>
                <c:pt idx="9">
                  <c:v>753039540</c:v>
                </c:pt>
                <c:pt idx="10">
                  <c:v>753039540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1-4C78-94B9-0AB1E81AF4B1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6b'!$K$2:$K$12</c:f>
              <c:numCache>
                <c:formatCode>#,##0</c:formatCode>
                <c:ptCount val="11"/>
                <c:pt idx="0">
                  <c:v>612084649.12319994</c:v>
                </c:pt>
                <c:pt idx="1">
                  <c:v>612084649.12319994</c:v>
                </c:pt>
                <c:pt idx="2">
                  <c:v>612084649.12319994</c:v>
                </c:pt>
                <c:pt idx="3">
                  <c:v>612084649.12319994</c:v>
                </c:pt>
                <c:pt idx="4">
                  <c:v>701814398.41920006</c:v>
                </c:pt>
                <c:pt idx="6">
                  <c:v>351689274.86879998</c:v>
                </c:pt>
                <c:pt idx="7">
                  <c:v>351689274.86879998</c:v>
                </c:pt>
                <c:pt idx="8">
                  <c:v>351689274.86879998</c:v>
                </c:pt>
                <c:pt idx="9">
                  <c:v>351689274.86879998</c:v>
                </c:pt>
                <c:pt idx="10">
                  <c:v>622812816.7536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Artificial recharge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'Figure 6b'!$A$2:$B$13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6">
                          <c:v>1</c:v>
                        </c:pt>
                        <c:pt idx="7">
                          <c:v>2</c:v>
                        </c:pt>
                        <c:pt idx="8">
                          <c:v>3</c:v>
                        </c:pt>
                        <c:pt idx="9">
                          <c:v>4</c:v>
                        </c:pt>
                        <c:pt idx="10">
                          <c:v>5</c:v>
                        </c:pt>
                      </c:lvl>
                      <c:lvl>
                        <c:pt idx="0">
                          <c:v>Decadal optimum 
(pumps 3 MAF = 3*1.233*10^9 m^3)
</c:v>
                        </c:pt>
                        <c:pt idx="6">
                          <c:v>Optimal decade 1 of long term optimum 
(pumps 2 MAF = 2*1.233*10^9 m^3)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'Figure 6b'!$P$2:$P$12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D1-4C78-94B9-0AB1E81AF4B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33CC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6b'!$O$2:$O$12</c:f>
              <c:numCache>
                <c:formatCode>#,##0</c:formatCode>
                <c:ptCount val="11"/>
                <c:pt idx="0">
                  <c:v>1286121991.0822167</c:v>
                </c:pt>
                <c:pt idx="1">
                  <c:v>1286122276.5143609</c:v>
                </c:pt>
                <c:pt idx="2">
                  <c:v>1286121997.3949823</c:v>
                </c:pt>
                <c:pt idx="3">
                  <c:v>1286122097.3881488</c:v>
                </c:pt>
                <c:pt idx="4">
                  <c:v>1375852580.8396034</c:v>
                </c:pt>
                <c:pt idx="6">
                  <c:v>1104727655.7622168</c:v>
                </c:pt>
                <c:pt idx="7">
                  <c:v>1104727941.194361</c:v>
                </c:pt>
                <c:pt idx="8">
                  <c:v>1104727662.0749822</c:v>
                </c:pt>
                <c:pt idx="9">
                  <c:v>1104727762.0681489</c:v>
                </c:pt>
                <c:pt idx="10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1-4C78-94B9-0AB1E81AF4B1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6b'!$A$2:$B$13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</c:lvl>
                <c:lvl>
                  <c:pt idx="0">
                    <c:v>Decadal optimum 
(pumps 3 MAF = 3*1.233*10^9 m^3)
</c:v>
                  </c:pt>
                  <c:pt idx="6">
                    <c:v>Optimal decade 1 of long term optimum 
(pumps 2 MAF = 2*1.233*10^9 m^3)</c:v>
                  </c:pt>
                </c:lvl>
              </c:multiLvlStrCache>
            </c:multiLvlStrRef>
          </c:cat>
          <c:val>
            <c:numRef>
              <c:f>'Figure 6b'!$G$2:$G$12</c:f>
              <c:numCache>
                <c:formatCode>#,##0</c:formatCode>
                <c:ptCount val="11"/>
                <c:pt idx="0">
                  <c:v>979674221.27999997</c:v>
                </c:pt>
                <c:pt idx="1">
                  <c:v>808567109.15999997</c:v>
                </c:pt>
                <c:pt idx="2">
                  <c:v>636793917.84000003</c:v>
                </c:pt>
                <c:pt idx="3">
                  <c:v>403235713.31999999</c:v>
                </c:pt>
                <c:pt idx="4">
                  <c:v>0</c:v>
                </c:pt>
                <c:pt idx="6">
                  <c:v>798279885.96000004</c:v>
                </c:pt>
                <c:pt idx="7">
                  <c:v>627172773.84000003</c:v>
                </c:pt>
                <c:pt idx="8">
                  <c:v>455399582.51999998</c:v>
                </c:pt>
                <c:pt idx="9">
                  <c:v>221841378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1-4C78-94B9-0AB1E81A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 of water (million m</a:t>
                </a:r>
                <a:r>
                  <a:rPr lang="en-US" sz="1200" baseline="30000"/>
                  <a:t>3</a:t>
                </a:r>
                <a:r>
                  <a:rPr lang="en-US" sz="1200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r=5%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11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7'!$C$3:$C$13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10484580000</c:v>
                </c:pt>
                <c:pt idx="3">
                  <c:v>9867840000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E-41EB-A991-4F00FD1E3B59}"/>
            </c:ext>
          </c:extLst>
        </c:ser>
        <c:ser>
          <c:idx val="1"/>
          <c:order val="1"/>
          <c:tx>
            <c:v>r = 3.5%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7'!$E$3:$E$13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E-41EB-A991-4F00FD1E3B59}"/>
            </c:ext>
          </c:extLst>
        </c:ser>
        <c:ser>
          <c:idx val="2"/>
          <c:order val="2"/>
          <c:tx>
            <c:v>r = 2%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7'!$G$3:$G$13</c:f>
              <c:numCache>
                <c:formatCode>General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11101320000</c:v>
                </c:pt>
                <c:pt idx="4">
                  <c:v>10484580000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E-41EB-A991-4F00FD1E3B59}"/>
            </c:ext>
          </c:extLst>
        </c:ser>
        <c:ser>
          <c:idx val="3"/>
          <c:order val="3"/>
          <c:tx>
            <c:v>r = 1%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7'!$A$3:$A$13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7'!$I$3:$I$13</c:f>
              <c:numCache>
                <c:formatCode>General</c:formatCode>
                <c:ptCount val="11"/>
                <c:pt idx="0">
                  <c:v>14801760000</c:v>
                </c:pt>
                <c:pt idx="1">
                  <c:v>14185020000</c:v>
                </c:pt>
                <c:pt idx="2">
                  <c:v>13568280000</c:v>
                </c:pt>
                <c:pt idx="3">
                  <c:v>12951540000</c:v>
                </c:pt>
                <c:pt idx="4">
                  <c:v>12334800000</c:v>
                </c:pt>
                <c:pt idx="5">
                  <c:v>11718060000</c:v>
                </c:pt>
                <c:pt idx="6">
                  <c:v>11718060000</c:v>
                </c:pt>
                <c:pt idx="7">
                  <c:v>11718060000</c:v>
                </c:pt>
                <c:pt idx="8">
                  <c:v>11718060000</c:v>
                </c:pt>
                <c:pt idx="9">
                  <c:v>11718060000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7E-41EB-A991-4F00FD1E3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09728"/>
        <c:axId val="716013664"/>
      </c:scatterChart>
      <c:valAx>
        <c:axId val="71600972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13664"/>
        <c:crosses val="autoZero"/>
        <c:crossBetween val="midCat"/>
        <c:majorUnit val="1"/>
      </c:valAx>
      <c:valAx>
        <c:axId val="716013664"/>
        <c:scaling>
          <c:orientation val="minMax"/>
          <c:max val="15000000000"/>
          <c:min val="9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Groundwater Storage (billion m</a:t>
                </a:r>
                <a:r>
                  <a:rPr lang="en-US" sz="1400" baseline="30000"/>
                  <a:t>3</a:t>
                </a:r>
                <a:r>
                  <a:rPr lang="en-US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09728"/>
        <c:crosses val="autoZero"/>
        <c:crossBetween val="midCat"/>
        <c:majorUnit val="500000000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66646999193071"/>
          <c:y val="3.5699792598771131E-2"/>
          <c:w val="0.86258855982395921"/>
          <c:h val="0.82243925457697298"/>
        </c:manualLayout>
      </c:layout>
      <c:barChart>
        <c:barDir val="col"/>
        <c:grouping val="stacked"/>
        <c:varyColors val="0"/>
        <c:ser>
          <c:idx val="0"/>
          <c:order val="0"/>
          <c:tx>
            <c:v>Perennial crop water need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8'!$J$2:$J$18</c:f>
              <c:numCache>
                <c:formatCode>#,##0</c:formatCode>
                <c:ptCount val="17"/>
                <c:pt idx="0">
                  <c:v>583771312.19880009</c:v>
                </c:pt>
                <c:pt idx="1">
                  <c:v>583771312.19880009</c:v>
                </c:pt>
                <c:pt idx="2">
                  <c:v>583771312.19880009</c:v>
                </c:pt>
                <c:pt idx="3">
                  <c:v>583771312.19880009</c:v>
                </c:pt>
                <c:pt idx="4">
                  <c:v>583771312.19880009</c:v>
                </c:pt>
                <c:pt idx="6">
                  <c:v>559769431.92720008</c:v>
                </c:pt>
                <c:pt idx="7">
                  <c:v>559769431.92720008</c:v>
                </c:pt>
                <c:pt idx="8">
                  <c:v>559769431.92720008</c:v>
                </c:pt>
                <c:pt idx="9">
                  <c:v>559769431.92720008</c:v>
                </c:pt>
                <c:pt idx="10">
                  <c:v>559769431.92720008</c:v>
                </c:pt>
                <c:pt idx="12">
                  <c:v>547796103.24119997</c:v>
                </c:pt>
                <c:pt idx="13">
                  <c:v>547796103.24119997</c:v>
                </c:pt>
                <c:pt idx="14">
                  <c:v>547796103.24119997</c:v>
                </c:pt>
                <c:pt idx="15">
                  <c:v>547796103.24119997</c:v>
                </c:pt>
                <c:pt idx="16">
                  <c:v>547796103.24119997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3-46C0-AB3C-2205F66059A0}"/>
            </c:ext>
          </c:extLst>
        </c:ser>
        <c:ser>
          <c:idx val="1"/>
          <c:order val="1"/>
          <c:tx>
            <c:v>Annual crop water need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8'!$L$2:$L$18</c:f>
              <c:numCache>
                <c:formatCode>#,##0</c:formatCode>
                <c:ptCount val="17"/>
                <c:pt idx="0">
                  <c:v>111186084.55680001</c:v>
                </c:pt>
                <c:pt idx="1">
                  <c:v>111186084.55680001</c:v>
                </c:pt>
                <c:pt idx="2">
                  <c:v>111186084.55680001</c:v>
                </c:pt>
                <c:pt idx="3">
                  <c:v>299117074.44959998</c:v>
                </c:pt>
                <c:pt idx="4">
                  <c:v>792081451.60319996</c:v>
                </c:pt>
                <c:pt idx="6">
                  <c:v>61110677.569276974</c:v>
                </c:pt>
                <c:pt idx="7">
                  <c:v>61110689.401645906</c:v>
                </c:pt>
                <c:pt idx="8">
                  <c:v>89558873.65993157</c:v>
                </c:pt>
                <c:pt idx="9">
                  <c:v>323117178.17309809</c:v>
                </c:pt>
                <c:pt idx="10">
                  <c:v>801154009.34118748</c:v>
                </c:pt>
                <c:pt idx="12">
                  <c:v>28013298.141998857</c:v>
                </c:pt>
                <c:pt idx="13">
                  <c:v>28013308.299411405</c:v>
                </c:pt>
                <c:pt idx="14">
                  <c:v>101533651.87110306</c:v>
                </c:pt>
                <c:pt idx="15">
                  <c:v>335091956.3842696</c:v>
                </c:pt>
                <c:pt idx="16">
                  <c:v>768056567.81338131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3-46C0-AB3C-2205F66059A0}"/>
            </c:ext>
          </c:extLst>
        </c:ser>
        <c:ser>
          <c:idx val="2"/>
          <c:order val="2"/>
          <c:tx>
            <c:v>Artificial recharge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8'!$R$2:$R$18</c:f>
              <c:numCache>
                <c:formatCode>#,##0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14929365.603364298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60001585.342331789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652368"/>
        <c:axId val="544648760"/>
        <c:extLst/>
      </c:barChart>
      <c:lineChart>
        <c:grouping val="standard"/>
        <c:varyColors val="0"/>
        <c:ser>
          <c:idx val="3"/>
          <c:order val="3"/>
          <c:tx>
            <c:v>Total water available</c:v>
          </c:tx>
          <c:spPr>
            <a:ln w="38100" cap="rnd">
              <a:solidFill>
                <a:srgbClr val="0000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8'!$P$2:$P$18</c:f>
              <c:numCache>
                <c:formatCode>#,##0</c:formatCode>
                <c:ptCount val="17"/>
                <c:pt idx="0">
                  <c:v>694958198.88221669</c:v>
                </c:pt>
                <c:pt idx="1">
                  <c:v>694957250.83436084</c:v>
                </c:pt>
                <c:pt idx="2">
                  <c:v>694956971.71498227</c:v>
                </c:pt>
                <c:pt idx="3">
                  <c:v>882886384.06814873</c:v>
                </c:pt>
                <c:pt idx="4">
                  <c:v>1375852580.8396034</c:v>
                </c:pt>
                <c:pt idx="6">
                  <c:v>620879883.46432745</c:v>
                </c:pt>
                <c:pt idx="7">
                  <c:v>620879895.29669642</c:v>
                </c:pt>
                <c:pt idx="8">
                  <c:v>649328079.5549823</c:v>
                </c:pt>
                <c:pt idx="9">
                  <c:v>882886384.06814873</c:v>
                </c:pt>
                <c:pt idx="10">
                  <c:v>1375852580.8396034</c:v>
                </c:pt>
                <c:pt idx="12">
                  <c:v>575807725.82587612</c:v>
                </c:pt>
                <c:pt idx="13">
                  <c:v>575807735.98328876</c:v>
                </c:pt>
                <c:pt idx="14">
                  <c:v>649328079.5549823</c:v>
                </c:pt>
                <c:pt idx="15">
                  <c:v>882886384.06814873</c:v>
                </c:pt>
                <c:pt idx="16">
                  <c:v>1375852580.8396034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3-46C0-AB3C-2205F66059A0}"/>
            </c:ext>
          </c:extLst>
        </c:ser>
        <c:ser>
          <c:idx val="4"/>
          <c:order val="4"/>
          <c:tx>
            <c:v>Pumping</c:v>
          </c:tx>
          <c:spPr>
            <a:ln w="38100" cap="rnd">
              <a:solidFill>
                <a:srgbClr val="CC66FF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rgbClr val="CC66FF"/>
              </a:solidFill>
              <a:ln w="9525">
                <a:noFill/>
              </a:ln>
              <a:effectLst/>
            </c:spPr>
          </c:marker>
          <c:cat>
            <c:multiLvlStrRef>
              <c:f>'Figure 8'!$A$2:$B$18</c:f>
              <c:multiLvlStrCache>
                <c:ptCount val="1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</c:lvl>
                <c:lvl>
                  <c:pt idx="0">
                    <c:v>Base</c:v>
                  </c:pt>
                  <c:pt idx="6">
                    <c:v>Drier</c:v>
                  </c:pt>
                  <c:pt idx="12">
                    <c:v>Even drier</c:v>
                  </c:pt>
                </c:lvl>
              </c:multiLvlStrCache>
            </c:multiLvlStrRef>
          </c:cat>
          <c:val>
            <c:numRef>
              <c:f>'Figure 8'!$H$2:$H$18</c:f>
              <c:numCache>
                <c:formatCode>#,##0</c:formatCode>
                <c:ptCount val="17"/>
                <c:pt idx="0">
                  <c:v>388510429.07999998</c:v>
                </c:pt>
                <c:pt idx="1">
                  <c:v>217402083.47999999</c:v>
                </c:pt>
                <c:pt idx="2">
                  <c:v>45628892.160000004</c:v>
                </c:pt>
                <c:pt idx="3">
                  <c:v>0</c:v>
                </c:pt>
                <c:pt idx="4">
                  <c:v>0</c:v>
                </c:pt>
                <c:pt idx="6">
                  <c:v>314432113.66211081</c:v>
                </c:pt>
                <c:pt idx="7">
                  <c:v>143324727.94233555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269359956.02365947</c:v>
                </c:pt>
                <c:pt idx="13">
                  <c:v>98252568.628927872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3-46C0-AB3C-2205F660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652368"/>
        <c:axId val="544648760"/>
      </c:lineChart>
      <c:catAx>
        <c:axId val="544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48760"/>
        <c:crosses val="autoZero"/>
        <c:auto val="1"/>
        <c:lblAlgn val="ctr"/>
        <c:lblOffset val="100"/>
        <c:noMultiLvlLbl val="0"/>
      </c:catAx>
      <c:valAx>
        <c:axId val="544648760"/>
        <c:scaling>
          <c:orientation val="minMax"/>
          <c:max val="14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water (million</a:t>
                </a:r>
                <a:r>
                  <a:rPr lang="en-US" baseline="0"/>
                  <a:t> m</a:t>
                </a:r>
                <a:r>
                  <a:rPr lang="en-US" baseline="30000"/>
                  <a:t>3</a:t>
                </a:r>
                <a:r>
                  <a:rPr lang="en-US"/>
                  <a:t>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5236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GW, Even drier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9'!$C$3:$C$13</c:f>
              <c:numCache>
                <c:formatCode>#,##0</c:formatCode>
                <c:ptCount val="11"/>
                <c:pt idx="0">
                  <c:v>14801760000</c:v>
                </c:pt>
                <c:pt idx="1">
                  <c:v>12951540000</c:v>
                </c:pt>
                <c:pt idx="2">
                  <c:v>11718060000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D-4A5D-BFE6-9CF603E1510B}"/>
            </c:ext>
          </c:extLst>
        </c:ser>
        <c:ser>
          <c:idx val="1"/>
          <c:order val="1"/>
          <c:tx>
            <c:v>GW, Base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9'!$E$3:$E$13</c:f>
              <c:numCache>
                <c:formatCode>#,##0</c:formatCode>
                <c:ptCount val="11"/>
                <c:pt idx="0">
                  <c:v>14801760000</c:v>
                </c:pt>
                <c:pt idx="1">
                  <c:v>12334800000</c:v>
                </c:pt>
                <c:pt idx="2">
                  <c:v>11101320000</c:v>
                </c:pt>
                <c:pt idx="3">
                  <c:v>10484580000</c:v>
                </c:pt>
                <c:pt idx="4">
                  <c:v>9867840000</c:v>
                </c:pt>
                <c:pt idx="5">
                  <c:v>9867840000</c:v>
                </c:pt>
                <c:pt idx="6">
                  <c:v>9867840000</c:v>
                </c:pt>
                <c:pt idx="7">
                  <c:v>9867840000</c:v>
                </c:pt>
                <c:pt idx="8">
                  <c:v>9867840000</c:v>
                </c:pt>
                <c:pt idx="9">
                  <c:v>9867840000</c:v>
                </c:pt>
                <c:pt idx="10">
                  <c:v>12334800000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19672"/>
        <c:axId val="590015080"/>
      </c:scatterChart>
      <c:scatterChart>
        <c:scatterStyle val="lineMarker"/>
        <c:varyColors val="0"/>
        <c:ser>
          <c:idx val="2"/>
          <c:order val="2"/>
          <c:tx>
            <c:v>Xp, Even drier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9'!$G$3:$G$13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566560400</c:v>
                </c:pt>
                <c:pt idx="5">
                  <c:v>526091800</c:v>
                </c:pt>
                <c:pt idx="6">
                  <c:v>526091800</c:v>
                </c:pt>
                <c:pt idx="7">
                  <c:v>526091800</c:v>
                </c:pt>
                <c:pt idx="8">
                  <c:v>526091800</c:v>
                </c:pt>
                <c:pt idx="9">
                  <c:v>526091800</c:v>
                </c:pt>
                <c:pt idx="10">
                  <c:v>323748800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8D-4A5D-BFE6-9CF603E1510B}"/>
            </c:ext>
          </c:extLst>
        </c:ser>
        <c:ser>
          <c:idx val="3"/>
          <c:order val="3"/>
          <c:tx>
            <c:v>Xp, Base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'Figure 9'!$A$3:$A$13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'Figure 9'!$I$3:$I$13</c:f>
              <c:numCache>
                <c:formatCode>#,##0</c:formatCode>
                <c:ptCount val="11"/>
                <c:pt idx="1">
                  <c:v>607029000</c:v>
                </c:pt>
                <c:pt idx="2">
                  <c:v>607029000</c:v>
                </c:pt>
                <c:pt idx="3">
                  <c:v>607029000</c:v>
                </c:pt>
                <c:pt idx="4">
                  <c:v>607029000</c:v>
                </c:pt>
                <c:pt idx="5">
                  <c:v>607029000</c:v>
                </c:pt>
                <c:pt idx="6">
                  <c:v>607029000</c:v>
                </c:pt>
                <c:pt idx="7">
                  <c:v>607029000</c:v>
                </c:pt>
                <c:pt idx="8">
                  <c:v>607029000</c:v>
                </c:pt>
                <c:pt idx="9">
                  <c:v>607029000</c:v>
                </c:pt>
                <c:pt idx="10">
                  <c:v>404686000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8D-4A5D-BFE6-9CF603E15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28624"/>
        <c:axId val="654428296"/>
      </c:scatterChart>
      <c:valAx>
        <c:axId val="590019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5080"/>
        <c:crosses val="autoZero"/>
        <c:crossBetween val="midCat"/>
      </c:valAx>
      <c:valAx>
        <c:axId val="590015080"/>
        <c:scaling>
          <c:orientation val="minMax"/>
          <c:max val="15000000000"/>
          <c:min val="9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Groundwater Storage (billion m</a:t>
                </a:r>
                <a:r>
                  <a:rPr lang="en-US" sz="1400" b="0" i="0" baseline="30000">
                    <a:effectLst/>
                  </a:rPr>
                  <a:t>3</a:t>
                </a:r>
                <a:r>
                  <a:rPr lang="en-US" sz="1400" b="0" i="0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19672"/>
        <c:crosses val="autoZero"/>
        <c:crossBetween val="midCat"/>
        <c:majorUnit val="500000000"/>
        <c:dispUnits>
          <c:builtInUnit val="billions"/>
        </c:dispUnits>
      </c:valAx>
      <c:valAx>
        <c:axId val="654428296"/>
        <c:scaling>
          <c:orientation val="minMax"/>
          <c:max val="61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Perennial crop acreage (million m</a:t>
                </a:r>
                <a:r>
                  <a:rPr lang="en-US" sz="1400" b="0" i="0" baseline="30000">
                    <a:effectLst/>
                  </a:rPr>
                  <a:t>2</a:t>
                </a:r>
                <a:r>
                  <a:rPr lang="en-US" sz="1400" b="0" i="0" baseline="0">
                    <a:effectLst/>
                  </a:rPr>
                  <a:t>/decade)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28624"/>
        <c:crosses val="max"/>
        <c:crossBetween val="midCat"/>
        <c:majorUnit val="100000000"/>
        <c:dispUnits>
          <c:builtInUnit val="millions"/>
        </c:dispUnits>
      </c:valAx>
      <c:valAx>
        <c:axId val="65442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442829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8</xdr:row>
      <xdr:rowOff>171450</xdr:rowOff>
    </xdr:from>
    <xdr:to>
      <xdr:col>20</xdr:col>
      <xdr:colOff>533400</xdr:colOff>
      <xdr:row>31</xdr:row>
      <xdr:rowOff>28575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BEF94DDC-27F7-461C-9474-4DBF9A586A77}"/>
            </a:ext>
          </a:extLst>
        </xdr:cNvPr>
        <xdr:cNvGrpSpPr/>
      </xdr:nvGrpSpPr>
      <xdr:grpSpPr>
        <a:xfrm>
          <a:off x="5013324" y="1619250"/>
          <a:ext cx="8264526" cy="4016375"/>
          <a:chOff x="4772024" y="1619250"/>
          <a:chExt cx="5305425" cy="29622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D0E2253-580B-4F66-9569-78F9BA0BCBFF}"/>
              </a:ext>
            </a:extLst>
          </xdr:cNvPr>
          <xdr:cNvGraphicFramePr>
            <a:graphicFrameLocks/>
          </xdr:cNvGraphicFramePr>
        </xdr:nvGraphicFramePr>
        <xdr:xfrm>
          <a:off x="4772024" y="1619250"/>
          <a:ext cx="5305425" cy="2962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EB4F0CD-2F31-415D-8D00-0532C6EC315A}"/>
              </a:ext>
            </a:extLst>
          </xdr:cNvPr>
          <xdr:cNvSpPr txBox="1"/>
        </xdr:nvSpPr>
        <xdr:spPr>
          <a:xfrm>
            <a:off x="5652812" y="3559589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1</a:t>
            </a:r>
            <a:endParaRPr lang="en-US" sz="12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76CDCFD-1062-467B-9076-556BAAC07EC6}"/>
              </a:ext>
            </a:extLst>
          </xdr:cNvPr>
          <xdr:cNvSpPr txBox="1"/>
        </xdr:nvSpPr>
        <xdr:spPr>
          <a:xfrm>
            <a:off x="6565554" y="3439937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2</a:t>
            </a:r>
            <a:endParaRPr lang="en-US" sz="12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2E86A3E0-DE9E-4B6D-9875-BB75C240674A}"/>
              </a:ext>
            </a:extLst>
          </xdr:cNvPr>
          <xdr:cNvSpPr txBox="1"/>
        </xdr:nvSpPr>
        <xdr:spPr>
          <a:xfrm>
            <a:off x="8407041" y="314075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4</a:t>
            </a:r>
            <a:endParaRPr lang="en-US" sz="12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6E69129D-F9EB-4DAC-B195-9D5CA8542D56}"/>
              </a:ext>
            </a:extLst>
          </xdr:cNvPr>
          <xdr:cNvSpPr txBox="1"/>
        </xdr:nvSpPr>
        <xdr:spPr>
          <a:xfrm>
            <a:off x="7492048" y="3291482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3</a:t>
            </a:r>
            <a:endParaRPr lang="en-US" sz="12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C84E9E03-E0FF-47D0-B978-B3FF30D989A5}"/>
              </a:ext>
            </a:extLst>
          </xdr:cNvPr>
          <xdr:cNvSpPr txBox="1"/>
        </xdr:nvSpPr>
        <xdr:spPr>
          <a:xfrm>
            <a:off x="9329059" y="3055661"/>
            <a:ext cx="572002" cy="2802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/>
              <a:t>Event</a:t>
            </a:r>
            <a:r>
              <a:rPr lang="en-US" sz="1200" baseline="0"/>
              <a:t> 5</a:t>
            </a:r>
            <a:endParaRPr lang="en-US" sz="12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4</xdr:row>
      <xdr:rowOff>1</xdr:rowOff>
    </xdr:from>
    <xdr:to>
      <xdr:col>20</xdr:col>
      <xdr:colOff>428625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9673E-D678-43B0-8FE1-F418D7093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15913</xdr:colOff>
      <xdr:row>26</xdr:row>
      <xdr:rowOff>65088</xdr:rowOff>
    </xdr:from>
    <xdr:to>
      <xdr:col>11</xdr:col>
      <xdr:colOff>571500</xdr:colOff>
      <xdr:row>49</xdr:row>
      <xdr:rowOff>44450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352535-6DDF-4842-97C6-E4D84814F017}"/>
            </a:ext>
          </a:extLst>
        </xdr:cNvPr>
        <xdr:cNvGrpSpPr/>
      </xdr:nvGrpSpPr>
      <xdr:grpSpPr>
        <a:xfrm>
          <a:off x="625513" y="4773613"/>
          <a:ext cx="7327862" cy="4141787"/>
          <a:chOff x="7083287" y="1303338"/>
          <a:chExt cx="7855387" cy="41417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5004EED-5D6C-4378-A317-F06E1E418DC3}"/>
              </a:ext>
            </a:extLst>
          </xdr:cNvPr>
          <xdr:cNvGraphicFramePr/>
        </xdr:nvGraphicFramePr>
        <xdr:xfrm>
          <a:off x="7083287" y="1303338"/>
          <a:ext cx="7855387" cy="4141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E7253C8-822E-4AD0-B684-A6391880315E}"/>
              </a:ext>
            </a:extLst>
          </xdr:cNvPr>
          <xdr:cNvSpPr txBox="1"/>
        </xdr:nvSpPr>
        <xdr:spPr>
          <a:xfrm>
            <a:off x="7093457" y="5006975"/>
            <a:ext cx="568745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14</xdr:row>
      <xdr:rowOff>31749</xdr:rowOff>
    </xdr:from>
    <xdr:to>
      <xdr:col>13</xdr:col>
      <xdr:colOff>82550</xdr:colOff>
      <xdr:row>38</xdr:row>
      <xdr:rowOff>168275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948E1C1-31D7-47CA-B952-0770C46B1CFE}"/>
            </a:ext>
          </a:extLst>
        </xdr:cNvPr>
        <xdr:cNvGrpSpPr/>
      </xdr:nvGrpSpPr>
      <xdr:grpSpPr>
        <a:xfrm>
          <a:off x="1714500" y="2562224"/>
          <a:ext cx="7143750" cy="4483101"/>
          <a:chOff x="7026275" y="219074"/>
          <a:chExt cx="7146925" cy="448627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71FF396-ED8C-4901-A96F-A16F08510E1B}"/>
              </a:ext>
            </a:extLst>
          </xdr:cNvPr>
          <xdr:cNvGraphicFramePr>
            <a:graphicFrameLocks/>
          </xdr:cNvGraphicFramePr>
        </xdr:nvGraphicFramePr>
        <xdr:xfrm>
          <a:off x="7051673" y="219074"/>
          <a:ext cx="7121527" cy="44862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71094A6-E41D-4D86-80D5-94EB721080B3}"/>
              </a:ext>
            </a:extLst>
          </xdr:cNvPr>
          <xdr:cNvSpPr txBox="1"/>
        </xdr:nvSpPr>
        <xdr:spPr>
          <a:xfrm>
            <a:off x="7026275" y="4238625"/>
            <a:ext cx="575095" cy="4463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285748</xdr:colOff>
      <xdr:row>13</xdr:row>
      <xdr:rowOff>123824</xdr:rowOff>
    </xdr:from>
    <xdr:to>
      <xdr:col>12</xdr:col>
      <xdr:colOff>257175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C4146-FCE8-4371-9063-05EBC893E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0.00178</cdr:x>
      <cdr:y>0.86695</cdr:y>
    </cdr:from>
    <cdr:to>
      <cdr:x>0.08343</cdr:x>
      <cdr:y>0.96714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F443BD4-526A-456C-B306-FCC46222EA1E}"/>
            </a:ext>
          </a:extLst>
        </cdr:cNvPr>
        <cdr:cNvSpPr txBox="1"/>
      </cdr:nvSpPr>
      <cdr:spPr>
        <a:xfrm xmlns:a="http://schemas.openxmlformats.org/drawingml/2006/main">
          <a:off x="12700" y="3889375"/>
          <a:ext cx="581445" cy="4494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117473</xdr:colOff>
      <xdr:row>16</xdr:row>
      <xdr:rowOff>123825</xdr:rowOff>
    </xdr:from>
    <xdr:to>
      <xdr:col>15</xdr:col>
      <xdr:colOff>38100</xdr:colOff>
      <xdr:row>40</xdr:row>
      <xdr:rowOff>180974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95C529-B3F1-4C02-9BA1-4867AD9EECEF}"/>
            </a:ext>
          </a:extLst>
        </xdr:cNvPr>
        <xdr:cNvGrpSpPr/>
      </xdr:nvGrpSpPr>
      <xdr:grpSpPr>
        <a:xfrm>
          <a:off x="3165473" y="3016250"/>
          <a:ext cx="7121527" cy="4406899"/>
          <a:chOff x="7051673" y="528267"/>
          <a:chExt cx="7121527" cy="404081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45A5366-F6C6-4FFC-89ED-4154B41D62DD}"/>
              </a:ext>
            </a:extLst>
          </xdr:cNvPr>
          <xdr:cNvGraphicFramePr>
            <a:graphicFrameLocks/>
          </xdr:cNvGraphicFramePr>
        </xdr:nvGraphicFramePr>
        <xdr:xfrm>
          <a:off x="7051673" y="528267"/>
          <a:ext cx="7121527" cy="4040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BD3C84E-EF27-4DB4-AFA4-34F837741FCC}"/>
              </a:ext>
            </a:extLst>
          </xdr:cNvPr>
          <xdr:cNvSpPr txBox="1"/>
        </xdr:nvSpPr>
        <xdr:spPr>
          <a:xfrm>
            <a:off x="7067550" y="4057954"/>
            <a:ext cx="581445" cy="4494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tx1">
                    <a:lumMod val="75000"/>
                    <a:lumOff val="25000"/>
                  </a:schemeClr>
                </a:solidFill>
              </a:rPr>
              <a:t>1:</a:t>
            </a:r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Dry</a:t>
            </a:r>
          </a:p>
          <a:p>
            <a:r>
              <a:rPr lang="en-US" sz="110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5: Wet</a:t>
            </a:r>
            <a:endParaRPr lang="en-US" sz="11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601662</xdr:colOff>
      <xdr:row>0</xdr:row>
      <xdr:rowOff>169861</xdr:rowOff>
    </xdr:from>
    <xdr:to>
      <xdr:col>20</xdr:col>
      <xdr:colOff>38100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C930E-C453-42DA-BFD4-800E3531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390523</xdr:colOff>
      <xdr:row>19</xdr:row>
      <xdr:rowOff>123824</xdr:rowOff>
    </xdr:from>
    <xdr:to>
      <xdr:col>14</xdr:col>
      <xdr:colOff>549275</xdr:colOff>
      <xdr:row>44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3C8E4-54FE-4454-86B1-99A93268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0.88306</cdr:y>
    </cdr:from>
    <cdr:to>
      <cdr:x>0.08165</cdr:x>
      <cdr:y>0.98332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65CD758A-2131-4E20-B15B-37F1EC7CED43}"/>
            </a:ext>
          </a:extLst>
        </cdr:cNvPr>
        <cdr:cNvSpPr txBox="1"/>
      </cdr:nvSpPr>
      <cdr:spPr>
        <a:xfrm xmlns:a="http://schemas.openxmlformats.org/drawingml/2006/main">
          <a:off x="0" y="3956050"/>
          <a:ext cx="581445" cy="44916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</a:rPr>
            <a:t>1:</a:t>
          </a:r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 Dry</a:t>
          </a:r>
        </a:p>
        <a:p xmlns:a="http://schemas.openxmlformats.org/drawingml/2006/main"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5: Wet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_at_UCD/post-doc/PAPER/PAPER_1/Chapter%201%20plot%2075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3"/>
      <sheetName val="Figure 4"/>
      <sheetName val="Figure 5"/>
      <sheetName val="Figure 6a"/>
      <sheetName val="Figure 6b"/>
      <sheetName val="Figure 7"/>
      <sheetName val="Figure 8"/>
      <sheetName val="Climate comparison"/>
      <sheetName val="base"/>
    </sheetNames>
    <sheetDataSet>
      <sheetData sheetId="0"/>
      <sheetData sheetId="1">
        <row r="2">
          <cell r="A2" t="str">
            <v>Pumping 1 MAF</v>
          </cell>
          <cell r="B2">
            <v>1</v>
          </cell>
          <cell r="F2">
            <v>500118.47650981141</v>
          </cell>
          <cell r="G2">
            <v>497663.32</v>
          </cell>
          <cell r="H2">
            <v>250895.45688742297</v>
          </cell>
          <cell r="J2">
            <v>748560.09680541139</v>
          </cell>
          <cell r="K2">
            <v>0</v>
          </cell>
        </row>
        <row r="3">
          <cell r="B3">
            <v>2</v>
          </cell>
          <cell r="F3">
            <v>361399.24510586145</v>
          </cell>
          <cell r="G3">
            <v>497663.32</v>
          </cell>
          <cell r="H3">
            <v>250895.45688742297</v>
          </cell>
          <cell r="J3">
            <v>748560.09680541139</v>
          </cell>
          <cell r="K3">
            <v>0</v>
          </cell>
        </row>
        <row r="4">
          <cell r="B4">
            <v>3</v>
          </cell>
          <cell r="F4">
            <v>222140.47139196144</v>
          </cell>
          <cell r="G4">
            <v>497663.32</v>
          </cell>
          <cell r="H4">
            <v>250895.45688742297</v>
          </cell>
          <cell r="J4">
            <v>748560.09680541139</v>
          </cell>
          <cell r="K4">
            <v>0</v>
          </cell>
        </row>
        <row r="5">
          <cell r="B5">
            <v>4</v>
          </cell>
          <cell r="F5">
            <v>32791.390326061308</v>
          </cell>
          <cell r="G5">
            <v>497663.32</v>
          </cell>
          <cell r="H5">
            <v>250895.45688742297</v>
          </cell>
          <cell r="J5">
            <v>748560.09680541139</v>
          </cell>
          <cell r="K5">
            <v>0</v>
          </cell>
        </row>
        <row r="6">
          <cell r="B6">
            <v>5</v>
          </cell>
          <cell r="F6">
            <v>0</v>
          </cell>
          <cell r="G6">
            <v>497663.32</v>
          </cell>
          <cell r="H6">
            <v>617758.86175176164</v>
          </cell>
          <cell r="J6">
            <v>1115423.5016697501</v>
          </cell>
          <cell r="K6">
            <v>0</v>
          </cell>
        </row>
        <row r="8">
          <cell r="A8" t="str">
            <v>No-overdraft</v>
          </cell>
          <cell r="B8">
            <v>1</v>
          </cell>
          <cell r="F8">
            <v>314970.50857928832</v>
          </cell>
          <cell r="G8">
            <v>473271.81000000006</v>
          </cell>
          <cell r="H8">
            <v>90141.757129673657</v>
          </cell>
          <cell r="J8">
            <v>563412.12887488829</v>
          </cell>
          <cell r="K8">
            <v>0</v>
          </cell>
        </row>
        <row r="9">
          <cell r="B9">
            <v>2</v>
          </cell>
          <cell r="F9">
            <v>176251.27717533818</v>
          </cell>
          <cell r="G9">
            <v>473271.81000000006</v>
          </cell>
          <cell r="H9">
            <v>90141.757129673555</v>
          </cell>
          <cell r="J9">
            <v>563412.12887488818</v>
          </cell>
          <cell r="K9">
            <v>0</v>
          </cell>
        </row>
        <row r="10">
          <cell r="B10">
            <v>3</v>
          </cell>
          <cell r="F10">
            <v>36992.503461438122</v>
          </cell>
          <cell r="G10">
            <v>473271.81000000006</v>
          </cell>
          <cell r="H10">
            <v>90141.75712967341</v>
          </cell>
          <cell r="J10">
            <v>563412.12887488806</v>
          </cell>
          <cell r="K10">
            <v>0</v>
          </cell>
        </row>
        <row r="11">
          <cell r="B11">
            <v>4</v>
          </cell>
          <cell r="F11">
            <v>0</v>
          </cell>
          <cell r="G11">
            <v>473271.81000000006</v>
          </cell>
          <cell r="H11">
            <v>242498.33473413548</v>
          </cell>
          <cell r="J11">
            <v>715768.7064793501</v>
          </cell>
          <cell r="K11">
            <v>0</v>
          </cell>
        </row>
        <row r="12">
          <cell r="B12">
            <v>5</v>
          </cell>
          <cell r="F12">
            <v>0</v>
          </cell>
          <cell r="G12">
            <v>473271.81000000006</v>
          </cell>
          <cell r="H12">
            <v>642153.1299245354</v>
          </cell>
          <cell r="J12">
            <v>1115423.5016697501</v>
          </cell>
          <cell r="K12">
            <v>0</v>
          </cell>
        </row>
        <row r="14">
          <cell r="A14" t="str">
            <v>Restoring 1 MAF</v>
          </cell>
          <cell r="B14">
            <v>1</v>
          </cell>
          <cell r="F14">
            <v>184922.98446099166</v>
          </cell>
          <cell r="G14">
            <v>433365.46</v>
          </cell>
          <cell r="H14">
            <v>2.2890162654221059E-10</v>
          </cell>
          <cell r="J14">
            <v>433364.60475659161</v>
          </cell>
          <cell r="K14">
            <v>0</v>
          </cell>
        </row>
        <row r="15">
          <cell r="B15">
            <v>2</v>
          </cell>
          <cell r="F15">
            <v>46203.753057041475</v>
          </cell>
          <cell r="G15">
            <v>433365.46</v>
          </cell>
          <cell r="H15">
            <v>0</v>
          </cell>
          <cell r="J15">
            <v>433364.60475659143</v>
          </cell>
          <cell r="K15">
            <v>0</v>
          </cell>
        </row>
        <row r="16">
          <cell r="B16">
            <v>3</v>
          </cell>
          <cell r="F16">
            <v>0</v>
          </cell>
          <cell r="G16">
            <v>433365.46</v>
          </cell>
          <cell r="H16">
            <v>93055.020656858513</v>
          </cell>
          <cell r="J16">
            <v>526419.62541344995</v>
          </cell>
          <cell r="K16">
            <v>0</v>
          </cell>
        </row>
        <row r="17">
          <cell r="B17">
            <v>4</v>
          </cell>
          <cell r="F17">
            <v>0</v>
          </cell>
          <cell r="G17">
            <v>433365.46</v>
          </cell>
          <cell r="H17">
            <v>282404.10172275861</v>
          </cell>
          <cell r="J17">
            <v>715768.7064793501</v>
          </cell>
          <cell r="K17">
            <v>0</v>
          </cell>
        </row>
        <row r="18">
          <cell r="B18">
            <v>5</v>
          </cell>
          <cell r="F18">
            <v>0</v>
          </cell>
          <cell r="G18">
            <v>433365.46</v>
          </cell>
          <cell r="H18">
            <v>390911.15449354314</v>
          </cell>
          <cell r="J18">
            <v>1115423.5016697501</v>
          </cell>
          <cell r="K18">
            <v>291147.74241961545</v>
          </cell>
        </row>
        <row r="20">
          <cell r="A20" t="str">
            <v>Restoring 2 MAF</v>
          </cell>
          <cell r="B20">
            <v>1</v>
          </cell>
          <cell r="F20">
            <v>140938.75023936291</v>
          </cell>
          <cell r="G20">
            <v>389380.97000000003</v>
          </cell>
          <cell r="H20">
            <v>0</v>
          </cell>
          <cell r="J20">
            <v>389380.37053496286</v>
          </cell>
          <cell r="K20">
            <v>0</v>
          </cell>
        </row>
        <row r="21">
          <cell r="B21">
            <v>2</v>
          </cell>
          <cell r="F21">
            <v>2219.51883541291</v>
          </cell>
          <cell r="G21">
            <v>389380.97000000003</v>
          </cell>
          <cell r="H21">
            <v>0</v>
          </cell>
          <cell r="J21">
            <v>389380.37053496286</v>
          </cell>
          <cell r="K21">
            <v>0</v>
          </cell>
        </row>
        <row r="22">
          <cell r="B22">
            <v>3</v>
          </cell>
          <cell r="F22">
            <v>0</v>
          </cell>
          <cell r="G22">
            <v>389380.97000000003</v>
          </cell>
          <cell r="H22">
            <v>132685.39313178661</v>
          </cell>
          <cell r="J22">
            <v>526419.62541344995</v>
          </cell>
          <cell r="K22">
            <v>4353.8617467004979</v>
          </cell>
        </row>
        <row r="23">
          <cell r="B23">
            <v>4</v>
          </cell>
          <cell r="F23">
            <v>0</v>
          </cell>
          <cell r="G23">
            <v>389380.97000000003</v>
          </cell>
          <cell r="H23">
            <v>132685.39538309272</v>
          </cell>
          <cell r="J23">
            <v>715768.7064793501</v>
          </cell>
          <cell r="K23">
            <v>193702.9405612945</v>
          </cell>
        </row>
        <row r="24">
          <cell r="B24">
            <v>5</v>
          </cell>
          <cell r="F24">
            <v>0</v>
          </cell>
          <cell r="G24">
            <v>389380.97000000003</v>
          </cell>
          <cell r="H24">
            <v>132685.36534877709</v>
          </cell>
          <cell r="J24">
            <v>1115423.5016697501</v>
          </cell>
          <cell r="K24">
            <v>593357.76578601019</v>
          </cell>
        </row>
      </sheetData>
      <sheetData sheetId="2">
        <row r="2">
          <cell r="A2" t="str">
            <v>GWo = 10 MAF</v>
          </cell>
          <cell r="B2">
            <v>1</v>
          </cell>
          <cell r="F2">
            <v>314971</v>
          </cell>
          <cell r="G2">
            <v>473271.81000000006</v>
          </cell>
          <cell r="H2">
            <v>90140.160000000003</v>
          </cell>
          <cell r="J2">
            <v>563412.62029560003</v>
          </cell>
          <cell r="K2">
            <v>0</v>
          </cell>
        </row>
        <row r="3">
          <cell r="B3">
            <v>2</v>
          </cell>
          <cell r="F3">
            <v>176251</v>
          </cell>
          <cell r="G3">
            <v>473271.81000000006</v>
          </cell>
          <cell r="H3">
            <v>90140.160000000003</v>
          </cell>
          <cell r="J3">
            <v>563411.85169954994</v>
          </cell>
          <cell r="K3">
            <v>0</v>
          </cell>
        </row>
        <row r="4">
          <cell r="B4">
            <v>3</v>
          </cell>
          <cell r="F4">
            <v>36992</v>
          </cell>
          <cell r="G4">
            <v>473271.81000000006</v>
          </cell>
          <cell r="H4">
            <v>90140.160000000003</v>
          </cell>
          <cell r="J4">
            <v>563411.62541344995</v>
          </cell>
          <cell r="K4">
            <v>0</v>
          </cell>
        </row>
        <row r="5">
          <cell r="B5">
            <v>4</v>
          </cell>
          <cell r="F5">
            <v>0</v>
          </cell>
          <cell r="G5">
            <v>473271.81000000006</v>
          </cell>
          <cell r="H5">
            <v>242498.52</v>
          </cell>
          <cell r="J5">
            <v>715768.7064793501</v>
          </cell>
          <cell r="K5">
            <v>0</v>
          </cell>
        </row>
        <row r="6">
          <cell r="B6">
            <v>5</v>
          </cell>
          <cell r="F6">
            <v>0</v>
          </cell>
          <cell r="G6">
            <v>473271.81000000006</v>
          </cell>
          <cell r="H6">
            <v>642151.84</v>
          </cell>
          <cell r="J6">
            <v>1115423.5016697501</v>
          </cell>
          <cell r="K6">
            <v>0</v>
          </cell>
        </row>
        <row r="8">
          <cell r="A8" t="str">
            <v>GWo = 15 MAF</v>
          </cell>
          <cell r="B8">
            <v>1</v>
          </cell>
          <cell r="F8">
            <v>358065</v>
          </cell>
          <cell r="G8">
            <v>473271.81000000006</v>
          </cell>
          <cell r="H8">
            <v>133235.51999999999</v>
          </cell>
          <cell r="J8">
            <v>606506.62029560003</v>
          </cell>
          <cell r="K8">
            <v>0</v>
          </cell>
        </row>
        <row r="9">
          <cell r="B9">
            <v>2</v>
          </cell>
          <cell r="F9">
            <v>219346</v>
          </cell>
          <cell r="G9">
            <v>473271.81000000006</v>
          </cell>
          <cell r="H9">
            <v>133235.51999999999</v>
          </cell>
          <cell r="J9">
            <v>606506.85169954994</v>
          </cell>
          <cell r="K9">
            <v>0</v>
          </cell>
        </row>
        <row r="10">
          <cell r="B10">
            <v>3</v>
          </cell>
          <cell r="F10">
            <v>80087</v>
          </cell>
          <cell r="G10">
            <v>473271.81000000006</v>
          </cell>
          <cell r="H10">
            <v>133235.51999999999</v>
          </cell>
          <cell r="J10">
            <v>606506.62541344995</v>
          </cell>
          <cell r="K10">
            <v>0</v>
          </cell>
        </row>
        <row r="11">
          <cell r="B11">
            <v>4</v>
          </cell>
          <cell r="F11">
            <v>0</v>
          </cell>
          <cell r="G11">
            <v>473271.81000000006</v>
          </cell>
          <cell r="H11">
            <v>242498.52</v>
          </cell>
          <cell r="J11">
            <v>715768.7064793501</v>
          </cell>
          <cell r="K11">
            <v>0</v>
          </cell>
        </row>
        <row r="12">
          <cell r="B12">
            <v>5</v>
          </cell>
          <cell r="F12">
            <v>0</v>
          </cell>
          <cell r="G12">
            <v>473271.81000000006</v>
          </cell>
          <cell r="H12">
            <v>512870.6</v>
          </cell>
          <cell r="J12">
            <v>1115423.5016697501</v>
          </cell>
          <cell r="K12">
            <v>129285</v>
          </cell>
        </row>
      </sheetData>
      <sheetData sheetId="3">
        <row r="2">
          <cell r="A2" t="str">
            <v>Decadal optimum (no overdraft)</v>
          </cell>
          <cell r="B2">
            <v>1</v>
          </cell>
          <cell r="F2">
            <v>314971</v>
          </cell>
          <cell r="G2">
            <v>473271.81000000006</v>
          </cell>
          <cell r="H2">
            <v>90140.160000000003</v>
          </cell>
          <cell r="J2">
            <v>563412.62029560003</v>
          </cell>
          <cell r="K2">
            <v>0</v>
          </cell>
        </row>
        <row r="3">
          <cell r="B3">
            <v>2</v>
          </cell>
          <cell r="F3">
            <v>176251</v>
          </cell>
          <cell r="G3">
            <v>473271.81000000006</v>
          </cell>
          <cell r="H3">
            <v>90140.160000000003</v>
          </cell>
          <cell r="J3">
            <v>563411.85169954994</v>
          </cell>
          <cell r="K3">
            <v>0</v>
          </cell>
        </row>
        <row r="4">
          <cell r="B4">
            <v>3</v>
          </cell>
          <cell r="F4">
            <v>36992</v>
          </cell>
          <cell r="G4">
            <v>473271.81000000006</v>
          </cell>
          <cell r="H4">
            <v>90140.160000000003</v>
          </cell>
          <cell r="J4">
            <v>563411.62541344995</v>
          </cell>
          <cell r="K4">
            <v>0</v>
          </cell>
        </row>
        <row r="5">
          <cell r="B5">
            <v>4</v>
          </cell>
          <cell r="F5">
            <v>0</v>
          </cell>
          <cell r="G5">
            <v>473271.81000000006</v>
          </cell>
          <cell r="H5">
            <v>242498.52</v>
          </cell>
          <cell r="J5">
            <v>715768.7064793501</v>
          </cell>
          <cell r="K5">
            <v>0</v>
          </cell>
        </row>
        <row r="6">
          <cell r="B6">
            <v>5</v>
          </cell>
          <cell r="F6">
            <v>0</v>
          </cell>
          <cell r="G6">
            <v>473271.81000000006</v>
          </cell>
          <cell r="H6">
            <v>642151.84</v>
          </cell>
          <cell r="J6">
            <v>1115423.5016697501</v>
          </cell>
          <cell r="K6">
            <v>0</v>
          </cell>
        </row>
        <row r="8">
          <cell r="A8" t="str">
            <v>Optimal decade 1 of long term (no overdraft)</v>
          </cell>
          <cell r="B8">
            <v>1</v>
          </cell>
          <cell r="F8">
            <v>362058</v>
          </cell>
          <cell r="G8">
            <v>610500</v>
          </cell>
          <cell r="H8">
            <v>0</v>
          </cell>
          <cell r="J8">
            <v>610499.62029560003</v>
          </cell>
          <cell r="K8">
            <v>0</v>
          </cell>
        </row>
        <row r="9">
          <cell r="B9">
            <v>2</v>
          </cell>
          <cell r="F9">
            <v>223339</v>
          </cell>
          <cell r="G9">
            <v>610500</v>
          </cell>
          <cell r="H9">
            <v>0</v>
          </cell>
          <cell r="J9">
            <v>610499.85169954994</v>
          </cell>
          <cell r="K9">
            <v>0</v>
          </cell>
        </row>
        <row r="10">
          <cell r="B10">
            <v>3</v>
          </cell>
          <cell r="F10">
            <v>84080</v>
          </cell>
          <cell r="G10">
            <v>610500</v>
          </cell>
          <cell r="H10">
            <v>0</v>
          </cell>
          <cell r="J10">
            <v>610499.62541344995</v>
          </cell>
          <cell r="K10">
            <v>0</v>
          </cell>
        </row>
        <row r="11">
          <cell r="B11">
            <v>4</v>
          </cell>
          <cell r="F11">
            <v>0</v>
          </cell>
          <cell r="G11">
            <v>610500</v>
          </cell>
          <cell r="H11">
            <v>105270</v>
          </cell>
          <cell r="J11">
            <v>715768.7064793501</v>
          </cell>
          <cell r="K11">
            <v>0</v>
          </cell>
        </row>
        <row r="12">
          <cell r="B12">
            <v>5</v>
          </cell>
          <cell r="F12">
            <v>0</v>
          </cell>
          <cell r="G12">
            <v>610500</v>
          </cell>
          <cell r="H12">
            <v>363658.23999999999</v>
          </cell>
          <cell r="J12">
            <v>1115423.5016697501</v>
          </cell>
          <cell r="K12">
            <v>141270</v>
          </cell>
        </row>
      </sheetData>
      <sheetData sheetId="4">
        <row r="2">
          <cell r="A2" t="str">
            <v>Decadal optimum (pumps 3 MAF)</v>
          </cell>
          <cell r="B2">
            <v>1</v>
          </cell>
          <cell r="F2">
            <v>794236</v>
          </cell>
          <cell r="G2">
            <v>546454.48</v>
          </cell>
          <cell r="H2">
            <v>496225.83999999997</v>
          </cell>
          <cell r="J2">
            <v>1042677.6202956</v>
          </cell>
          <cell r="K2">
            <v>0</v>
          </cell>
        </row>
        <row r="3">
          <cell r="B3">
            <v>2</v>
          </cell>
          <cell r="F3">
            <v>655517</v>
          </cell>
          <cell r="G3">
            <v>546454.48</v>
          </cell>
          <cell r="H3">
            <v>496225.83999999997</v>
          </cell>
          <cell r="J3">
            <v>1042677.8516995499</v>
          </cell>
          <cell r="K3">
            <v>0</v>
          </cell>
        </row>
        <row r="4">
          <cell r="B4">
            <v>3</v>
          </cell>
          <cell r="F4">
            <v>516258</v>
          </cell>
          <cell r="G4">
            <v>546454.48</v>
          </cell>
          <cell r="H4">
            <v>496225.83999999997</v>
          </cell>
          <cell r="J4">
            <v>1042677.6254134499</v>
          </cell>
          <cell r="K4">
            <v>0</v>
          </cell>
        </row>
        <row r="5">
          <cell r="B5">
            <v>4</v>
          </cell>
          <cell r="F5">
            <v>326909</v>
          </cell>
          <cell r="G5">
            <v>546454.48</v>
          </cell>
          <cell r="H5">
            <v>496225.83999999997</v>
          </cell>
          <cell r="J5">
            <v>1042677.7064793501</v>
          </cell>
          <cell r="K5">
            <v>0</v>
          </cell>
        </row>
        <row r="6">
          <cell r="B6">
            <v>5</v>
          </cell>
          <cell r="F6">
            <v>0</v>
          </cell>
          <cell r="G6">
            <v>546454.48</v>
          </cell>
          <cell r="H6">
            <v>568971.04</v>
          </cell>
          <cell r="J6">
            <v>1115423.5016697501</v>
          </cell>
          <cell r="K6">
            <v>0</v>
          </cell>
        </row>
        <row r="8">
          <cell r="A8" t="str">
            <v>Optimal decade 1 of long term (pumps 2 MAF)</v>
          </cell>
          <cell r="B8">
            <v>1</v>
          </cell>
          <cell r="F8">
            <v>647177</v>
          </cell>
          <cell r="G8">
            <v>610500</v>
          </cell>
          <cell r="H8">
            <v>285119.56</v>
          </cell>
          <cell r="J8">
            <v>895618.62029560003</v>
          </cell>
          <cell r="K8">
            <v>0</v>
          </cell>
        </row>
        <row r="9">
          <cell r="B9">
            <v>2</v>
          </cell>
          <cell r="F9">
            <v>508458</v>
          </cell>
          <cell r="G9">
            <v>610500</v>
          </cell>
          <cell r="H9">
            <v>285119.56</v>
          </cell>
          <cell r="J9">
            <v>895618.85169954994</v>
          </cell>
          <cell r="K9">
            <v>0</v>
          </cell>
        </row>
        <row r="10">
          <cell r="B10">
            <v>3</v>
          </cell>
          <cell r="F10">
            <v>369199</v>
          </cell>
          <cell r="G10">
            <v>610500</v>
          </cell>
          <cell r="H10">
            <v>285119.56</v>
          </cell>
          <cell r="J10">
            <v>895618.62541344995</v>
          </cell>
          <cell r="K10">
            <v>0</v>
          </cell>
        </row>
        <row r="11">
          <cell r="B11">
            <v>4</v>
          </cell>
          <cell r="F11">
            <v>179850</v>
          </cell>
          <cell r="G11">
            <v>610500</v>
          </cell>
          <cell r="H11">
            <v>285119.56</v>
          </cell>
          <cell r="J11">
            <v>895618.7064793501</v>
          </cell>
          <cell r="K11">
            <v>0</v>
          </cell>
        </row>
        <row r="12">
          <cell r="B12">
            <v>5</v>
          </cell>
          <cell r="F12">
            <v>0</v>
          </cell>
          <cell r="G12">
            <v>610500</v>
          </cell>
          <cell r="H12">
            <v>504923.32</v>
          </cell>
          <cell r="J12">
            <v>1115423.5016697501</v>
          </cell>
          <cell r="K12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1673-3C74-4C00-B9A7-7552372A6122}">
  <dimension ref="A1:R100"/>
  <sheetViews>
    <sheetView workbookViewId="0">
      <selection activeCell="K2" sqref="K2"/>
    </sheetView>
  </sheetViews>
  <sheetFormatPr defaultRowHeight="14.5" x14ac:dyDescent="0.35"/>
  <cols>
    <col min="7" max="7" width="12.1796875" style="1" bestFit="1" customWidth="1"/>
    <col min="11" max="11" width="11.81640625" bestFit="1" customWidth="1"/>
    <col min="17" max="17" width="10.08984375" customWidth="1"/>
  </cols>
  <sheetData>
    <row r="1" spans="1:18" x14ac:dyDescent="0.35">
      <c r="A1" t="s">
        <v>20</v>
      </c>
      <c r="B1">
        <f>LN(625000^2/(400000^2+625000^2)^0.5)</f>
        <v>13.173853940618649</v>
      </c>
      <c r="D1" t="s">
        <v>102</v>
      </c>
      <c r="F1" t="s">
        <v>101</v>
      </c>
      <c r="G1" s="1" t="s">
        <v>103</v>
      </c>
      <c r="H1" t="s">
        <v>102</v>
      </c>
      <c r="J1" t="s">
        <v>101</v>
      </c>
      <c r="K1" t="s">
        <v>103</v>
      </c>
    </row>
    <row r="2" spans="1:18" x14ac:dyDescent="0.35">
      <c r="A2" t="s">
        <v>21</v>
      </c>
      <c r="B2">
        <f>(LN(400000^2/625000^2+1))^0.5</f>
        <v>0.58592318284889355</v>
      </c>
      <c r="D2">
        <v>0.01</v>
      </c>
      <c r="E2">
        <f>_xlfn.NORM.S.INV(D2)</f>
        <v>-2.3263478740408408</v>
      </c>
      <c r="F2">
        <f>EXP(E2*$B$2+$B$1)/1000</f>
        <v>134.69830648794903</v>
      </c>
      <c r="G2" s="1">
        <f>F2*1000*1233.48</f>
        <v>166147667.08675534</v>
      </c>
      <c r="H2">
        <v>0.1</v>
      </c>
      <c r="I2">
        <v>-1.2815515655446006</v>
      </c>
      <c r="J2">
        <f>F11</f>
        <v>248.44162025060172</v>
      </c>
      <c r="K2">
        <f>G11</f>
        <v>306447769.74671221</v>
      </c>
      <c r="O2" t="s">
        <v>22</v>
      </c>
      <c r="P2" t="s">
        <v>23</v>
      </c>
      <c r="Q2" t="s">
        <v>24</v>
      </c>
      <c r="R2" t="s">
        <v>25</v>
      </c>
    </row>
    <row r="3" spans="1:18" x14ac:dyDescent="0.35">
      <c r="D3">
        <v>0.02</v>
      </c>
      <c r="E3">
        <f t="shared" ref="E3:E66" si="0">_xlfn.NORM.S.INV(D3)</f>
        <v>-2.0537489106318225</v>
      </c>
      <c r="F3">
        <f t="shared" ref="F3:F66" si="1">EXP(E3*$B$2+$B$1)/1000</f>
        <v>158.02599789757252</v>
      </c>
      <c r="G3" s="1">
        <f t="shared" ref="G3:G66" si="2">F3*1000*1233.48</f>
        <v>194921907.88669777</v>
      </c>
      <c r="H3">
        <v>0.3</v>
      </c>
      <c r="I3">
        <v>-0.52440051270804089</v>
      </c>
      <c r="J3">
        <f>F31</f>
        <v>387.16085169956153</v>
      </c>
      <c r="K3">
        <f>G31</f>
        <v>477555167.35437512</v>
      </c>
      <c r="O3" t="s">
        <v>26</v>
      </c>
      <c r="P3">
        <v>1</v>
      </c>
      <c r="Q3" s="1">
        <f>J2</f>
        <v>248.44162025060172</v>
      </c>
      <c r="R3">
        <v>0.2</v>
      </c>
    </row>
    <row r="4" spans="1:18" x14ac:dyDescent="0.35">
      <c r="D4">
        <v>0.03</v>
      </c>
      <c r="E4">
        <f t="shared" si="0"/>
        <v>-1.8807936081512509</v>
      </c>
      <c r="F4">
        <f t="shared" si="1"/>
        <v>174.87966073985282</v>
      </c>
      <c r="G4" s="1">
        <f t="shared" si="2"/>
        <v>215710563.92939365</v>
      </c>
      <c r="H4">
        <v>0.5</v>
      </c>
      <c r="I4">
        <v>0</v>
      </c>
      <c r="J4">
        <f>F51</f>
        <v>526.41962541344435</v>
      </c>
      <c r="K4">
        <f>G51</f>
        <v>649328079.55497539</v>
      </c>
      <c r="O4" t="s">
        <v>27</v>
      </c>
      <c r="P4">
        <v>2</v>
      </c>
      <c r="Q4" s="1">
        <f>J3</f>
        <v>387.16085169956153</v>
      </c>
      <c r="R4">
        <v>0.2</v>
      </c>
    </row>
    <row r="5" spans="1:18" x14ac:dyDescent="0.35">
      <c r="D5">
        <v>0.04</v>
      </c>
      <c r="E5">
        <f t="shared" si="0"/>
        <v>-1.7506860712521695</v>
      </c>
      <c r="F5">
        <f t="shared" si="1"/>
        <v>188.73258266488943</v>
      </c>
      <c r="G5" s="1">
        <f t="shared" si="2"/>
        <v>232797866.0654878</v>
      </c>
      <c r="H5">
        <v>0.7</v>
      </c>
      <c r="I5">
        <v>0.52440051270804078</v>
      </c>
      <c r="J5">
        <f>F71</f>
        <v>715.76870647932913</v>
      </c>
      <c r="K5">
        <f>G71</f>
        <v>882886384.06812298</v>
      </c>
      <c r="O5" t="s">
        <v>28</v>
      </c>
      <c r="P5">
        <v>3</v>
      </c>
      <c r="Q5" s="1">
        <f>J4</f>
        <v>526.41962541344435</v>
      </c>
      <c r="R5">
        <v>0.2</v>
      </c>
    </row>
    <row r="6" spans="1:18" x14ac:dyDescent="0.35">
      <c r="D6">
        <v>0.05</v>
      </c>
      <c r="E6">
        <f t="shared" si="0"/>
        <v>-1.6448536269514726</v>
      </c>
      <c r="F6">
        <f t="shared" si="1"/>
        <v>200.80630549911319</v>
      </c>
      <c r="G6" s="1">
        <f t="shared" si="2"/>
        <v>247690561.70704615</v>
      </c>
      <c r="H6">
        <v>0.9</v>
      </c>
      <c r="I6">
        <v>1.2815515655446006</v>
      </c>
      <c r="J6">
        <f>F91</f>
        <v>1115.4235016697442</v>
      </c>
      <c r="K6">
        <f>G91</f>
        <v>1375852580.8395963</v>
      </c>
      <c r="O6" t="s">
        <v>29</v>
      </c>
      <c r="P6">
        <v>4</v>
      </c>
      <c r="Q6" s="1">
        <f>J5</f>
        <v>715.76870647932913</v>
      </c>
      <c r="R6">
        <v>0.2</v>
      </c>
    </row>
    <row r="7" spans="1:18" x14ac:dyDescent="0.35">
      <c r="D7">
        <v>0.06</v>
      </c>
      <c r="E7">
        <f t="shared" si="0"/>
        <v>-1.554773594596853</v>
      </c>
      <c r="F7">
        <f t="shared" si="1"/>
        <v>211.68954023340569</v>
      </c>
      <c r="G7" s="1">
        <f t="shared" si="2"/>
        <v>261114814.08710125</v>
      </c>
      <c r="O7" t="s">
        <v>30</v>
      </c>
      <c r="P7">
        <v>5</v>
      </c>
      <c r="Q7" s="1">
        <f>J6</f>
        <v>1115.4235016697442</v>
      </c>
      <c r="R7">
        <v>0.2</v>
      </c>
    </row>
    <row r="8" spans="1:18" x14ac:dyDescent="0.35">
      <c r="D8">
        <v>7.0000000000000007E-2</v>
      </c>
      <c r="E8">
        <f t="shared" si="0"/>
        <v>-1.4757910281791702</v>
      </c>
      <c r="F8">
        <f t="shared" si="1"/>
        <v>221.71626640727868</v>
      </c>
      <c r="G8" s="1">
        <f t="shared" si="2"/>
        <v>273482580.28805012</v>
      </c>
    </row>
    <row r="9" spans="1:18" x14ac:dyDescent="0.35">
      <c r="D9">
        <v>0.08</v>
      </c>
      <c r="E9">
        <f t="shared" si="0"/>
        <v>-1.4050715603096353</v>
      </c>
      <c r="F9">
        <f t="shared" si="1"/>
        <v>231.09633561711377</v>
      </c>
      <c r="G9" s="1">
        <f t="shared" si="2"/>
        <v>285052708.05699748</v>
      </c>
    </row>
    <row r="10" spans="1:18" x14ac:dyDescent="0.35">
      <c r="D10">
        <v>0.09</v>
      </c>
      <c r="E10">
        <f t="shared" si="0"/>
        <v>-1.3407550336902161</v>
      </c>
      <c r="F10">
        <f t="shared" si="1"/>
        <v>239.97126928801046</v>
      </c>
      <c r="G10" s="1">
        <f t="shared" si="2"/>
        <v>295999761.24137515</v>
      </c>
    </row>
    <row r="11" spans="1:18" x14ac:dyDescent="0.35">
      <c r="D11">
        <v>0.1</v>
      </c>
      <c r="E11">
        <f t="shared" si="0"/>
        <v>-1.2815515655446006</v>
      </c>
      <c r="F11" s="7">
        <f t="shared" si="1"/>
        <v>248.44162025060172</v>
      </c>
      <c r="G11" s="1">
        <f t="shared" si="2"/>
        <v>306447769.74671221</v>
      </c>
    </row>
    <row r="12" spans="1:18" x14ac:dyDescent="0.35">
      <c r="D12">
        <v>0.11</v>
      </c>
      <c r="E12">
        <f t="shared" si="0"/>
        <v>-1.2265281200366105</v>
      </c>
      <c r="F12">
        <f t="shared" si="1"/>
        <v>256.58176909179139</v>
      </c>
      <c r="G12" s="1">
        <f t="shared" si="2"/>
        <v>316488480.53934282</v>
      </c>
    </row>
    <row r="13" spans="1:18" x14ac:dyDescent="0.35">
      <c r="D13">
        <v>0.12</v>
      </c>
      <c r="E13">
        <f t="shared" si="0"/>
        <v>-1.1749867920660904</v>
      </c>
      <c r="F13">
        <f t="shared" si="1"/>
        <v>264.44853577395531</v>
      </c>
      <c r="G13" s="1">
        <f t="shared" si="2"/>
        <v>326191979.90645838</v>
      </c>
    </row>
    <row r="14" spans="1:18" x14ac:dyDescent="0.35">
      <c r="D14">
        <v>0.13</v>
      </c>
      <c r="E14">
        <f t="shared" si="0"/>
        <v>-1.1263911290388013</v>
      </c>
      <c r="F14">
        <f t="shared" si="1"/>
        <v>272.08648795511647</v>
      </c>
      <c r="G14" s="1">
        <f t="shared" si="2"/>
        <v>335613241.16287708</v>
      </c>
    </row>
    <row r="15" spans="1:18" x14ac:dyDescent="0.35">
      <c r="D15">
        <v>0.14000000000000001</v>
      </c>
      <c r="E15">
        <f t="shared" si="0"/>
        <v>-1.0803193408149565</v>
      </c>
      <c r="F15">
        <f t="shared" si="1"/>
        <v>279.53136791466454</v>
      </c>
      <c r="G15" s="1">
        <f t="shared" si="2"/>
        <v>344796351.69538045</v>
      </c>
    </row>
    <row r="16" spans="1:18" x14ac:dyDescent="0.35">
      <c r="D16">
        <v>0.15</v>
      </c>
      <c r="E16">
        <f t="shared" si="0"/>
        <v>-1.0364333894937898</v>
      </c>
      <c r="F16">
        <f t="shared" si="1"/>
        <v>286.81239075267825</v>
      </c>
      <c r="G16" s="1">
        <f t="shared" si="2"/>
        <v>353777347.74561357</v>
      </c>
    </row>
    <row r="17" spans="4:7" x14ac:dyDescent="0.35">
      <c r="D17">
        <v>0.16</v>
      </c>
      <c r="E17">
        <f t="shared" si="0"/>
        <v>-0.9944578832097497</v>
      </c>
      <c r="F17">
        <f t="shared" si="1"/>
        <v>293.95383567534509</v>
      </c>
      <c r="G17" s="1">
        <f t="shared" si="2"/>
        <v>362586177.22882468</v>
      </c>
    </row>
    <row r="18" spans="4:7" x14ac:dyDescent="0.35">
      <c r="D18">
        <v>0.17</v>
      </c>
      <c r="E18">
        <f t="shared" si="0"/>
        <v>-0.95416525314619549</v>
      </c>
      <c r="F18">
        <f t="shared" si="1"/>
        <v>300.97617823762084</v>
      </c>
      <c r="G18" s="1">
        <f t="shared" si="2"/>
        <v>371248096.33254057</v>
      </c>
    </row>
    <row r="19" spans="4:7" x14ac:dyDescent="0.35">
      <c r="D19">
        <v>0.18</v>
      </c>
      <c r="E19">
        <f t="shared" si="0"/>
        <v>-0.91536508784281501</v>
      </c>
      <c r="F19">
        <f t="shared" si="1"/>
        <v>307.89691515563572</v>
      </c>
      <c r="G19" s="1">
        <f t="shared" si="2"/>
        <v>379784686.90617359</v>
      </c>
    </row>
    <row r="20" spans="4:7" x14ac:dyDescent="0.35">
      <c r="D20">
        <v>0.19</v>
      </c>
      <c r="E20">
        <f t="shared" si="0"/>
        <v>-0.87789629505122846</v>
      </c>
      <c r="F20">
        <f t="shared" si="1"/>
        <v>314.7311776643752</v>
      </c>
      <c r="G20" s="1">
        <f t="shared" si="2"/>
        <v>388214613.02545357</v>
      </c>
    </row>
    <row r="21" spans="4:7" x14ac:dyDescent="0.35">
      <c r="D21">
        <v>0.2</v>
      </c>
      <c r="E21">
        <f t="shared" si="0"/>
        <v>-0.84162123357291452</v>
      </c>
      <c r="F21">
        <f t="shared" si="1"/>
        <v>321.49219601354986</v>
      </c>
      <c r="G21" s="1">
        <f t="shared" si="2"/>
        <v>396554193.93879348</v>
      </c>
    </row>
    <row r="22" spans="4:7" x14ac:dyDescent="0.35">
      <c r="D22">
        <v>0.21</v>
      </c>
      <c r="E22">
        <f t="shared" si="0"/>
        <v>-0.80642124701824058</v>
      </c>
      <c r="F22">
        <f t="shared" si="1"/>
        <v>328.19165700296861</v>
      </c>
      <c r="G22" s="1">
        <f t="shared" si="2"/>
        <v>404817845.08002174</v>
      </c>
    </row>
    <row r="23" spans="4:7" x14ac:dyDescent="0.35">
      <c r="D23">
        <v>0.22</v>
      </c>
      <c r="E23">
        <f t="shared" si="0"/>
        <v>-0.77219321418868503</v>
      </c>
      <c r="F23">
        <f t="shared" si="1"/>
        <v>334.83998326232137</v>
      </c>
      <c r="G23" s="1">
        <f t="shared" si="2"/>
        <v>413018422.55440819</v>
      </c>
    </row>
    <row r="24" spans="4:7" x14ac:dyDescent="0.35">
      <c r="D24">
        <v>0.23</v>
      </c>
      <c r="E24">
        <f t="shared" si="0"/>
        <v>-0.73884684918521393</v>
      </c>
      <c r="F24">
        <f t="shared" si="1"/>
        <v>341.44655434878337</v>
      </c>
      <c r="G24" s="1">
        <f t="shared" si="2"/>
        <v>421167495.85813737</v>
      </c>
    </row>
    <row r="25" spans="4:7" x14ac:dyDescent="0.35">
      <c r="D25">
        <v>0.24</v>
      </c>
      <c r="E25">
        <f t="shared" si="0"/>
        <v>-0.7063025628400873</v>
      </c>
      <c r="F25">
        <f t="shared" si="1"/>
        <v>348.01988396161983</v>
      </c>
      <c r="G25" s="1">
        <f t="shared" si="2"/>
        <v>429275566.46897882</v>
      </c>
    </row>
    <row r="26" spans="4:7" x14ac:dyDescent="0.35">
      <c r="D26">
        <v>0.25</v>
      </c>
      <c r="E26">
        <f t="shared" si="0"/>
        <v>-0.67448975019608193</v>
      </c>
      <c r="F26">
        <f t="shared" si="1"/>
        <v>354.56776363138255</v>
      </c>
      <c r="G26" s="1">
        <f t="shared" si="2"/>
        <v>437352245.08403778</v>
      </c>
    </row>
    <row r="27" spans="4:7" x14ac:dyDescent="0.35">
      <c r="D27">
        <v>0.26</v>
      </c>
      <c r="E27">
        <f t="shared" si="0"/>
        <v>-0.64334540539291696</v>
      </c>
      <c r="F27">
        <f t="shared" si="1"/>
        <v>361.09738050129619</v>
      </c>
      <c r="G27" s="1">
        <f t="shared" si="2"/>
        <v>445406396.90073884</v>
      </c>
    </row>
    <row r="28" spans="4:7" x14ac:dyDescent="0.35">
      <c r="D28">
        <v>0.27</v>
      </c>
      <c r="E28">
        <f t="shared" si="0"/>
        <v>-0.61281299101662734</v>
      </c>
      <c r="F28">
        <f t="shared" si="1"/>
        <v>367.61541488199748</v>
      </c>
      <c r="G28" s="1">
        <f t="shared" si="2"/>
        <v>453446261.94864631</v>
      </c>
    </row>
    <row r="29" spans="4:7" x14ac:dyDescent="0.35">
      <c r="D29">
        <v>0.28000000000000003</v>
      </c>
      <c r="E29">
        <f t="shared" si="0"/>
        <v>-0.58284150727121631</v>
      </c>
      <c r="F29">
        <f t="shared" si="1"/>
        <v>374.12812187172079</v>
      </c>
      <c r="G29" s="1">
        <f t="shared" si="2"/>
        <v>461479555.76633012</v>
      </c>
    </row>
    <row r="30" spans="4:7" x14ac:dyDescent="0.35">
      <c r="D30">
        <v>0.28999999999999998</v>
      </c>
      <c r="E30">
        <f t="shared" si="0"/>
        <v>-0.55338471955567303</v>
      </c>
      <c r="F30">
        <f t="shared" si="1"/>
        <v>380.64140032379356</v>
      </c>
      <c r="G30" s="1">
        <f t="shared" si="2"/>
        <v>469513554.47139293</v>
      </c>
    </row>
    <row r="31" spans="4:7" x14ac:dyDescent="0.35">
      <c r="D31">
        <v>0.3</v>
      </c>
      <c r="E31">
        <f t="shared" si="0"/>
        <v>-0.52440051270804089</v>
      </c>
      <c r="F31" s="7">
        <f t="shared" si="1"/>
        <v>387.16085169956153</v>
      </c>
      <c r="G31" s="1">
        <f t="shared" si="2"/>
        <v>477555167.35437512</v>
      </c>
    </row>
    <row r="32" spans="4:7" x14ac:dyDescent="0.35">
      <c r="D32">
        <v>0.31</v>
      </c>
      <c r="E32">
        <f t="shared" si="0"/>
        <v>-0.49585034734745354</v>
      </c>
      <c r="F32">
        <f t="shared" si="1"/>
        <v>393.6918307909653</v>
      </c>
      <c r="G32" s="1">
        <f t="shared" si="2"/>
        <v>485610999.44403988</v>
      </c>
    </row>
    <row r="33" spans="4:7" x14ac:dyDescent="0.35">
      <c r="D33">
        <v>0.32</v>
      </c>
      <c r="E33">
        <f t="shared" si="0"/>
        <v>-0.46769879911450829</v>
      </c>
      <c r="F33">
        <f t="shared" si="1"/>
        <v>400.2394898803505</v>
      </c>
      <c r="G33" s="1">
        <f t="shared" si="2"/>
        <v>493687405.9776147</v>
      </c>
    </row>
    <row r="34" spans="4:7" x14ac:dyDescent="0.35">
      <c r="D34">
        <v>0.33</v>
      </c>
      <c r="E34">
        <f t="shared" si="0"/>
        <v>-0.43991316567323374</v>
      </c>
      <c r="F34">
        <f t="shared" si="1"/>
        <v>406.80881758877166</v>
      </c>
      <c r="G34" s="1">
        <f t="shared" si="2"/>
        <v>501790540.31939805</v>
      </c>
    </row>
    <row r="35" spans="4:7" x14ac:dyDescent="0.35">
      <c r="D35">
        <v>0.34</v>
      </c>
      <c r="E35">
        <f t="shared" si="0"/>
        <v>-0.41246312944140484</v>
      </c>
      <c r="F35">
        <f t="shared" si="1"/>
        <v>413.40467342193898</v>
      </c>
      <c r="G35" s="1">
        <f t="shared" si="2"/>
        <v>509926396.57249326</v>
      </c>
    </row>
    <row r="36" spans="4:7" x14ac:dyDescent="0.35">
      <c r="D36">
        <v>0.35</v>
      </c>
      <c r="E36">
        <f t="shared" si="0"/>
        <v>-0.38532046640756784</v>
      </c>
      <c r="F36">
        <f t="shared" si="1"/>
        <v>420.03181883642009</v>
      </c>
      <c r="G36" s="1">
        <f t="shared" si="2"/>
        <v>518100847.89834744</v>
      </c>
    </row>
    <row r="37" spans="4:7" x14ac:dyDescent="0.35">
      <c r="D37">
        <v>0.36</v>
      </c>
      <c r="E37">
        <f t="shared" si="0"/>
        <v>-0.35845879325119384</v>
      </c>
      <c r="F37">
        <f t="shared" si="1"/>
        <v>426.69494550415789</v>
      </c>
      <c r="G37" s="1">
        <f t="shared" si="2"/>
        <v>526319681.38046867</v>
      </c>
    </row>
    <row r="38" spans="4:7" x14ac:dyDescent="0.35">
      <c r="D38">
        <v>0.37</v>
      </c>
      <c r="E38">
        <f t="shared" si="0"/>
        <v>-0.33185334643681658</v>
      </c>
      <c r="F38">
        <f t="shared" si="1"/>
        <v>433.39870134092206</v>
      </c>
      <c r="G38" s="1">
        <f t="shared" si="2"/>
        <v>534588630.13000053</v>
      </c>
    </row>
    <row r="39" spans="4:7" x14ac:dyDescent="0.35">
      <c r="D39">
        <v>0.38</v>
      </c>
      <c r="E39">
        <f t="shared" si="0"/>
        <v>-0.30548078809939727</v>
      </c>
      <c r="F39">
        <f t="shared" si="1"/>
        <v>440.14771477671457</v>
      </c>
      <c r="G39" s="1">
        <f t="shared" si="2"/>
        <v>542913403.2227819</v>
      </c>
    </row>
    <row r="40" spans="4:7" x14ac:dyDescent="0.35">
      <c r="D40">
        <v>0.39</v>
      </c>
      <c r="E40">
        <f t="shared" si="0"/>
        <v>-0.27931903444745415</v>
      </c>
      <c r="F40">
        <f t="shared" si="1"/>
        <v>446.94661767796384</v>
      </c>
      <c r="G40" s="1">
        <f t="shared" si="2"/>
        <v>551299713.9734149</v>
      </c>
    </row>
    <row r="41" spans="4:7" x14ac:dyDescent="0.35">
      <c r="D41">
        <v>0.4</v>
      </c>
      <c r="E41">
        <f t="shared" si="0"/>
        <v>-0.25334710313579978</v>
      </c>
      <c r="F41">
        <f t="shared" si="1"/>
        <v>453.80006727853043</v>
      </c>
      <c r="G41" s="1">
        <f t="shared" si="2"/>
        <v>559753306.98672175</v>
      </c>
    </row>
    <row r="42" spans="4:7" x14ac:dyDescent="0.35">
      <c r="D42">
        <v>0.41</v>
      </c>
      <c r="E42">
        <f t="shared" si="0"/>
        <v>-0.2275449766411495</v>
      </c>
      <c r="F42">
        <f t="shared" si="1"/>
        <v>460.71276743612657</v>
      </c>
      <c r="G42" s="1">
        <f t="shared" si="2"/>
        <v>568279984.37711346</v>
      </c>
    </row>
    <row r="43" spans="4:7" x14ac:dyDescent="0.35">
      <c r="D43">
        <v>0.42</v>
      </c>
      <c r="E43">
        <f t="shared" si="0"/>
        <v>-0.20189347914185088</v>
      </c>
      <c r="F43">
        <f t="shared" si="1"/>
        <v>467.68948950041749</v>
      </c>
      <c r="G43" s="1">
        <f t="shared" si="2"/>
        <v>576885631.50897503</v>
      </c>
    </row>
    <row r="44" spans="4:7" x14ac:dyDescent="0.35">
      <c r="D44">
        <v>0.43</v>
      </c>
      <c r="E44">
        <f t="shared" si="0"/>
        <v>-0.17637416478086138</v>
      </c>
      <c r="F44">
        <f t="shared" si="1"/>
        <v>474.73509305716908</v>
      </c>
      <c r="G44" s="1">
        <f t="shared" si="2"/>
        <v>585576242.58415687</v>
      </c>
    </row>
    <row r="45" spans="4:7" x14ac:dyDescent="0.35">
      <c r="D45">
        <v>0.44</v>
      </c>
      <c r="E45">
        <f t="shared" si="0"/>
        <v>-0.15096921549677725</v>
      </c>
      <c r="F45">
        <f t="shared" si="1"/>
        <v>481.85454679811414</v>
      </c>
      <c r="G45" s="1">
        <f t="shared" si="2"/>
        <v>594357946.38453782</v>
      </c>
    </row>
    <row r="46" spans="4:7" x14ac:dyDescent="0.35">
      <c r="D46">
        <v>0.45</v>
      </c>
      <c r="E46">
        <f t="shared" si="0"/>
        <v>-0.12566134685507402</v>
      </c>
      <c r="F46">
        <f t="shared" si="1"/>
        <v>489.05294975779282</v>
      </c>
      <c r="G46" s="1">
        <f t="shared" si="2"/>
        <v>603237032.46724224</v>
      </c>
    </row>
    <row r="47" spans="4:7" x14ac:dyDescent="0.35">
      <c r="D47">
        <v>0.46</v>
      </c>
      <c r="E47">
        <f t="shared" si="0"/>
        <v>-0.10043372051146976</v>
      </c>
      <c r="F47">
        <f t="shared" si="1"/>
        <v>496.33555315596391</v>
      </c>
      <c r="G47" s="1">
        <f t="shared" si="2"/>
        <v>612219978.10681832</v>
      </c>
    </row>
    <row r="48" spans="4:7" x14ac:dyDescent="0.35">
      <c r="D48">
        <v>0.47</v>
      </c>
      <c r="E48">
        <f t="shared" si="0"/>
        <v>-7.5269862099829901E-2</v>
      </c>
      <c r="F48">
        <f t="shared" si="1"/>
        <v>503.70778308684976</v>
      </c>
      <c r="G48" s="1">
        <f t="shared" si="2"/>
        <v>621313476.28196752</v>
      </c>
    </row>
    <row r="49" spans="4:7" x14ac:dyDescent="0.35">
      <c r="D49">
        <v>0.48</v>
      </c>
      <c r="E49">
        <f t="shared" si="0"/>
        <v>-5.0153583464733656E-2</v>
      </c>
      <c r="F49">
        <f t="shared" si="1"/>
        <v>511.17526430435953</v>
      </c>
      <c r="G49" s="1">
        <f t="shared" si="2"/>
        <v>630524465.01414132</v>
      </c>
    </row>
    <row r="50" spans="4:7" x14ac:dyDescent="0.35">
      <c r="D50">
        <v>0.49</v>
      </c>
      <c r="E50">
        <f t="shared" si="0"/>
        <v>-2.506890825871106E-2</v>
      </c>
      <c r="F50">
        <f t="shared" si="1"/>
        <v>518.74384536558136</v>
      </c>
      <c r="G50" s="1">
        <f t="shared" si="2"/>
        <v>639860158.38153732</v>
      </c>
    </row>
    <row r="51" spans="4:7" x14ac:dyDescent="0.35">
      <c r="D51">
        <v>0.5</v>
      </c>
      <c r="E51">
        <f t="shared" si="0"/>
        <v>0</v>
      </c>
      <c r="F51" s="7">
        <f t="shared" si="1"/>
        <v>526.41962541344435</v>
      </c>
      <c r="G51" s="1">
        <f t="shared" si="2"/>
        <v>649328079.55497539</v>
      </c>
    </row>
    <row r="52" spans="4:7" x14ac:dyDescent="0.35">
      <c r="D52">
        <v>0.51</v>
      </c>
      <c r="E52">
        <f t="shared" si="0"/>
        <v>2.506890825871106E-2</v>
      </c>
      <c r="F52">
        <f t="shared" si="1"/>
        <v>534.20898290394985</v>
      </c>
      <c r="G52" s="1">
        <f t="shared" si="2"/>
        <v>658936096.23236406</v>
      </c>
    </row>
    <row r="53" spans="4:7" x14ac:dyDescent="0.35">
      <c r="D53">
        <v>0.52</v>
      </c>
      <c r="E53">
        <f t="shared" si="0"/>
        <v>5.0153583464733656E-2</v>
      </c>
      <c r="F53">
        <f t="shared" si="1"/>
        <v>542.11860661440789</v>
      </c>
      <c r="G53" s="1">
        <f t="shared" si="2"/>
        <v>668692458.88673985</v>
      </c>
    </row>
    <row r="54" spans="4:7" x14ac:dyDescent="0.35">
      <c r="D54">
        <v>0.53</v>
      </c>
      <c r="E54">
        <f t="shared" si="0"/>
        <v>7.5269862099829901E-2</v>
      </c>
      <c r="F54">
        <f t="shared" si="1"/>
        <v>550.15552930745582</v>
      </c>
      <c r="G54" s="1">
        <f t="shared" si="2"/>
        <v>678605842.29016066</v>
      </c>
    </row>
    <row r="55" spans="4:7" x14ac:dyDescent="0.35">
      <c r="D55">
        <v>0.54</v>
      </c>
      <c r="E55">
        <f t="shared" si="0"/>
        <v>0.10043372051146988</v>
      </c>
      <c r="F55">
        <f t="shared" si="1"/>
        <v>558.32716447244343</v>
      </c>
      <c r="G55" s="1">
        <f t="shared" si="2"/>
        <v>688685390.83346951</v>
      </c>
    </row>
    <row r="56" spans="4:7" x14ac:dyDescent="0.35">
      <c r="D56">
        <v>0.55000000000000004</v>
      </c>
      <c r="E56">
        <f t="shared" si="0"/>
        <v>0.12566134685507416</v>
      </c>
      <c r="F56">
        <f t="shared" si="1"/>
        <v>566.6413466224376</v>
      </c>
      <c r="G56" s="1">
        <f t="shared" si="2"/>
        <v>698940768.23184431</v>
      </c>
    </row>
    <row r="57" spans="4:7" x14ac:dyDescent="0.35">
      <c r="D57">
        <v>0.56000000000000005</v>
      </c>
      <c r="E57">
        <f t="shared" si="0"/>
        <v>0.15096921549677741</v>
      </c>
      <c r="F57">
        <f t="shared" si="1"/>
        <v>575.10637569336222</v>
      </c>
      <c r="G57" s="1">
        <f t="shared" si="2"/>
        <v>709382212.29024839</v>
      </c>
    </row>
    <row r="58" spans="4:7" x14ac:dyDescent="0.35">
      <c r="D58">
        <v>0.56999999999999995</v>
      </c>
      <c r="E58">
        <f t="shared" si="0"/>
        <v>0.17637416478086121</v>
      </c>
      <c r="F58">
        <f t="shared" si="1"/>
        <v>583.73106617390863</v>
      </c>
      <c r="G58" s="1">
        <f t="shared" si="2"/>
        <v>720020595.50419283</v>
      </c>
    </row>
    <row r="59" spans="4:7" x14ac:dyDescent="0.35">
      <c r="D59">
        <v>0.57999999999999996</v>
      </c>
      <c r="E59">
        <f t="shared" si="0"/>
        <v>0.20189347914185077</v>
      </c>
      <c r="F59">
        <f t="shared" si="1"/>
        <v>592.52480169363241</v>
      </c>
      <c r="G59" s="1">
        <f t="shared" si="2"/>
        <v>730867492.39306164</v>
      </c>
    </row>
    <row r="60" spans="4:7" x14ac:dyDescent="0.35">
      <c r="D60">
        <v>0.59</v>
      </c>
      <c r="E60">
        <f t="shared" si="0"/>
        <v>0.22754497664114934</v>
      </c>
      <c r="F60">
        <f t="shared" si="1"/>
        <v>601.4975959155521</v>
      </c>
      <c r="G60" s="1">
        <f t="shared" si="2"/>
        <v>741935254.60991526</v>
      </c>
    </row>
    <row r="61" spans="4:7" x14ac:dyDescent="0.35">
      <c r="D61">
        <v>0.6</v>
      </c>
      <c r="E61">
        <f t="shared" si="0"/>
        <v>0.25334710313579978</v>
      </c>
      <c r="F61">
        <f t="shared" si="1"/>
        <v>610.66016072303398</v>
      </c>
      <c r="G61" s="1">
        <f t="shared" si="2"/>
        <v>753237095.04864788</v>
      </c>
    </row>
    <row r="62" spans="4:7" x14ac:dyDescent="0.35">
      <c r="D62">
        <v>0.61</v>
      </c>
      <c r="E62">
        <f t="shared" si="0"/>
        <v>0.27931903444745415</v>
      </c>
      <c r="F62">
        <f t="shared" si="1"/>
        <v>620.02398286432754</v>
      </c>
      <c r="G62" s="1">
        <f t="shared" si="2"/>
        <v>764787182.38349068</v>
      </c>
    </row>
    <row r="63" spans="4:7" x14ac:dyDescent="0.35">
      <c r="D63">
        <v>0.62</v>
      </c>
      <c r="E63">
        <f t="shared" si="0"/>
        <v>0.30548078809939727</v>
      </c>
      <c r="F63">
        <f t="shared" si="1"/>
        <v>629.60141042879627</v>
      </c>
      <c r="G63" s="1">
        <f t="shared" si="2"/>
        <v>776600747.73571169</v>
      </c>
    </row>
    <row r="64" spans="4:7" x14ac:dyDescent="0.35">
      <c r="D64">
        <v>0.63</v>
      </c>
      <c r="E64">
        <f t="shared" si="0"/>
        <v>0.33185334643681658</v>
      </c>
      <c r="F64">
        <f t="shared" si="1"/>
        <v>639.40575078568031</v>
      </c>
      <c r="G64" s="1">
        <f t="shared" si="2"/>
        <v>788694205.47912085</v>
      </c>
    </row>
    <row r="65" spans="4:7" x14ac:dyDescent="0.35">
      <c r="D65">
        <v>0.64</v>
      </c>
      <c r="E65">
        <f t="shared" si="0"/>
        <v>0.35845879325119384</v>
      </c>
      <c r="F65">
        <f t="shared" si="1"/>
        <v>649.45138193049127</v>
      </c>
      <c r="G65" s="1">
        <f t="shared" si="2"/>
        <v>801085290.58362246</v>
      </c>
    </row>
    <row r="66" spans="4:7" x14ac:dyDescent="0.35">
      <c r="D66">
        <v>0.65</v>
      </c>
      <c r="E66">
        <f t="shared" si="0"/>
        <v>0.38532046640756784</v>
      </c>
      <c r="F66">
        <f t="shared" si="1"/>
        <v>659.75387957061776</v>
      </c>
      <c r="G66" s="1">
        <f t="shared" si="2"/>
        <v>813793215.37276566</v>
      </c>
    </row>
    <row r="67" spans="4:7" x14ac:dyDescent="0.35">
      <c r="D67">
        <v>0.66</v>
      </c>
      <c r="E67">
        <f t="shared" ref="E67:E100" si="3">_xlfn.NORM.S.INV(D67)</f>
        <v>0.41246312944140473</v>
      </c>
      <c r="F67">
        <f t="shared" ref="F67:F100" si="4">EXP(E67*$B$2+$B$1)/1000</f>
        <v>670.33016275941475</v>
      </c>
      <c r="G67" s="1">
        <f t="shared" ref="G67:G100" si="5">F67*1000*1233.48</f>
        <v>826838849.16048288</v>
      </c>
    </row>
    <row r="68" spans="4:7" x14ac:dyDescent="0.35">
      <c r="D68">
        <v>0.67</v>
      </c>
      <c r="E68">
        <f t="shared" si="3"/>
        <v>0.43991316567323396</v>
      </c>
      <c r="F68">
        <f t="shared" si="4"/>
        <v>681.1986614817165</v>
      </c>
      <c r="G68" s="1">
        <f t="shared" si="5"/>
        <v>840244924.96446776</v>
      </c>
    </row>
    <row r="69" spans="4:7" x14ac:dyDescent="0.35">
      <c r="D69">
        <v>0.68</v>
      </c>
      <c r="E69">
        <f t="shared" si="3"/>
        <v>0.46769879911450835</v>
      </c>
      <c r="F69">
        <f t="shared" si="4"/>
        <v>692.37951033585887</v>
      </c>
      <c r="G69" s="1">
        <f t="shared" si="5"/>
        <v>854036278.40907526</v>
      </c>
    </row>
    <row r="70" spans="4:7" x14ac:dyDescent="0.35">
      <c r="D70">
        <v>0.69</v>
      </c>
      <c r="E70">
        <f t="shared" si="3"/>
        <v>0.49585034734745331</v>
      </c>
      <c r="F70">
        <f t="shared" si="4"/>
        <v>703.89477339083896</v>
      </c>
      <c r="G70" s="1">
        <f t="shared" si="5"/>
        <v>868240125.0821321</v>
      </c>
    </row>
    <row r="71" spans="4:7" x14ac:dyDescent="0.35">
      <c r="D71">
        <v>0.7</v>
      </c>
      <c r="E71">
        <f t="shared" si="3"/>
        <v>0.52440051270804078</v>
      </c>
      <c r="F71" s="7">
        <f t="shared" si="4"/>
        <v>715.76870647932913</v>
      </c>
      <c r="G71" s="1">
        <f t="shared" si="5"/>
        <v>882886384.06812298</v>
      </c>
    </row>
    <row r="72" spans="4:7" x14ac:dyDescent="0.35">
      <c r="D72">
        <v>0.71</v>
      </c>
      <c r="E72">
        <f t="shared" si="3"/>
        <v>0.5533847195556727</v>
      </c>
      <c r="F72">
        <f t="shared" si="4"/>
        <v>728.02806469475001</v>
      </c>
      <c r="G72" s="1">
        <f t="shared" si="5"/>
        <v>898008057.23968029</v>
      </c>
    </row>
    <row r="73" spans="4:7" x14ac:dyDescent="0.35">
      <c r="D73">
        <v>0.72</v>
      </c>
      <c r="E73">
        <f t="shared" si="3"/>
        <v>0.58284150727121631</v>
      </c>
      <c r="F73">
        <f t="shared" si="4"/>
        <v>740.70246479746777</v>
      </c>
      <c r="G73" s="1">
        <f t="shared" si="5"/>
        <v>913641676.27838063</v>
      </c>
    </row>
    <row r="74" spans="4:7" x14ac:dyDescent="0.35">
      <c r="D74">
        <v>0.73</v>
      </c>
      <c r="E74">
        <f t="shared" si="3"/>
        <v>0.61281299101662734</v>
      </c>
      <c r="F74">
        <f t="shared" si="4"/>
        <v>753.82481474391989</v>
      </c>
      <c r="G74" s="1">
        <f t="shared" si="5"/>
        <v>929827832.49033034</v>
      </c>
    </row>
    <row r="75" spans="4:7" x14ac:dyDescent="0.35">
      <c r="D75">
        <v>0.74</v>
      </c>
      <c r="E75">
        <f t="shared" si="3"/>
        <v>0.64334540539291696</v>
      </c>
      <c r="F75">
        <f t="shared" si="4"/>
        <v>767.43182582969825</v>
      </c>
      <c r="G75" s="1">
        <f t="shared" si="5"/>
        <v>946611808.52441621</v>
      </c>
    </row>
    <row r="76" spans="4:7" x14ac:dyDescent="0.35">
      <c r="D76">
        <v>0.75</v>
      </c>
      <c r="E76">
        <f t="shared" si="3"/>
        <v>0.67448975019608193</v>
      </c>
      <c r="F76">
        <f t="shared" si="4"/>
        <v>781.56462725847075</v>
      </c>
      <c r="G76" s="1">
        <f t="shared" si="5"/>
        <v>964044336.4307785</v>
      </c>
    </row>
    <row r="77" spans="4:7" x14ac:dyDescent="0.35">
      <c r="D77">
        <v>0.76</v>
      </c>
      <c r="E77">
        <f t="shared" si="3"/>
        <v>0.7063025628400873</v>
      </c>
      <c r="F77">
        <f t="shared" si="4"/>
        <v>796.26950870138205</v>
      </c>
      <c r="G77" s="1">
        <f t="shared" si="5"/>
        <v>982182513.59298074</v>
      </c>
    </row>
    <row r="78" spans="4:7" x14ac:dyDescent="0.35">
      <c r="D78">
        <v>0.77</v>
      </c>
      <c r="E78">
        <f t="shared" si="3"/>
        <v>0.73884684918521393</v>
      </c>
      <c r="F78">
        <f t="shared" si="4"/>
        <v>811.59882415260472</v>
      </c>
      <c r="G78" s="1">
        <f t="shared" si="5"/>
        <v>1001090917.6157548</v>
      </c>
    </row>
    <row r="79" spans="4:7" x14ac:dyDescent="0.35">
      <c r="D79">
        <v>0.78</v>
      </c>
      <c r="E79">
        <f t="shared" si="3"/>
        <v>0.77219321418868503</v>
      </c>
      <c r="F79">
        <f t="shared" si="4"/>
        <v>827.61210092204158</v>
      </c>
      <c r="G79" s="1">
        <f t="shared" si="5"/>
        <v>1020842974.2453198</v>
      </c>
    </row>
    <row r="80" spans="4:7" x14ac:dyDescent="0.35">
      <c r="D80">
        <v>0.79</v>
      </c>
      <c r="E80">
        <f t="shared" si="3"/>
        <v>0.80642124701824058</v>
      </c>
      <c r="F80">
        <f t="shared" si="4"/>
        <v>844.37741212271101</v>
      </c>
      <c r="G80" s="1">
        <f t="shared" si="5"/>
        <v>1041522650.3051215</v>
      </c>
    </row>
    <row r="81" spans="4:7" x14ac:dyDescent="0.35">
      <c r="D81">
        <v>0.8</v>
      </c>
      <c r="E81">
        <f t="shared" si="3"/>
        <v>0.84162123357291474</v>
      </c>
      <c r="F81">
        <f t="shared" si="4"/>
        <v>861.97309128073334</v>
      </c>
      <c r="G81" s="1">
        <f t="shared" si="5"/>
        <v>1063226568.632959</v>
      </c>
    </row>
    <row r="82" spans="4:7" x14ac:dyDescent="0.35">
      <c r="D82">
        <v>0.81</v>
      </c>
      <c r="E82">
        <f t="shared" si="3"/>
        <v>0.87789629505122857</v>
      </c>
      <c r="F82">
        <f t="shared" si="4"/>
        <v>880.48989641549031</v>
      </c>
      <c r="G82" s="1">
        <f t="shared" si="5"/>
        <v>1086066677.4305789</v>
      </c>
    </row>
    <row r="83" spans="4:7" x14ac:dyDescent="0.35">
      <c r="D83">
        <v>0.82</v>
      </c>
      <c r="E83">
        <f t="shared" si="3"/>
        <v>0.91536508784281256</v>
      </c>
      <c r="F83">
        <f t="shared" si="4"/>
        <v>900.03377227846897</v>
      </c>
      <c r="G83" s="1">
        <f t="shared" si="5"/>
        <v>1110173657.4300458</v>
      </c>
    </row>
    <row r="84" spans="4:7" x14ac:dyDescent="0.35">
      <c r="D84">
        <v>0.83</v>
      </c>
      <c r="E84">
        <f t="shared" si="3"/>
        <v>0.95416525314619549</v>
      </c>
      <c r="F84">
        <f t="shared" si="4"/>
        <v>920.72941999298871</v>
      </c>
      <c r="G84" s="1">
        <f t="shared" si="5"/>
        <v>1135701324.9729517</v>
      </c>
    </row>
    <row r="85" spans="4:7" x14ac:dyDescent="0.35">
      <c r="D85">
        <v>0.84</v>
      </c>
      <c r="E85">
        <f t="shared" si="3"/>
        <v>0.9944578832097497</v>
      </c>
      <c r="F85">
        <f t="shared" si="4"/>
        <v>942.72497374890963</v>
      </c>
      <c r="G85" s="1">
        <f t="shared" si="5"/>
        <v>1162832400.6198051</v>
      </c>
    </row>
    <row r="86" spans="4:7" x14ac:dyDescent="0.35">
      <c r="D86">
        <v>0.85</v>
      </c>
      <c r="E86">
        <f t="shared" si="3"/>
        <v>1.0364333894937898</v>
      </c>
      <c r="F86">
        <f t="shared" si="4"/>
        <v>966.19822209631411</v>
      </c>
      <c r="G86" s="1">
        <f t="shared" si="5"/>
        <v>1191786182.9913614</v>
      </c>
    </row>
    <row r="87" spans="4:7" x14ac:dyDescent="0.35">
      <c r="D87">
        <v>0.86</v>
      </c>
      <c r="E87">
        <f t="shared" si="3"/>
        <v>1.0803193408149565</v>
      </c>
      <c r="F87">
        <f t="shared" si="4"/>
        <v>991.36502671510414</v>
      </c>
      <c r="G87" s="1">
        <f t="shared" si="5"/>
        <v>1222828933.1525466</v>
      </c>
    </row>
    <row r="88" spans="4:7" x14ac:dyDescent="0.35">
      <c r="D88">
        <v>0.87</v>
      </c>
      <c r="E88">
        <f t="shared" si="3"/>
        <v>1.1263911290388013</v>
      </c>
      <c r="F88">
        <f t="shared" si="4"/>
        <v>1018.4909368455831</v>
      </c>
      <c r="G88" s="1">
        <f t="shared" si="5"/>
        <v>1256288200.7802899</v>
      </c>
    </row>
    <row r="89" spans="4:7" x14ac:dyDescent="0.35">
      <c r="D89">
        <v>0.88</v>
      </c>
      <c r="E89">
        <f t="shared" si="3"/>
        <v>1.1749867920660904</v>
      </c>
      <c r="F89">
        <f t="shared" si="4"/>
        <v>1047.9075681375866</v>
      </c>
      <c r="G89" s="1">
        <f t="shared" si="5"/>
        <v>1292573027.1463504</v>
      </c>
    </row>
    <row r="90" spans="4:7" x14ac:dyDescent="0.35">
      <c r="D90">
        <v>0.89</v>
      </c>
      <c r="E90">
        <f t="shared" si="3"/>
        <v>1.2265281200366105</v>
      </c>
      <c r="F90">
        <f t="shared" si="4"/>
        <v>1080.0362901905669</v>
      </c>
      <c r="G90" s="1">
        <f t="shared" si="5"/>
        <v>1332203163.2242603</v>
      </c>
    </row>
    <row r="91" spans="4:7" x14ac:dyDescent="0.35">
      <c r="D91">
        <v>0.9</v>
      </c>
      <c r="E91">
        <f t="shared" si="3"/>
        <v>1.2815515655446006</v>
      </c>
      <c r="F91" s="7">
        <f t="shared" si="4"/>
        <v>1115.4235016697442</v>
      </c>
      <c r="G91" s="1">
        <f t="shared" si="5"/>
        <v>1375852580.8395963</v>
      </c>
    </row>
    <row r="92" spans="4:7" x14ac:dyDescent="0.35">
      <c r="D92">
        <v>0.91</v>
      </c>
      <c r="E92">
        <f t="shared" si="3"/>
        <v>1.3407550336902161</v>
      </c>
      <c r="F92">
        <f t="shared" si="4"/>
        <v>1154.7950004291472</v>
      </c>
      <c r="G92" s="1">
        <f t="shared" si="5"/>
        <v>1424416537.1293445</v>
      </c>
    </row>
    <row r="93" spans="4:7" x14ac:dyDescent="0.35">
      <c r="D93">
        <v>0.92</v>
      </c>
      <c r="E93">
        <f t="shared" si="3"/>
        <v>1.4050715603096329</v>
      </c>
      <c r="F93">
        <f t="shared" si="4"/>
        <v>1199.1432978823429</v>
      </c>
      <c r="G93" s="1">
        <f t="shared" si="5"/>
        <v>1479119275.0719123</v>
      </c>
    </row>
    <row r="94" spans="4:7" x14ac:dyDescent="0.35">
      <c r="D94">
        <v>0.93</v>
      </c>
      <c r="E94">
        <f t="shared" si="3"/>
        <v>1.4757910281791713</v>
      </c>
      <c r="F94">
        <f t="shared" si="4"/>
        <v>1249.8750159872509</v>
      </c>
      <c r="G94" s="1">
        <f t="shared" si="5"/>
        <v>1541695834.7199543</v>
      </c>
    </row>
    <row r="95" spans="4:7" x14ac:dyDescent="0.35">
      <c r="D95">
        <v>0.94</v>
      </c>
      <c r="E95">
        <f t="shared" si="3"/>
        <v>1.5547735945968528</v>
      </c>
      <c r="F95">
        <f t="shared" si="4"/>
        <v>1309.0756478326011</v>
      </c>
      <c r="G95" s="1">
        <f t="shared" si="5"/>
        <v>1614718630.0885568</v>
      </c>
    </row>
    <row r="96" spans="4:7" x14ac:dyDescent="0.35">
      <c r="D96">
        <v>0.95</v>
      </c>
      <c r="E96">
        <f t="shared" si="3"/>
        <v>1.6448536269514715</v>
      </c>
      <c r="F96">
        <f t="shared" si="4"/>
        <v>1380.0245033722549</v>
      </c>
      <c r="G96" s="1">
        <f t="shared" si="5"/>
        <v>1702232624.4196091</v>
      </c>
    </row>
    <row r="97" spans="4:7" x14ac:dyDescent="0.35">
      <c r="D97">
        <v>0.96</v>
      </c>
      <c r="E97">
        <f t="shared" si="3"/>
        <v>1.7506860712521695</v>
      </c>
      <c r="F97">
        <f t="shared" si="4"/>
        <v>1468.30832338302</v>
      </c>
      <c r="G97" s="1">
        <f t="shared" si="5"/>
        <v>1811128950.7264876</v>
      </c>
    </row>
    <row r="98" spans="4:7" x14ac:dyDescent="0.35">
      <c r="D98">
        <v>0.97</v>
      </c>
      <c r="E98">
        <f t="shared" si="3"/>
        <v>1.8807936081512504</v>
      </c>
      <c r="F98">
        <f t="shared" si="4"/>
        <v>1584.6189365192397</v>
      </c>
      <c r="G98" s="1">
        <f t="shared" si="5"/>
        <v>1954595765.8177519</v>
      </c>
    </row>
    <row r="99" spans="4:7" x14ac:dyDescent="0.35">
      <c r="D99">
        <v>0.98</v>
      </c>
      <c r="E99">
        <f t="shared" si="3"/>
        <v>2.0537489106318221</v>
      </c>
      <c r="F99">
        <f t="shared" si="4"/>
        <v>1753.6204530095736</v>
      </c>
      <c r="G99" s="1">
        <f t="shared" si="5"/>
        <v>2163055756.3782487</v>
      </c>
    </row>
    <row r="100" spans="4:7" x14ac:dyDescent="0.35">
      <c r="D100">
        <v>0.99</v>
      </c>
      <c r="E100">
        <f t="shared" si="3"/>
        <v>2.3263478740408408</v>
      </c>
      <c r="F100">
        <f t="shared" si="4"/>
        <v>2057.3207581137908</v>
      </c>
      <c r="G100" s="1">
        <f t="shared" si="5"/>
        <v>2537664008.7181988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DF8-7781-45CA-9721-4ECE2C29CCF8}">
  <dimension ref="A1:Q24"/>
  <sheetViews>
    <sheetView workbookViewId="0">
      <selection activeCell="O29" sqref="O29"/>
    </sheetView>
  </sheetViews>
  <sheetFormatPr defaultRowHeight="14.5" x14ac:dyDescent="0.35"/>
  <cols>
    <col min="1" max="6" width="8.7265625" style="1"/>
    <col min="7" max="7" width="10.7265625" style="1" bestFit="1" customWidth="1"/>
    <col min="8" max="8" width="8.7265625" style="1"/>
    <col min="9" max="9" width="14.269531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8" t="s">
        <v>1</v>
      </c>
      <c r="E1" s="48" t="s">
        <v>2</v>
      </c>
      <c r="F1" s="48" t="s">
        <v>108</v>
      </c>
      <c r="G1" s="48" t="s">
        <v>104</v>
      </c>
      <c r="H1" s="48" t="s">
        <v>6</v>
      </c>
      <c r="I1" s="48" t="s">
        <v>104</v>
      </c>
      <c r="J1" s="48" t="s">
        <v>7</v>
      </c>
      <c r="K1" s="48" t="s">
        <v>104</v>
      </c>
      <c r="L1" s="48" t="s">
        <v>3</v>
      </c>
      <c r="M1" s="48" t="s">
        <v>104</v>
      </c>
      <c r="N1" s="48" t="s">
        <v>4</v>
      </c>
      <c r="O1" s="48" t="s">
        <v>104</v>
      </c>
      <c r="P1" s="48" t="s">
        <v>10</v>
      </c>
      <c r="Q1" s="48" t="s">
        <v>104</v>
      </c>
    </row>
    <row r="2" spans="1:17" x14ac:dyDescent="0.35">
      <c r="A2" s="49" t="s">
        <v>107</v>
      </c>
      <c r="B2" s="1">
        <v>1</v>
      </c>
      <c r="C2" s="1">
        <v>122276</v>
      </c>
      <c r="D2" s="50">
        <v>51837.904315583262</v>
      </c>
      <c r="E2" s="50">
        <v>0</v>
      </c>
      <c r="F2" s="50">
        <v>500118.47650981141</v>
      </c>
      <c r="G2" s="50">
        <f>F2*1233.48</f>
        <v>616886138.40532219</v>
      </c>
      <c r="H2" s="1">
        <f>C2*4.07</f>
        <v>497663.32</v>
      </c>
      <c r="I2" s="1">
        <f>H2*1233.48</f>
        <v>613857751.95360005</v>
      </c>
      <c r="J2" s="1">
        <f>D2*4.84</f>
        <v>250895.45688742297</v>
      </c>
      <c r="K2" s="1">
        <f>J2*1233.48</f>
        <v>309474528.16149849</v>
      </c>
      <c r="L2" s="1">
        <v>248441.62029560001</v>
      </c>
      <c r="M2" s="1">
        <f>L2*1233.48</f>
        <v>306447769.80221671</v>
      </c>
      <c r="N2" s="1">
        <f>L2+F2</f>
        <v>748560.09680541139</v>
      </c>
      <c r="O2" s="1">
        <f>N2*1233.48</f>
        <v>923333908.20753884</v>
      </c>
      <c r="P2" s="1">
        <f>E2*15</f>
        <v>0</v>
      </c>
      <c r="Q2" s="1">
        <f>P2*1233.48</f>
        <v>0</v>
      </c>
    </row>
    <row r="3" spans="1:17" x14ac:dyDescent="0.35">
      <c r="A3" s="49"/>
      <c r="B3" s="1">
        <v>2</v>
      </c>
      <c r="C3" s="1">
        <v>122276</v>
      </c>
      <c r="D3" s="50">
        <v>51837.904315583262</v>
      </c>
      <c r="E3" s="50">
        <v>0</v>
      </c>
      <c r="F3" s="50">
        <v>361399.24510586145</v>
      </c>
      <c r="G3" s="50">
        <f t="shared" ref="G3:G24" si="0">F3*1233.48</f>
        <v>445778740.85317796</v>
      </c>
      <c r="H3" s="1">
        <f>C3*4.07</f>
        <v>497663.32</v>
      </c>
      <c r="I3" s="1">
        <f t="shared" ref="I3:I24" si="1">H3*1233.48</f>
        <v>613857751.95360005</v>
      </c>
      <c r="J3" s="1">
        <f>D3*4.84</f>
        <v>250895.45688742297</v>
      </c>
      <c r="K3" s="1">
        <f t="shared" ref="K3:K24" si="2">J3*1233.48</f>
        <v>309474528.16149849</v>
      </c>
      <c r="L3" s="1">
        <v>387160.85169954994</v>
      </c>
      <c r="M3" s="1">
        <f t="shared" ref="M3:M24" si="3">L3*1233.48</f>
        <v>477555167.35436088</v>
      </c>
      <c r="N3" s="1">
        <f>L3+F3</f>
        <v>748560.09680541139</v>
      </c>
      <c r="O3" s="1">
        <f t="shared" ref="O3:O24" si="4">N3*1233.48</f>
        <v>923333908.20753884</v>
      </c>
      <c r="P3" s="1">
        <f>E3*15</f>
        <v>0</v>
      </c>
      <c r="Q3" s="1">
        <f t="shared" ref="Q3:Q24" si="5">P3*1233.48</f>
        <v>0</v>
      </c>
    </row>
    <row r="4" spans="1:17" x14ac:dyDescent="0.35">
      <c r="A4" s="49"/>
      <c r="B4" s="1">
        <v>3</v>
      </c>
      <c r="C4" s="1">
        <v>122276</v>
      </c>
      <c r="D4" s="50">
        <v>51837.904315583262</v>
      </c>
      <c r="E4" s="50">
        <v>0</v>
      </c>
      <c r="F4" s="50">
        <v>222140.47139196144</v>
      </c>
      <c r="G4" s="50">
        <f t="shared" si="0"/>
        <v>274005828.6525566</v>
      </c>
      <c r="H4" s="1">
        <f>C4*4.07</f>
        <v>497663.32</v>
      </c>
      <c r="I4" s="1">
        <f t="shared" si="1"/>
        <v>613857751.95360005</v>
      </c>
      <c r="J4" s="1">
        <f>D4*4.84</f>
        <v>250895.45688742297</v>
      </c>
      <c r="K4" s="1">
        <f t="shared" si="2"/>
        <v>309474528.16149849</v>
      </c>
      <c r="L4" s="1">
        <v>526419.62541344995</v>
      </c>
      <c r="M4" s="1">
        <f t="shared" si="3"/>
        <v>649328079.5549823</v>
      </c>
      <c r="N4" s="1">
        <f>L4+F4</f>
        <v>748560.09680541139</v>
      </c>
      <c r="O4" s="1">
        <f t="shared" si="4"/>
        <v>923333908.20753884</v>
      </c>
      <c r="P4" s="1">
        <f>E4*15</f>
        <v>0</v>
      </c>
      <c r="Q4" s="1">
        <f t="shared" si="5"/>
        <v>0</v>
      </c>
    </row>
    <row r="5" spans="1:17" x14ac:dyDescent="0.35">
      <c r="A5" s="49"/>
      <c r="B5" s="1">
        <v>4</v>
      </c>
      <c r="C5" s="1">
        <v>122276</v>
      </c>
      <c r="D5" s="50">
        <v>51837.904315583262</v>
      </c>
      <c r="E5" s="50">
        <v>0</v>
      </c>
      <c r="F5" s="50">
        <v>32791.390326061308</v>
      </c>
      <c r="G5" s="50">
        <f t="shared" si="0"/>
        <v>40447524.139390104</v>
      </c>
      <c r="H5" s="1">
        <f>C5*4.07</f>
        <v>497663.32</v>
      </c>
      <c r="I5" s="1">
        <f t="shared" si="1"/>
        <v>613857751.95360005</v>
      </c>
      <c r="J5" s="1">
        <f>D5*4.84</f>
        <v>250895.45688742297</v>
      </c>
      <c r="K5" s="1">
        <f t="shared" si="2"/>
        <v>309474528.16149849</v>
      </c>
      <c r="L5" s="1">
        <v>715768.7064793501</v>
      </c>
      <c r="M5" s="1">
        <f t="shared" si="3"/>
        <v>882886384.06814873</v>
      </c>
      <c r="N5" s="1">
        <f>L5+F5</f>
        <v>748560.09680541139</v>
      </c>
      <c r="O5" s="1">
        <f t="shared" si="4"/>
        <v>923333908.20753884</v>
      </c>
      <c r="P5" s="1">
        <f>E5*15</f>
        <v>0</v>
      </c>
      <c r="Q5" s="1">
        <f t="shared" si="5"/>
        <v>0</v>
      </c>
    </row>
    <row r="6" spans="1:17" x14ac:dyDescent="0.35">
      <c r="A6" s="49"/>
      <c r="B6" s="1">
        <v>5</v>
      </c>
      <c r="C6" s="1">
        <v>122276</v>
      </c>
      <c r="D6" s="50">
        <v>127636.12846110777</v>
      </c>
      <c r="E6" s="50">
        <v>0</v>
      </c>
      <c r="F6" s="50">
        <v>0</v>
      </c>
      <c r="G6" s="50">
        <f t="shared" si="0"/>
        <v>0</v>
      </c>
      <c r="H6" s="1">
        <f>C6*4.07</f>
        <v>497663.32</v>
      </c>
      <c r="I6" s="1">
        <f t="shared" si="1"/>
        <v>613857751.95360005</v>
      </c>
      <c r="J6" s="1">
        <f>D6*4.84</f>
        <v>617758.86175176164</v>
      </c>
      <c r="K6" s="1">
        <f t="shared" si="2"/>
        <v>761993200.79356301</v>
      </c>
      <c r="L6" s="1">
        <v>1115423.5016697501</v>
      </c>
      <c r="M6" s="1">
        <f t="shared" si="3"/>
        <v>1375852580.8396034</v>
      </c>
      <c r="N6" s="1">
        <f>L6+F6</f>
        <v>1115423.5016697501</v>
      </c>
      <c r="O6" s="1">
        <f t="shared" si="4"/>
        <v>1375852580.8396034</v>
      </c>
      <c r="P6" s="1">
        <f>E6*15</f>
        <v>0</v>
      </c>
      <c r="Q6" s="1">
        <f t="shared" si="5"/>
        <v>0</v>
      </c>
    </row>
    <row r="7" spans="1:17" x14ac:dyDescent="0.35">
      <c r="D7" s="48"/>
      <c r="E7" s="48"/>
      <c r="F7" s="48"/>
      <c r="G7" s="50"/>
      <c r="L7" s="48"/>
    </row>
    <row r="8" spans="1:17" x14ac:dyDescent="0.35">
      <c r="A8" s="49" t="s">
        <v>11</v>
      </c>
      <c r="B8" s="1">
        <v>1</v>
      </c>
      <c r="C8" s="1">
        <v>116283</v>
      </c>
      <c r="D8" s="50">
        <v>18624.329985469765</v>
      </c>
      <c r="E8" s="50">
        <v>0</v>
      </c>
      <c r="F8" s="50">
        <v>314970.50857928832</v>
      </c>
      <c r="G8" s="50">
        <f t="shared" si="0"/>
        <v>388509822.92238057</v>
      </c>
      <c r="H8" s="1">
        <f>C8*4.07</f>
        <v>473271.81000000006</v>
      </c>
      <c r="I8" s="1">
        <f t="shared" si="1"/>
        <v>583771312.19880009</v>
      </c>
      <c r="J8" s="1">
        <f>D8*4.84</f>
        <v>90141.757129673657</v>
      </c>
      <c r="K8" s="1">
        <f t="shared" si="2"/>
        <v>111188054.58430986</v>
      </c>
      <c r="L8" s="1">
        <v>248441.62029560001</v>
      </c>
      <c r="M8" s="1">
        <f t="shared" si="3"/>
        <v>306447769.80221671</v>
      </c>
      <c r="N8" s="1">
        <f>L8+F8</f>
        <v>563412.12887488829</v>
      </c>
      <c r="O8" s="1">
        <f t="shared" si="4"/>
        <v>694957592.72459722</v>
      </c>
      <c r="P8" s="1">
        <f>E8*15</f>
        <v>0</v>
      </c>
      <c r="Q8" s="1">
        <f t="shared" si="5"/>
        <v>0</v>
      </c>
    </row>
    <row r="9" spans="1:17" x14ac:dyDescent="0.35">
      <c r="A9" s="49"/>
      <c r="B9" s="1">
        <v>2</v>
      </c>
      <c r="C9" s="1">
        <v>116283</v>
      </c>
      <c r="D9" s="50">
        <v>18624.329985469743</v>
      </c>
      <c r="E9" s="50">
        <v>0</v>
      </c>
      <c r="F9" s="50">
        <v>176251.27717533818</v>
      </c>
      <c r="G9" s="50">
        <f t="shared" si="0"/>
        <v>217402425.37023616</v>
      </c>
      <c r="H9" s="1">
        <f>C9*4.07</f>
        <v>473271.81000000006</v>
      </c>
      <c r="I9" s="1">
        <f t="shared" si="1"/>
        <v>583771312.19880009</v>
      </c>
      <c r="J9" s="1">
        <f>D9*4.84</f>
        <v>90141.757129673555</v>
      </c>
      <c r="K9" s="1">
        <f t="shared" si="2"/>
        <v>111188054.58430974</v>
      </c>
      <c r="L9" s="1">
        <v>387160.85169954994</v>
      </c>
      <c r="M9" s="1">
        <f t="shared" si="3"/>
        <v>477555167.35436088</v>
      </c>
      <c r="N9" s="1">
        <f>L9+F9</f>
        <v>563412.12887488818</v>
      </c>
      <c r="O9" s="1">
        <f t="shared" si="4"/>
        <v>694957592.7245971</v>
      </c>
      <c r="P9" s="1">
        <f t="shared" ref="P9:P24" si="6">E9*15</f>
        <v>0</v>
      </c>
      <c r="Q9" s="1">
        <f t="shared" si="5"/>
        <v>0</v>
      </c>
    </row>
    <row r="10" spans="1:17" x14ac:dyDescent="0.35">
      <c r="A10" s="49"/>
      <c r="B10" s="1">
        <v>3</v>
      </c>
      <c r="C10" s="1">
        <v>116283</v>
      </c>
      <c r="D10" s="50">
        <v>18624.329985469714</v>
      </c>
      <c r="E10" s="50">
        <v>0</v>
      </c>
      <c r="F10" s="50">
        <v>36992.503461438122</v>
      </c>
      <c r="G10" s="50">
        <f t="shared" si="0"/>
        <v>45629513.169614695</v>
      </c>
      <c r="H10" s="1">
        <f>C10*4.07</f>
        <v>473271.81000000006</v>
      </c>
      <c r="I10" s="1">
        <f t="shared" si="1"/>
        <v>583771312.19880009</v>
      </c>
      <c r="J10" s="1">
        <f>D10*4.84</f>
        <v>90141.75712967341</v>
      </c>
      <c r="K10" s="1">
        <f t="shared" si="2"/>
        <v>111188054.58430956</v>
      </c>
      <c r="L10" s="1">
        <v>526419.62541344995</v>
      </c>
      <c r="M10" s="1">
        <f t="shared" si="3"/>
        <v>649328079.5549823</v>
      </c>
      <c r="N10" s="1">
        <f>L10+F10</f>
        <v>563412.12887488806</v>
      </c>
      <c r="O10" s="1">
        <f t="shared" si="4"/>
        <v>694957592.72459698</v>
      </c>
      <c r="P10" s="1">
        <f t="shared" si="6"/>
        <v>0</v>
      </c>
      <c r="Q10" s="1">
        <f t="shared" si="5"/>
        <v>0</v>
      </c>
    </row>
    <row r="11" spans="1:17" x14ac:dyDescent="0.35">
      <c r="A11" s="49"/>
      <c r="B11" s="1">
        <v>4</v>
      </c>
      <c r="C11" s="1">
        <v>116283</v>
      </c>
      <c r="D11" s="50">
        <v>50102.961721928819</v>
      </c>
      <c r="E11" s="50">
        <v>0</v>
      </c>
      <c r="F11" s="50">
        <v>0</v>
      </c>
      <c r="G11" s="50">
        <f t="shared" si="0"/>
        <v>0</v>
      </c>
      <c r="H11" s="1">
        <f>C11*4.07</f>
        <v>473271.81000000006</v>
      </c>
      <c r="I11" s="1">
        <f t="shared" si="1"/>
        <v>583771312.19880009</v>
      </c>
      <c r="J11" s="1">
        <f>D11*4.84</f>
        <v>242498.33473413548</v>
      </c>
      <c r="K11" s="1">
        <f t="shared" si="2"/>
        <v>299116845.92786145</v>
      </c>
      <c r="L11" s="1">
        <v>715768.7064793501</v>
      </c>
      <c r="M11" s="1">
        <f t="shared" si="3"/>
        <v>882886384.06814873</v>
      </c>
      <c r="N11" s="1">
        <f>L11+F11</f>
        <v>715768.7064793501</v>
      </c>
      <c r="O11" s="1">
        <f t="shared" si="4"/>
        <v>882886384.06814873</v>
      </c>
      <c r="P11" s="1">
        <f t="shared" si="6"/>
        <v>0</v>
      </c>
      <c r="Q11" s="1">
        <f t="shared" si="5"/>
        <v>0</v>
      </c>
    </row>
    <row r="12" spans="1:17" x14ac:dyDescent="0.35">
      <c r="A12" s="49"/>
      <c r="B12" s="1">
        <v>5</v>
      </c>
      <c r="C12" s="1">
        <v>116283</v>
      </c>
      <c r="D12" s="50">
        <v>132676.26651333377</v>
      </c>
      <c r="E12" s="50">
        <v>0</v>
      </c>
      <c r="F12" s="50">
        <v>0</v>
      </c>
      <c r="G12" s="50">
        <f t="shared" si="0"/>
        <v>0</v>
      </c>
      <c r="H12" s="1">
        <f>C12*4.07</f>
        <v>473271.81000000006</v>
      </c>
      <c r="I12" s="1">
        <f t="shared" si="1"/>
        <v>583771312.19880009</v>
      </c>
      <c r="J12" s="1">
        <f>D12*4.84</f>
        <v>642153.1299245354</v>
      </c>
      <c r="K12" s="1">
        <f t="shared" si="2"/>
        <v>792083042.69931591</v>
      </c>
      <c r="L12" s="1">
        <v>1115423.5016697501</v>
      </c>
      <c r="M12" s="1">
        <f t="shared" si="3"/>
        <v>1375852580.8396034</v>
      </c>
      <c r="N12" s="1">
        <f>L12+F12</f>
        <v>1115423.5016697501</v>
      </c>
      <c r="O12" s="1">
        <f t="shared" si="4"/>
        <v>1375852580.8396034</v>
      </c>
      <c r="P12" s="1">
        <f t="shared" si="6"/>
        <v>0</v>
      </c>
      <c r="Q12" s="1">
        <f t="shared" si="5"/>
        <v>0</v>
      </c>
    </row>
    <row r="13" spans="1:17" x14ac:dyDescent="0.35">
      <c r="G13" s="50"/>
    </row>
    <row r="14" spans="1:17" x14ac:dyDescent="0.35">
      <c r="A14" s="49" t="s">
        <v>106</v>
      </c>
      <c r="B14" s="1">
        <v>1</v>
      </c>
      <c r="C14" s="1">
        <v>106478</v>
      </c>
      <c r="D14" s="50">
        <v>4.7293724492192268E-11</v>
      </c>
      <c r="E14" s="50">
        <v>0</v>
      </c>
      <c r="F14" s="50">
        <v>184922.98446099166</v>
      </c>
      <c r="G14" s="50">
        <f t="shared" si="0"/>
        <v>228098802.872944</v>
      </c>
      <c r="H14" s="1">
        <f>C14*4.07</f>
        <v>433365.46</v>
      </c>
      <c r="I14" s="1">
        <f t="shared" si="1"/>
        <v>534547627.60080004</v>
      </c>
      <c r="J14" s="1">
        <f>D14*4.84</f>
        <v>2.2890162654221059E-10</v>
      </c>
      <c r="K14" s="1">
        <f t="shared" si="2"/>
        <v>2.8234557830728591E-7</v>
      </c>
      <c r="L14" s="1">
        <v>248441.62029559998</v>
      </c>
      <c r="M14" s="1">
        <f t="shared" si="3"/>
        <v>306447769.80221665</v>
      </c>
      <c r="N14" s="1">
        <f>L14+F14</f>
        <v>433364.60475659161</v>
      </c>
      <c r="O14" s="1">
        <f t="shared" si="4"/>
        <v>534546572.67516065</v>
      </c>
      <c r="P14" s="1">
        <f t="shared" si="6"/>
        <v>0</v>
      </c>
      <c r="Q14" s="1">
        <f t="shared" si="5"/>
        <v>0</v>
      </c>
    </row>
    <row r="15" spans="1:17" x14ac:dyDescent="0.35">
      <c r="A15" s="49"/>
      <c r="B15" s="1">
        <v>2</v>
      </c>
      <c r="C15" s="1">
        <v>106478</v>
      </c>
      <c r="D15" s="50">
        <v>0</v>
      </c>
      <c r="E15" s="50">
        <v>0</v>
      </c>
      <c r="F15" s="50">
        <v>46203.753057041475</v>
      </c>
      <c r="G15" s="50">
        <f t="shared" si="0"/>
        <v>56991405.320799522</v>
      </c>
      <c r="H15" s="1">
        <f>C15*4.07</f>
        <v>433365.46</v>
      </c>
      <c r="I15" s="1">
        <f t="shared" si="1"/>
        <v>534547627.60080004</v>
      </c>
      <c r="J15" s="1">
        <f>D15*4.84</f>
        <v>0</v>
      </c>
      <c r="K15" s="1">
        <f t="shared" si="2"/>
        <v>0</v>
      </c>
      <c r="L15" s="1">
        <v>387160.85169954994</v>
      </c>
      <c r="M15" s="1">
        <f t="shared" si="3"/>
        <v>477555167.35436088</v>
      </c>
      <c r="N15" s="1">
        <f>L15+F15</f>
        <v>433364.60475659143</v>
      </c>
      <c r="O15" s="1">
        <f t="shared" si="4"/>
        <v>534546572.67516041</v>
      </c>
      <c r="P15" s="1">
        <f t="shared" si="6"/>
        <v>0</v>
      </c>
      <c r="Q15" s="1">
        <f t="shared" si="5"/>
        <v>0</v>
      </c>
    </row>
    <row r="16" spans="1:17" x14ac:dyDescent="0.35">
      <c r="A16" s="49"/>
      <c r="B16" s="1">
        <v>3</v>
      </c>
      <c r="C16" s="1">
        <v>106478</v>
      </c>
      <c r="D16" s="50">
        <v>19226.243937367461</v>
      </c>
      <c r="E16" s="50">
        <v>0</v>
      </c>
      <c r="F16" s="50">
        <v>0</v>
      </c>
      <c r="G16" s="50">
        <f t="shared" si="0"/>
        <v>0</v>
      </c>
      <c r="H16" s="1">
        <f>C16*4.07</f>
        <v>433365.46</v>
      </c>
      <c r="I16" s="1">
        <f t="shared" si="1"/>
        <v>534547627.60080004</v>
      </c>
      <c r="J16" s="1">
        <f>D16*4.84</f>
        <v>93055.020656858513</v>
      </c>
      <c r="K16" s="1">
        <f t="shared" si="2"/>
        <v>114781506.87982184</v>
      </c>
      <c r="L16" s="1">
        <v>526419.62541344995</v>
      </c>
      <c r="M16" s="1">
        <f t="shared" si="3"/>
        <v>649328079.5549823</v>
      </c>
      <c r="N16" s="1">
        <f>L16+F16</f>
        <v>526419.62541344995</v>
      </c>
      <c r="O16" s="1">
        <f t="shared" si="4"/>
        <v>649328079.5549823</v>
      </c>
      <c r="P16" s="1">
        <f t="shared" si="6"/>
        <v>0</v>
      </c>
      <c r="Q16" s="1">
        <f t="shared" si="5"/>
        <v>0</v>
      </c>
    </row>
    <row r="17" spans="1:17" x14ac:dyDescent="0.35">
      <c r="A17" s="49"/>
      <c r="B17" s="1">
        <v>4</v>
      </c>
      <c r="C17" s="1">
        <v>106478</v>
      </c>
      <c r="D17" s="50">
        <v>58347.954901396413</v>
      </c>
      <c r="E17" s="50">
        <v>0</v>
      </c>
      <c r="F17" s="50">
        <v>0</v>
      </c>
      <c r="G17" s="50">
        <f t="shared" si="0"/>
        <v>0</v>
      </c>
      <c r="H17" s="1">
        <f>C17*4.07</f>
        <v>433365.46</v>
      </c>
      <c r="I17" s="1">
        <f t="shared" si="1"/>
        <v>534547627.60080004</v>
      </c>
      <c r="J17" s="1">
        <f>D17*4.84</f>
        <v>282404.10172275861</v>
      </c>
      <c r="K17" s="1">
        <f t="shared" si="2"/>
        <v>348339811.39298832</v>
      </c>
      <c r="L17" s="1">
        <v>715768.7064793501</v>
      </c>
      <c r="M17" s="1">
        <f t="shared" si="3"/>
        <v>882886384.06814873</v>
      </c>
      <c r="N17" s="1">
        <f>L17+F17</f>
        <v>715768.7064793501</v>
      </c>
      <c r="O17" s="1">
        <f t="shared" si="4"/>
        <v>882886384.06814873</v>
      </c>
      <c r="P17" s="1">
        <f t="shared" si="6"/>
        <v>0</v>
      </c>
      <c r="Q17" s="1">
        <f t="shared" si="5"/>
        <v>0</v>
      </c>
    </row>
    <row r="18" spans="1:17" x14ac:dyDescent="0.35">
      <c r="A18" s="49"/>
      <c r="B18" s="1">
        <v>5</v>
      </c>
      <c r="C18" s="1">
        <v>106478</v>
      </c>
      <c r="D18" s="50">
        <v>80766.767457343623</v>
      </c>
      <c r="E18" s="50">
        <v>19409.849494641028</v>
      </c>
      <c r="F18" s="50">
        <v>0</v>
      </c>
      <c r="G18" s="50">
        <f t="shared" si="0"/>
        <v>0</v>
      </c>
      <c r="H18" s="1">
        <f>C18*4.07</f>
        <v>433365.46</v>
      </c>
      <c r="I18" s="1">
        <f t="shared" si="1"/>
        <v>534547627.60080004</v>
      </c>
      <c r="J18" s="1">
        <f>D18*4.84</f>
        <v>390911.15449354314</v>
      </c>
      <c r="K18" s="1">
        <f t="shared" si="2"/>
        <v>482181090.84469563</v>
      </c>
      <c r="L18" s="1">
        <v>1115423.5016697501</v>
      </c>
      <c r="M18" s="1">
        <f t="shared" si="3"/>
        <v>1375852580.8396034</v>
      </c>
      <c r="N18" s="1">
        <f>L18+F18</f>
        <v>1115423.5016697501</v>
      </c>
      <c r="O18" s="1">
        <f t="shared" si="4"/>
        <v>1375852580.8396034</v>
      </c>
      <c r="P18" s="1">
        <f t="shared" si="6"/>
        <v>291147.74241961545</v>
      </c>
      <c r="Q18" s="1">
        <f t="shared" si="5"/>
        <v>359124917.31974727</v>
      </c>
    </row>
    <row r="19" spans="1:17" x14ac:dyDescent="0.35">
      <c r="G19" s="50"/>
    </row>
    <row r="20" spans="1:17" x14ac:dyDescent="0.35">
      <c r="A20" s="49" t="s">
        <v>105</v>
      </c>
      <c r="B20" s="1">
        <v>1</v>
      </c>
      <c r="C20" s="1">
        <v>95671</v>
      </c>
      <c r="D20" s="50">
        <v>0</v>
      </c>
      <c r="E20" s="50">
        <v>0</v>
      </c>
      <c r="F20" s="50">
        <v>140938.75023936291</v>
      </c>
      <c r="G20" s="50">
        <f t="shared" si="0"/>
        <v>173845129.64524937</v>
      </c>
      <c r="H20" s="1">
        <f>C20*4.07</f>
        <v>389380.97000000003</v>
      </c>
      <c r="I20" s="1">
        <f t="shared" si="1"/>
        <v>480293638.87560004</v>
      </c>
      <c r="J20" s="1">
        <f>D20*4.84</f>
        <v>0</v>
      </c>
      <c r="K20" s="1">
        <f t="shared" si="2"/>
        <v>0</v>
      </c>
      <c r="L20" s="1">
        <v>248441.62029559998</v>
      </c>
      <c r="M20" s="1">
        <f t="shared" si="3"/>
        <v>306447769.80221665</v>
      </c>
      <c r="N20" s="1">
        <f>L20+F20</f>
        <v>389380.37053496286</v>
      </c>
      <c r="O20" s="1">
        <f t="shared" si="4"/>
        <v>480292899.44746602</v>
      </c>
      <c r="P20" s="1">
        <f t="shared" si="6"/>
        <v>0</v>
      </c>
      <c r="Q20" s="1">
        <f t="shared" si="5"/>
        <v>0</v>
      </c>
    </row>
    <row r="21" spans="1:17" x14ac:dyDescent="0.35">
      <c r="A21" s="49"/>
      <c r="B21" s="1">
        <v>2</v>
      </c>
      <c r="C21" s="1">
        <v>95671</v>
      </c>
      <c r="D21" s="50">
        <v>0</v>
      </c>
      <c r="E21" s="50">
        <v>0</v>
      </c>
      <c r="F21" s="50">
        <v>2219.51883541291</v>
      </c>
      <c r="G21" s="50">
        <f t="shared" si="0"/>
        <v>2737732.0931051164</v>
      </c>
      <c r="H21" s="1">
        <f>C21*4.07</f>
        <v>389380.97000000003</v>
      </c>
      <c r="I21" s="1">
        <f t="shared" si="1"/>
        <v>480293638.87560004</v>
      </c>
      <c r="J21" s="1">
        <f>D21*4.84</f>
        <v>0</v>
      </c>
      <c r="K21" s="1">
        <f t="shared" si="2"/>
        <v>0</v>
      </c>
      <c r="L21" s="1">
        <v>387160.85169954994</v>
      </c>
      <c r="M21" s="1">
        <f t="shared" si="3"/>
        <v>477555167.35436088</v>
      </c>
      <c r="N21" s="1">
        <f>L21+F21</f>
        <v>389380.37053496286</v>
      </c>
      <c r="O21" s="1">
        <f t="shared" si="4"/>
        <v>480292899.44746602</v>
      </c>
      <c r="P21" s="1">
        <f t="shared" si="6"/>
        <v>0</v>
      </c>
      <c r="Q21" s="1">
        <f t="shared" si="5"/>
        <v>0</v>
      </c>
    </row>
    <row r="22" spans="1:17" x14ac:dyDescent="0.35">
      <c r="A22" s="49"/>
      <c r="B22" s="1">
        <v>3</v>
      </c>
      <c r="C22" s="1">
        <v>95671</v>
      </c>
      <c r="D22" s="50">
        <v>27414.337423922854</v>
      </c>
      <c r="E22" s="50">
        <v>290.2574497800332</v>
      </c>
      <c r="F22" s="50">
        <v>0</v>
      </c>
      <c r="G22" s="50">
        <f t="shared" si="0"/>
        <v>0</v>
      </c>
      <c r="H22" s="1">
        <f>C22*4.07</f>
        <v>389380.97000000003</v>
      </c>
      <c r="I22" s="1">
        <f t="shared" si="1"/>
        <v>480293638.87560004</v>
      </c>
      <c r="J22" s="1">
        <f>D22*4.84</f>
        <v>132685.39313178661</v>
      </c>
      <c r="K22" s="1">
        <f t="shared" si="2"/>
        <v>163664778.72019616</v>
      </c>
      <c r="L22" s="1">
        <v>526419.62541344995</v>
      </c>
      <c r="M22" s="1">
        <f t="shared" si="3"/>
        <v>649328079.5549823</v>
      </c>
      <c r="N22" s="1">
        <f>L22+F22</f>
        <v>526419.62541344995</v>
      </c>
      <c r="O22" s="1">
        <f t="shared" si="4"/>
        <v>649328079.5549823</v>
      </c>
      <c r="P22" s="1">
        <f t="shared" si="6"/>
        <v>4353.8617467004979</v>
      </c>
      <c r="Q22" s="1">
        <f t="shared" si="5"/>
        <v>5370401.3873201301</v>
      </c>
    </row>
    <row r="23" spans="1:17" x14ac:dyDescent="0.35">
      <c r="A23" s="49"/>
      <c r="B23" s="1">
        <v>4</v>
      </c>
      <c r="C23" s="1">
        <v>95671</v>
      </c>
      <c r="D23" s="50">
        <v>27414.337889068742</v>
      </c>
      <c r="E23" s="50">
        <v>12913.529370752967</v>
      </c>
      <c r="F23" s="50">
        <v>0</v>
      </c>
      <c r="G23" s="50">
        <f t="shared" si="0"/>
        <v>0</v>
      </c>
      <c r="H23" s="1">
        <f>C23*4.07</f>
        <v>389380.97000000003</v>
      </c>
      <c r="I23" s="1">
        <f t="shared" si="1"/>
        <v>480293638.87560004</v>
      </c>
      <c r="J23" s="1">
        <f>D23*4.84</f>
        <v>132685.39538309272</v>
      </c>
      <c r="K23" s="1">
        <f t="shared" si="2"/>
        <v>163664781.49713722</v>
      </c>
      <c r="L23" s="1">
        <v>715768.7064793501</v>
      </c>
      <c r="M23" s="1">
        <f t="shared" si="3"/>
        <v>882886384.06814873</v>
      </c>
      <c r="N23" s="1">
        <f>L23+F23</f>
        <v>715768.7064793501</v>
      </c>
      <c r="O23" s="1">
        <f t="shared" si="4"/>
        <v>882886384.06814873</v>
      </c>
      <c r="P23" s="1">
        <f t="shared" si="6"/>
        <v>193702.9405612945</v>
      </c>
      <c r="Q23" s="1">
        <f t="shared" si="5"/>
        <v>238928703.12354553</v>
      </c>
    </row>
    <row r="24" spans="1:17" x14ac:dyDescent="0.35">
      <c r="A24" s="49"/>
      <c r="B24" s="1">
        <v>5</v>
      </c>
      <c r="C24" s="1">
        <v>95671</v>
      </c>
      <c r="D24" s="50">
        <v>27414.331683631633</v>
      </c>
      <c r="E24" s="50">
        <v>39557.184385734014</v>
      </c>
      <c r="F24" s="50">
        <v>0</v>
      </c>
      <c r="G24" s="50">
        <f t="shared" si="0"/>
        <v>0</v>
      </c>
      <c r="H24" s="1">
        <f>C24*4.07</f>
        <v>389380.97000000003</v>
      </c>
      <c r="I24" s="1">
        <f t="shared" si="1"/>
        <v>480293638.87560004</v>
      </c>
      <c r="J24" s="1">
        <f>D24*4.84</f>
        <v>132685.36534877709</v>
      </c>
      <c r="K24" s="1">
        <f t="shared" si="2"/>
        <v>163664744.45040956</v>
      </c>
      <c r="L24" s="1">
        <v>1115423.5016697501</v>
      </c>
      <c r="M24" s="1">
        <f t="shared" si="3"/>
        <v>1375852580.8396034</v>
      </c>
      <c r="N24" s="1">
        <f>L24+F24</f>
        <v>1115423.5016697501</v>
      </c>
      <c r="O24" s="1">
        <f t="shared" si="4"/>
        <v>1375852580.8396034</v>
      </c>
      <c r="P24" s="1">
        <f t="shared" si="6"/>
        <v>593357.76578601019</v>
      </c>
      <c r="Q24" s="1">
        <f t="shared" si="5"/>
        <v>731894936.94172788</v>
      </c>
    </row>
  </sheetData>
  <mergeCells count="4">
    <mergeCell ref="A2:A6"/>
    <mergeCell ref="A8:A12"/>
    <mergeCell ref="A14:A18"/>
    <mergeCell ref="A20:A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4FF8-3EF0-45F7-89A8-22ED7340D7ED}">
  <dimension ref="A1:Q12"/>
  <sheetViews>
    <sheetView topLeftCell="A10" workbookViewId="0">
      <selection activeCell="O23" sqref="O23"/>
    </sheetView>
  </sheetViews>
  <sheetFormatPr defaultRowHeight="14.5" x14ac:dyDescent="0.35"/>
  <cols>
    <col min="1" max="5" width="8.7265625" style="1"/>
    <col min="6" max="7" width="11.08984375" style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8" t="s">
        <v>1</v>
      </c>
      <c r="E1" s="48" t="s">
        <v>2</v>
      </c>
      <c r="F1" s="48" t="s">
        <v>108</v>
      </c>
      <c r="G1" s="48" t="s">
        <v>104</v>
      </c>
      <c r="H1" s="48" t="s">
        <v>6</v>
      </c>
      <c r="I1" s="48" t="s">
        <v>104</v>
      </c>
      <c r="J1" s="48" t="s">
        <v>7</v>
      </c>
      <c r="K1" s="48" t="s">
        <v>104</v>
      </c>
      <c r="L1" s="48" t="s">
        <v>3</v>
      </c>
      <c r="M1" s="48" t="s">
        <v>104</v>
      </c>
      <c r="N1" s="48" t="s">
        <v>4</v>
      </c>
      <c r="O1" s="48" t="s">
        <v>104</v>
      </c>
      <c r="P1" s="48" t="s">
        <v>10</v>
      </c>
      <c r="Q1" s="48" t="s">
        <v>104</v>
      </c>
    </row>
    <row r="2" spans="1:17" x14ac:dyDescent="0.35">
      <c r="A2" s="49" t="s">
        <v>109</v>
      </c>
      <c r="B2" s="1">
        <v>1</v>
      </c>
      <c r="C2" s="1">
        <v>116283</v>
      </c>
      <c r="D2" s="50">
        <v>18624</v>
      </c>
      <c r="E2" s="50">
        <v>0</v>
      </c>
      <c r="F2" s="50">
        <v>314971</v>
      </c>
      <c r="G2" s="50">
        <f>F2*1233.48</f>
        <v>388510429.07999998</v>
      </c>
      <c r="H2" s="1">
        <f t="shared" ref="H2:H6" si="0">C2*4.07</f>
        <v>473271.81000000006</v>
      </c>
      <c r="I2" s="1">
        <f>H2*1233.48</f>
        <v>583771312.19880009</v>
      </c>
      <c r="J2" s="1">
        <f t="shared" ref="J2:J6" si="1">D2*4.84</f>
        <v>90140.160000000003</v>
      </c>
      <c r="K2" s="1">
        <f>J2*1233.48</f>
        <v>111186084.55680001</v>
      </c>
      <c r="L2" s="1">
        <v>248441.62029560001</v>
      </c>
      <c r="M2" s="1">
        <f>L2*1233.48</f>
        <v>306447769.80221671</v>
      </c>
      <c r="N2" s="1">
        <f t="shared" ref="N2:N6" si="2">L2+F2</f>
        <v>563412.62029560003</v>
      </c>
      <c r="O2" s="1">
        <f>N2*1233.48</f>
        <v>694958198.88221669</v>
      </c>
      <c r="P2" s="1">
        <f t="shared" ref="P2:P6" si="3">E2*15</f>
        <v>0</v>
      </c>
      <c r="Q2" s="1">
        <f>P2*1233.48</f>
        <v>0</v>
      </c>
    </row>
    <row r="3" spans="1:17" x14ac:dyDescent="0.35">
      <c r="A3" s="49"/>
      <c r="B3" s="1">
        <v>2</v>
      </c>
      <c r="C3" s="1">
        <v>116283</v>
      </c>
      <c r="D3" s="50">
        <v>18624</v>
      </c>
      <c r="E3" s="50">
        <v>0</v>
      </c>
      <c r="F3" s="50">
        <v>176251</v>
      </c>
      <c r="G3" s="50">
        <f t="shared" ref="G3:G12" si="4">F3*1233.48</f>
        <v>217402083.47999999</v>
      </c>
      <c r="H3" s="1">
        <f t="shared" si="0"/>
        <v>473271.81000000006</v>
      </c>
      <c r="I3" s="1">
        <f t="shared" ref="I3:I12" si="5">H3*1233.48</f>
        <v>583771312.19880009</v>
      </c>
      <c r="J3" s="1">
        <f t="shared" si="1"/>
        <v>90140.160000000003</v>
      </c>
      <c r="K3" s="1">
        <f t="shared" ref="K3:K12" si="6">J3*1233.48</f>
        <v>111186084.55680001</v>
      </c>
      <c r="L3" s="1">
        <v>387160.85169954994</v>
      </c>
      <c r="M3" s="1">
        <f t="shared" ref="M3:M12" si="7">L3*1233.48</f>
        <v>477555167.35436088</v>
      </c>
      <c r="N3" s="1">
        <f t="shared" si="2"/>
        <v>563411.85169954994</v>
      </c>
      <c r="O3" s="1">
        <f t="shared" ref="O3:O12" si="8">N3*1233.48</f>
        <v>694957250.83436084</v>
      </c>
      <c r="P3" s="1">
        <f t="shared" si="3"/>
        <v>0</v>
      </c>
      <c r="Q3" s="1">
        <f t="shared" ref="Q3:Q12" si="9">P3*1233.48</f>
        <v>0</v>
      </c>
    </row>
    <row r="4" spans="1:17" x14ac:dyDescent="0.35">
      <c r="A4" s="49"/>
      <c r="B4" s="1">
        <v>3</v>
      </c>
      <c r="C4" s="1">
        <v>116283</v>
      </c>
      <c r="D4" s="50">
        <v>18624</v>
      </c>
      <c r="E4" s="50">
        <v>0</v>
      </c>
      <c r="F4" s="50">
        <v>36992</v>
      </c>
      <c r="G4" s="50">
        <f t="shared" si="4"/>
        <v>45628892.160000004</v>
      </c>
      <c r="H4" s="1">
        <f t="shared" si="0"/>
        <v>473271.81000000006</v>
      </c>
      <c r="I4" s="1">
        <f t="shared" si="5"/>
        <v>583771312.19880009</v>
      </c>
      <c r="J4" s="1">
        <f t="shared" si="1"/>
        <v>90140.160000000003</v>
      </c>
      <c r="K4" s="1">
        <f t="shared" si="6"/>
        <v>111186084.55680001</v>
      </c>
      <c r="L4" s="1">
        <v>526419.62541344995</v>
      </c>
      <c r="M4" s="1">
        <f t="shared" si="7"/>
        <v>649328079.5549823</v>
      </c>
      <c r="N4" s="1">
        <f t="shared" si="2"/>
        <v>563411.62541344995</v>
      </c>
      <c r="O4" s="1">
        <f t="shared" si="8"/>
        <v>694956971.71498227</v>
      </c>
      <c r="P4" s="1">
        <f t="shared" si="3"/>
        <v>0</v>
      </c>
      <c r="Q4" s="1">
        <f t="shared" si="9"/>
        <v>0</v>
      </c>
    </row>
    <row r="5" spans="1:17" x14ac:dyDescent="0.35">
      <c r="A5" s="49"/>
      <c r="B5" s="1">
        <v>4</v>
      </c>
      <c r="C5" s="1">
        <v>116283</v>
      </c>
      <c r="D5" s="50">
        <v>50103</v>
      </c>
      <c r="E5" s="50">
        <v>0</v>
      </c>
      <c r="F5" s="50">
        <v>0</v>
      </c>
      <c r="G5" s="50">
        <f t="shared" si="4"/>
        <v>0</v>
      </c>
      <c r="H5" s="1">
        <f t="shared" si="0"/>
        <v>473271.81000000006</v>
      </c>
      <c r="I5" s="1">
        <f t="shared" si="5"/>
        <v>583771312.19880009</v>
      </c>
      <c r="J5" s="1">
        <f t="shared" si="1"/>
        <v>242498.52</v>
      </c>
      <c r="K5" s="1">
        <f t="shared" si="6"/>
        <v>299117074.44959998</v>
      </c>
      <c r="L5" s="1">
        <v>715768.7064793501</v>
      </c>
      <c r="M5" s="1">
        <f t="shared" si="7"/>
        <v>882886384.06814873</v>
      </c>
      <c r="N5" s="1">
        <f t="shared" si="2"/>
        <v>715768.7064793501</v>
      </c>
      <c r="O5" s="1">
        <f t="shared" si="8"/>
        <v>882886384.06814873</v>
      </c>
      <c r="P5" s="1">
        <f t="shared" si="3"/>
        <v>0</v>
      </c>
      <c r="Q5" s="1">
        <f t="shared" si="9"/>
        <v>0</v>
      </c>
    </row>
    <row r="6" spans="1:17" x14ac:dyDescent="0.35">
      <c r="A6" s="49"/>
      <c r="B6" s="1">
        <v>5</v>
      </c>
      <c r="C6" s="1">
        <v>116283</v>
      </c>
      <c r="D6" s="50">
        <v>132676</v>
      </c>
      <c r="E6" s="50">
        <v>0</v>
      </c>
      <c r="F6" s="50">
        <v>0</v>
      </c>
      <c r="G6" s="50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642151.84</v>
      </c>
      <c r="K6" s="1">
        <f t="shared" si="6"/>
        <v>792081451.60319996</v>
      </c>
      <c r="L6" s="1">
        <v>1115423.5016697501</v>
      </c>
      <c r="M6" s="1">
        <f t="shared" si="7"/>
        <v>1375852580.8396034</v>
      </c>
      <c r="N6" s="1">
        <f t="shared" si="2"/>
        <v>1115423.5016697501</v>
      </c>
      <c r="O6" s="1">
        <f t="shared" si="8"/>
        <v>1375852580.8396034</v>
      </c>
      <c r="P6" s="1">
        <f t="shared" si="3"/>
        <v>0</v>
      </c>
      <c r="Q6" s="1">
        <f t="shared" si="9"/>
        <v>0</v>
      </c>
    </row>
    <row r="7" spans="1:17" x14ac:dyDescent="0.35">
      <c r="D7" s="48"/>
      <c r="E7" s="48"/>
      <c r="F7" s="48"/>
      <c r="G7" s="50"/>
      <c r="L7" s="48"/>
    </row>
    <row r="8" spans="1:17" x14ac:dyDescent="0.35">
      <c r="A8" s="49" t="s">
        <v>110</v>
      </c>
      <c r="B8" s="1">
        <v>1</v>
      </c>
      <c r="C8" s="1">
        <v>116283</v>
      </c>
      <c r="D8" s="50">
        <v>27528</v>
      </c>
      <c r="E8" s="50">
        <v>0</v>
      </c>
      <c r="F8" s="50">
        <v>358065</v>
      </c>
      <c r="G8" s="50">
        <f t="shared" si="4"/>
        <v>441666016.19999999</v>
      </c>
      <c r="H8" s="1">
        <f>C8*4.07</f>
        <v>473271.81000000006</v>
      </c>
      <c r="I8" s="1">
        <f t="shared" si="5"/>
        <v>583771312.19880009</v>
      </c>
      <c r="J8" s="1">
        <f>D8*4.84</f>
        <v>133235.51999999999</v>
      </c>
      <c r="K8" s="1">
        <f t="shared" si="6"/>
        <v>164343349.2096</v>
      </c>
      <c r="L8" s="1">
        <v>248441.62029560001</v>
      </c>
      <c r="M8" s="1">
        <f t="shared" si="7"/>
        <v>306447769.80221671</v>
      </c>
      <c r="N8" s="1">
        <f>L8+F8</f>
        <v>606506.62029560003</v>
      </c>
      <c r="O8" s="1">
        <f t="shared" si="8"/>
        <v>748113786.0022167</v>
      </c>
      <c r="P8" s="1">
        <f>E8*15</f>
        <v>0</v>
      </c>
      <c r="Q8" s="1">
        <f t="shared" si="9"/>
        <v>0</v>
      </c>
    </row>
    <row r="9" spans="1:17" x14ac:dyDescent="0.35">
      <c r="A9" s="49"/>
      <c r="B9" s="1">
        <v>2</v>
      </c>
      <c r="C9" s="1">
        <v>116283</v>
      </c>
      <c r="D9" s="50">
        <v>27528</v>
      </c>
      <c r="E9" s="50">
        <v>0</v>
      </c>
      <c r="F9" s="50">
        <v>219346</v>
      </c>
      <c r="G9" s="50">
        <f t="shared" si="4"/>
        <v>270558904.07999998</v>
      </c>
      <c r="H9" s="1">
        <f t="shared" ref="H9:H12" si="10">C9*4.07</f>
        <v>473271.81000000006</v>
      </c>
      <c r="I9" s="1">
        <f t="shared" si="5"/>
        <v>583771312.19880009</v>
      </c>
      <c r="J9" s="1">
        <f t="shared" ref="J9:J12" si="11">D9*4.84</f>
        <v>133235.51999999999</v>
      </c>
      <c r="K9" s="1">
        <f t="shared" si="6"/>
        <v>164343349.2096</v>
      </c>
      <c r="L9" s="1">
        <v>387160.85169954994</v>
      </c>
      <c r="M9" s="1">
        <f t="shared" si="7"/>
        <v>477555167.35436088</v>
      </c>
      <c r="N9" s="1">
        <f t="shared" ref="N9:N12" si="12">L9+F9</f>
        <v>606506.85169954994</v>
      </c>
      <c r="O9" s="1">
        <f t="shared" si="8"/>
        <v>748114071.43436086</v>
      </c>
      <c r="P9" s="1">
        <f t="shared" ref="P9:P12" si="13">E9*15</f>
        <v>0</v>
      </c>
      <c r="Q9" s="1">
        <f t="shared" si="9"/>
        <v>0</v>
      </c>
    </row>
    <row r="10" spans="1:17" x14ac:dyDescent="0.35">
      <c r="A10" s="49"/>
      <c r="B10" s="1">
        <v>3</v>
      </c>
      <c r="C10" s="1">
        <v>116283</v>
      </c>
      <c r="D10" s="50">
        <v>27528</v>
      </c>
      <c r="E10" s="50">
        <v>0</v>
      </c>
      <c r="F10" s="50">
        <v>80087</v>
      </c>
      <c r="G10" s="50">
        <f t="shared" si="4"/>
        <v>98785712.760000005</v>
      </c>
      <c r="H10" s="1">
        <f t="shared" si="10"/>
        <v>473271.81000000006</v>
      </c>
      <c r="I10" s="1">
        <f t="shared" si="5"/>
        <v>583771312.19880009</v>
      </c>
      <c r="J10" s="1">
        <f t="shared" si="11"/>
        <v>133235.51999999999</v>
      </c>
      <c r="K10" s="1">
        <f t="shared" si="6"/>
        <v>164343349.2096</v>
      </c>
      <c r="L10" s="1">
        <v>526419.62541344995</v>
      </c>
      <c r="M10" s="1">
        <f t="shared" si="7"/>
        <v>649328079.5549823</v>
      </c>
      <c r="N10" s="1">
        <f t="shared" si="12"/>
        <v>606506.62541344995</v>
      </c>
      <c r="O10" s="1">
        <f t="shared" si="8"/>
        <v>748113792.3149823</v>
      </c>
      <c r="P10" s="1">
        <f t="shared" si="13"/>
        <v>0</v>
      </c>
      <c r="Q10" s="1">
        <f t="shared" si="9"/>
        <v>0</v>
      </c>
    </row>
    <row r="11" spans="1:17" x14ac:dyDescent="0.35">
      <c r="A11" s="49"/>
      <c r="B11" s="1">
        <v>4</v>
      </c>
      <c r="C11" s="1">
        <v>116283</v>
      </c>
      <c r="D11" s="50">
        <v>50103</v>
      </c>
      <c r="E11" s="50">
        <v>0</v>
      </c>
      <c r="F11" s="50">
        <v>0</v>
      </c>
      <c r="G11" s="50">
        <f t="shared" si="4"/>
        <v>0</v>
      </c>
      <c r="H11" s="1">
        <f t="shared" si="10"/>
        <v>473271.81000000006</v>
      </c>
      <c r="I11" s="1">
        <f t="shared" si="5"/>
        <v>583771312.19880009</v>
      </c>
      <c r="J11" s="1">
        <f t="shared" si="11"/>
        <v>242498.52</v>
      </c>
      <c r="K11" s="1">
        <f t="shared" si="6"/>
        <v>299117074.44959998</v>
      </c>
      <c r="L11" s="1">
        <v>715768.7064793501</v>
      </c>
      <c r="M11" s="1">
        <f t="shared" si="7"/>
        <v>882886384.06814873</v>
      </c>
      <c r="N11" s="1">
        <f t="shared" si="12"/>
        <v>715768.7064793501</v>
      </c>
      <c r="O11" s="1">
        <f t="shared" si="8"/>
        <v>882886384.06814873</v>
      </c>
      <c r="P11" s="1">
        <f t="shared" si="13"/>
        <v>0</v>
      </c>
      <c r="Q11" s="1">
        <f t="shared" si="9"/>
        <v>0</v>
      </c>
    </row>
    <row r="12" spans="1:17" x14ac:dyDescent="0.35">
      <c r="A12" s="49"/>
      <c r="B12" s="1">
        <v>5</v>
      </c>
      <c r="C12" s="1">
        <v>116283</v>
      </c>
      <c r="D12" s="50">
        <v>105965</v>
      </c>
      <c r="E12" s="50">
        <v>8619</v>
      </c>
      <c r="F12" s="50">
        <v>0</v>
      </c>
      <c r="G12" s="50">
        <f t="shared" si="4"/>
        <v>0</v>
      </c>
      <c r="H12" s="1">
        <f t="shared" si="10"/>
        <v>473271.81000000006</v>
      </c>
      <c r="I12" s="1">
        <f t="shared" si="5"/>
        <v>583771312.19880009</v>
      </c>
      <c r="J12" s="1">
        <f t="shared" si="11"/>
        <v>512870.6</v>
      </c>
      <c r="K12" s="1">
        <f t="shared" si="6"/>
        <v>632615627.68799996</v>
      </c>
      <c r="L12" s="1">
        <v>1115423.5016697501</v>
      </c>
      <c r="M12" s="1">
        <f t="shared" si="7"/>
        <v>1375852580.8396034</v>
      </c>
      <c r="N12" s="1">
        <f t="shared" si="12"/>
        <v>1115423.5016697501</v>
      </c>
      <c r="O12" s="1">
        <f t="shared" si="8"/>
        <v>1375852580.8396034</v>
      </c>
      <c r="P12" s="1">
        <f t="shared" si="13"/>
        <v>129285</v>
      </c>
      <c r="Q12" s="1">
        <f t="shared" si="9"/>
        <v>159470461.80000001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2005-EE2D-43C9-9126-64D3915D1F6E}">
  <dimension ref="A1:Q12"/>
  <sheetViews>
    <sheetView topLeftCell="A10" workbookViewId="0">
      <selection activeCell="O26" sqref="O26"/>
    </sheetView>
  </sheetViews>
  <sheetFormatPr defaultRowHeight="14.5" x14ac:dyDescent="0.35"/>
  <cols>
    <col min="1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" width="8.7265625" style="1"/>
    <col min="17" max="17" width="10.7265625" style="1" bestFit="1" customWidth="1"/>
    <col min="18" max="16384" width="8.7265625" style="1"/>
  </cols>
  <sheetData>
    <row r="1" spans="1:17" x14ac:dyDescent="0.35">
      <c r="C1" s="1" t="s">
        <v>0</v>
      </c>
      <c r="D1" s="48" t="s">
        <v>1</v>
      </c>
      <c r="E1" s="48" t="s">
        <v>2</v>
      </c>
      <c r="F1" s="48" t="s">
        <v>108</v>
      </c>
      <c r="G1" s="48" t="s">
        <v>104</v>
      </c>
      <c r="H1" s="48" t="s">
        <v>6</v>
      </c>
      <c r="I1" s="48" t="s">
        <v>104</v>
      </c>
      <c r="J1" s="48" t="s">
        <v>7</v>
      </c>
      <c r="K1" s="48" t="s">
        <v>104</v>
      </c>
      <c r="L1" s="48" t="s">
        <v>3</v>
      </c>
      <c r="M1" s="48" t="s">
        <v>104</v>
      </c>
      <c r="N1" s="48" t="s">
        <v>4</v>
      </c>
      <c r="O1" s="48" t="s">
        <v>104</v>
      </c>
      <c r="P1" s="48" t="s">
        <v>10</v>
      </c>
      <c r="Q1" s="48" t="s">
        <v>104</v>
      </c>
    </row>
    <row r="2" spans="1:17" x14ac:dyDescent="0.35">
      <c r="A2" s="49" t="s">
        <v>12</v>
      </c>
      <c r="B2" s="1">
        <v>1</v>
      </c>
      <c r="C2" s="1">
        <v>116283</v>
      </c>
      <c r="D2" s="50">
        <v>18624</v>
      </c>
      <c r="E2" s="50">
        <v>0</v>
      </c>
      <c r="F2" s="50">
        <v>314971</v>
      </c>
      <c r="G2" s="50">
        <f>F2*1233.48</f>
        <v>388510429.07999998</v>
      </c>
      <c r="H2" s="1">
        <f t="shared" ref="H2:H6" si="0">C2*4.07</f>
        <v>473271.81000000006</v>
      </c>
      <c r="I2" s="1">
        <f>H2*1233.48</f>
        <v>583771312.19880009</v>
      </c>
      <c r="J2" s="1">
        <f t="shared" ref="J2:J6" si="1">D2*4.84</f>
        <v>90140.160000000003</v>
      </c>
      <c r="K2" s="1">
        <f>J2*1233.48</f>
        <v>111186084.55680001</v>
      </c>
      <c r="L2" s="1">
        <v>248441.62029560001</v>
      </c>
      <c r="M2" s="1">
        <f>L2*1233.48</f>
        <v>306447769.80221671</v>
      </c>
      <c r="N2" s="1">
        <f t="shared" ref="N2:N6" si="2">L2+F2</f>
        <v>563412.62029560003</v>
      </c>
      <c r="O2" s="1">
        <f>N2*1233.48</f>
        <v>694958198.88221669</v>
      </c>
      <c r="P2" s="1">
        <f t="shared" ref="P2:P6" si="3">E2*15</f>
        <v>0</v>
      </c>
      <c r="Q2" s="1">
        <f>P2*1233.48</f>
        <v>0</v>
      </c>
    </row>
    <row r="3" spans="1:17" x14ac:dyDescent="0.35">
      <c r="A3" s="49"/>
      <c r="B3" s="1">
        <v>2</v>
      </c>
      <c r="C3" s="1">
        <v>116283</v>
      </c>
      <c r="D3" s="50">
        <v>18624</v>
      </c>
      <c r="E3" s="50">
        <v>0</v>
      </c>
      <c r="F3" s="50">
        <v>176251</v>
      </c>
      <c r="G3" s="50">
        <f t="shared" ref="G3:G12" si="4">F3*1233.48</f>
        <v>217402083.47999999</v>
      </c>
      <c r="H3" s="1">
        <f t="shared" si="0"/>
        <v>473271.81000000006</v>
      </c>
      <c r="I3" s="1">
        <f t="shared" ref="I3:I12" si="5">H3*1233.48</f>
        <v>583771312.19880009</v>
      </c>
      <c r="J3" s="1">
        <f t="shared" si="1"/>
        <v>90140.160000000003</v>
      </c>
      <c r="K3" s="1">
        <f t="shared" ref="K3:K12" si="6">J3*1233.48</f>
        <v>111186084.55680001</v>
      </c>
      <c r="L3" s="1">
        <v>387160.85169954994</v>
      </c>
      <c r="M3" s="1">
        <f t="shared" ref="M3:M12" si="7">L3*1233.48</f>
        <v>477555167.35436088</v>
      </c>
      <c r="N3" s="1">
        <f t="shared" si="2"/>
        <v>563411.85169954994</v>
      </c>
      <c r="O3" s="1">
        <f t="shared" ref="O3:O12" si="8">N3*1233.48</f>
        <v>694957250.83436084</v>
      </c>
      <c r="P3" s="1">
        <f t="shared" si="3"/>
        <v>0</v>
      </c>
      <c r="Q3" s="1">
        <f t="shared" ref="Q3:Q12" si="9">P3*1233.48</f>
        <v>0</v>
      </c>
    </row>
    <row r="4" spans="1:17" x14ac:dyDescent="0.35">
      <c r="A4" s="49"/>
      <c r="B4" s="1">
        <v>3</v>
      </c>
      <c r="C4" s="1">
        <v>116283</v>
      </c>
      <c r="D4" s="50">
        <v>18624</v>
      </c>
      <c r="E4" s="50">
        <v>0</v>
      </c>
      <c r="F4" s="50">
        <v>36992</v>
      </c>
      <c r="G4" s="50">
        <f t="shared" si="4"/>
        <v>45628892.160000004</v>
      </c>
      <c r="H4" s="1">
        <f t="shared" si="0"/>
        <v>473271.81000000006</v>
      </c>
      <c r="I4" s="1">
        <f t="shared" si="5"/>
        <v>583771312.19880009</v>
      </c>
      <c r="J4" s="1">
        <f t="shared" si="1"/>
        <v>90140.160000000003</v>
      </c>
      <c r="K4" s="1">
        <f t="shared" si="6"/>
        <v>111186084.55680001</v>
      </c>
      <c r="L4" s="1">
        <v>526419.62541344995</v>
      </c>
      <c r="M4" s="1">
        <f t="shared" si="7"/>
        <v>649328079.5549823</v>
      </c>
      <c r="N4" s="1">
        <f t="shared" si="2"/>
        <v>563411.62541344995</v>
      </c>
      <c r="O4" s="1">
        <f t="shared" si="8"/>
        <v>694956971.71498227</v>
      </c>
      <c r="P4" s="1">
        <f t="shared" si="3"/>
        <v>0</v>
      </c>
      <c r="Q4" s="1">
        <f t="shared" si="9"/>
        <v>0</v>
      </c>
    </row>
    <row r="5" spans="1:17" x14ac:dyDescent="0.35">
      <c r="A5" s="49"/>
      <c r="B5" s="1">
        <v>4</v>
      </c>
      <c r="C5" s="1">
        <v>116283</v>
      </c>
      <c r="D5" s="50">
        <v>50103</v>
      </c>
      <c r="E5" s="50">
        <v>0</v>
      </c>
      <c r="F5" s="50">
        <v>0</v>
      </c>
      <c r="G5" s="50">
        <f t="shared" si="4"/>
        <v>0</v>
      </c>
      <c r="H5" s="1">
        <f t="shared" si="0"/>
        <v>473271.81000000006</v>
      </c>
      <c r="I5" s="1">
        <f t="shared" si="5"/>
        <v>583771312.19880009</v>
      </c>
      <c r="J5" s="1">
        <f t="shared" si="1"/>
        <v>242498.52</v>
      </c>
      <c r="K5" s="1">
        <f t="shared" si="6"/>
        <v>299117074.44959998</v>
      </c>
      <c r="L5" s="1">
        <v>715768.7064793501</v>
      </c>
      <c r="M5" s="1">
        <f t="shared" si="7"/>
        <v>882886384.06814873</v>
      </c>
      <c r="N5" s="1">
        <f t="shared" si="2"/>
        <v>715768.7064793501</v>
      </c>
      <c r="O5" s="1">
        <f t="shared" si="8"/>
        <v>882886384.06814873</v>
      </c>
      <c r="P5" s="1">
        <f t="shared" si="3"/>
        <v>0</v>
      </c>
      <c r="Q5" s="1">
        <f t="shared" si="9"/>
        <v>0</v>
      </c>
    </row>
    <row r="6" spans="1:17" x14ac:dyDescent="0.35">
      <c r="A6" s="49"/>
      <c r="B6" s="1">
        <v>5</v>
      </c>
      <c r="C6" s="1">
        <v>116283</v>
      </c>
      <c r="D6" s="50">
        <v>132676</v>
      </c>
      <c r="E6" s="50">
        <v>0</v>
      </c>
      <c r="F6" s="50">
        <v>0</v>
      </c>
      <c r="G6" s="50">
        <f t="shared" si="4"/>
        <v>0</v>
      </c>
      <c r="H6" s="1">
        <f t="shared" si="0"/>
        <v>473271.81000000006</v>
      </c>
      <c r="I6" s="1">
        <f t="shared" si="5"/>
        <v>583771312.19880009</v>
      </c>
      <c r="J6" s="1">
        <f t="shared" si="1"/>
        <v>642151.84</v>
      </c>
      <c r="K6" s="1">
        <f t="shared" si="6"/>
        <v>792081451.60319996</v>
      </c>
      <c r="L6" s="1">
        <v>1115423.5016697501</v>
      </c>
      <c r="M6" s="1">
        <f t="shared" si="7"/>
        <v>1375852580.8396034</v>
      </c>
      <c r="N6" s="1">
        <f t="shared" si="2"/>
        <v>1115423.5016697501</v>
      </c>
      <c r="O6" s="1">
        <f t="shared" si="8"/>
        <v>1375852580.8396034</v>
      </c>
      <c r="P6" s="1">
        <f t="shared" si="3"/>
        <v>0</v>
      </c>
      <c r="Q6" s="1">
        <f t="shared" si="9"/>
        <v>0</v>
      </c>
    </row>
    <row r="7" spans="1:17" x14ac:dyDescent="0.35">
      <c r="D7" s="48"/>
      <c r="E7" s="48"/>
      <c r="F7" s="48"/>
      <c r="G7" s="50"/>
      <c r="L7" s="48"/>
    </row>
    <row r="8" spans="1:17" x14ac:dyDescent="0.35">
      <c r="A8" s="49" t="s">
        <v>13</v>
      </c>
      <c r="B8" s="1">
        <v>1</v>
      </c>
      <c r="C8" s="1">
        <v>150000</v>
      </c>
      <c r="D8" s="50">
        <v>0</v>
      </c>
      <c r="E8" s="50">
        <v>0</v>
      </c>
      <c r="F8" s="50">
        <v>362058</v>
      </c>
      <c r="G8" s="50">
        <f t="shared" si="4"/>
        <v>446591301.84000003</v>
      </c>
      <c r="H8" s="1">
        <f>C8*4.07</f>
        <v>610500</v>
      </c>
      <c r="I8" s="1">
        <f t="shared" si="5"/>
        <v>753039540</v>
      </c>
      <c r="J8" s="1">
        <f>D8*4.84</f>
        <v>0</v>
      </c>
      <c r="K8" s="1">
        <f t="shared" si="6"/>
        <v>0</v>
      </c>
      <c r="L8" s="1">
        <v>248441.62029560001</v>
      </c>
      <c r="M8" s="1">
        <f t="shared" si="7"/>
        <v>306447769.80221671</v>
      </c>
      <c r="N8" s="1">
        <f>L8+F8</f>
        <v>610499.62029560003</v>
      </c>
      <c r="O8" s="1">
        <f t="shared" si="8"/>
        <v>753039071.64221668</v>
      </c>
      <c r="P8" s="1">
        <f>E8*15</f>
        <v>0</v>
      </c>
      <c r="Q8" s="1">
        <f t="shared" si="9"/>
        <v>0</v>
      </c>
    </row>
    <row r="9" spans="1:17" x14ac:dyDescent="0.35">
      <c r="A9" s="49"/>
      <c r="B9" s="1">
        <v>2</v>
      </c>
      <c r="C9" s="1">
        <v>150000</v>
      </c>
      <c r="D9" s="50">
        <v>0</v>
      </c>
      <c r="E9" s="50">
        <v>0</v>
      </c>
      <c r="F9" s="50">
        <v>223339</v>
      </c>
      <c r="G9" s="50">
        <f t="shared" si="4"/>
        <v>275484189.72000003</v>
      </c>
      <c r="H9" s="1">
        <f t="shared" ref="H9:H12" si="10">C9*4.07</f>
        <v>610500</v>
      </c>
      <c r="I9" s="1">
        <f t="shared" si="5"/>
        <v>753039540</v>
      </c>
      <c r="J9" s="1">
        <f t="shared" ref="J9:J12" si="11">D9*4.84</f>
        <v>0</v>
      </c>
      <c r="K9" s="1">
        <f t="shared" si="6"/>
        <v>0</v>
      </c>
      <c r="L9" s="1">
        <v>387160.85169954994</v>
      </c>
      <c r="M9" s="1">
        <f t="shared" si="7"/>
        <v>477555167.35436088</v>
      </c>
      <c r="N9" s="1">
        <f t="shared" ref="N9:N12" si="12">L9+F9</f>
        <v>610499.85169954994</v>
      </c>
      <c r="O9" s="1">
        <f t="shared" si="8"/>
        <v>753039357.07436085</v>
      </c>
      <c r="P9" s="1">
        <f t="shared" ref="P9:P12" si="13">E9*15</f>
        <v>0</v>
      </c>
      <c r="Q9" s="1">
        <f t="shared" si="9"/>
        <v>0</v>
      </c>
    </row>
    <row r="10" spans="1:17" x14ac:dyDescent="0.35">
      <c r="A10" s="49"/>
      <c r="B10" s="1">
        <v>3</v>
      </c>
      <c r="C10" s="1">
        <v>150000</v>
      </c>
      <c r="D10" s="50">
        <v>0</v>
      </c>
      <c r="E10" s="50">
        <v>0</v>
      </c>
      <c r="F10" s="50">
        <v>84080</v>
      </c>
      <c r="G10" s="50">
        <f t="shared" si="4"/>
        <v>103710998.40000001</v>
      </c>
      <c r="H10" s="1">
        <f t="shared" si="10"/>
        <v>610500</v>
      </c>
      <c r="I10" s="1">
        <f t="shared" si="5"/>
        <v>753039540</v>
      </c>
      <c r="J10" s="1">
        <f t="shared" si="11"/>
        <v>0</v>
      </c>
      <c r="K10" s="1">
        <f t="shared" si="6"/>
        <v>0</v>
      </c>
      <c r="L10" s="1">
        <v>526419.62541344995</v>
      </c>
      <c r="M10" s="1">
        <f t="shared" si="7"/>
        <v>649328079.5549823</v>
      </c>
      <c r="N10" s="1">
        <f t="shared" si="12"/>
        <v>610499.62541344995</v>
      </c>
      <c r="O10" s="1">
        <f t="shared" si="8"/>
        <v>753039077.95498228</v>
      </c>
      <c r="P10" s="1">
        <f t="shared" si="13"/>
        <v>0</v>
      </c>
      <c r="Q10" s="1">
        <f t="shared" si="9"/>
        <v>0</v>
      </c>
    </row>
    <row r="11" spans="1:17" x14ac:dyDescent="0.35">
      <c r="A11" s="49"/>
      <c r="B11" s="1">
        <v>4</v>
      </c>
      <c r="C11" s="1">
        <v>150000</v>
      </c>
      <c r="D11" s="50">
        <v>21750</v>
      </c>
      <c r="E11" s="50">
        <v>0</v>
      </c>
      <c r="F11" s="50">
        <v>0</v>
      </c>
      <c r="G11" s="50">
        <f t="shared" si="4"/>
        <v>0</v>
      </c>
      <c r="H11" s="1">
        <f t="shared" si="10"/>
        <v>610500</v>
      </c>
      <c r="I11" s="1">
        <f t="shared" si="5"/>
        <v>753039540</v>
      </c>
      <c r="J11" s="1">
        <f t="shared" si="11"/>
        <v>105270</v>
      </c>
      <c r="K11" s="1">
        <f t="shared" si="6"/>
        <v>129848439.60000001</v>
      </c>
      <c r="L11" s="1">
        <v>715768.7064793501</v>
      </c>
      <c r="M11" s="1">
        <f t="shared" si="7"/>
        <v>882886384.06814873</v>
      </c>
      <c r="N11" s="1">
        <f t="shared" si="12"/>
        <v>715768.7064793501</v>
      </c>
      <c r="O11" s="1">
        <f t="shared" si="8"/>
        <v>882886384.06814873</v>
      </c>
      <c r="P11" s="1">
        <f t="shared" si="13"/>
        <v>0</v>
      </c>
      <c r="Q11" s="1">
        <f t="shared" si="9"/>
        <v>0</v>
      </c>
    </row>
    <row r="12" spans="1:17" x14ac:dyDescent="0.35">
      <c r="A12" s="49"/>
      <c r="B12" s="1">
        <v>5</v>
      </c>
      <c r="C12" s="1">
        <v>150000</v>
      </c>
      <c r="D12" s="50">
        <v>75136</v>
      </c>
      <c r="E12" s="50">
        <v>9418</v>
      </c>
      <c r="F12" s="50">
        <v>0</v>
      </c>
      <c r="G12" s="50">
        <f t="shared" si="4"/>
        <v>0</v>
      </c>
      <c r="H12" s="1">
        <f t="shared" si="10"/>
        <v>610500</v>
      </c>
      <c r="I12" s="1">
        <f t="shared" si="5"/>
        <v>753039540</v>
      </c>
      <c r="J12" s="1">
        <f t="shared" si="11"/>
        <v>363658.23999999999</v>
      </c>
      <c r="K12" s="1">
        <f t="shared" si="6"/>
        <v>448565165.87519997</v>
      </c>
      <c r="L12" s="1">
        <v>1115423.5016697501</v>
      </c>
      <c r="M12" s="1">
        <f t="shared" si="7"/>
        <v>1375852580.8396034</v>
      </c>
      <c r="N12" s="1">
        <f t="shared" si="12"/>
        <v>1115423.5016697501</v>
      </c>
      <c r="O12" s="1">
        <f t="shared" si="8"/>
        <v>1375852580.8396034</v>
      </c>
      <c r="P12" s="1">
        <f t="shared" si="13"/>
        <v>141270</v>
      </c>
      <c r="Q12" s="1">
        <f t="shared" si="9"/>
        <v>174253719.59999999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96361-7AAF-4FB6-9A76-F9A86818250C}">
  <dimension ref="A1:Q12"/>
  <sheetViews>
    <sheetView workbookViewId="0">
      <selection activeCell="G12" sqref="G12"/>
    </sheetView>
  </sheetViews>
  <sheetFormatPr defaultRowHeight="14.5" x14ac:dyDescent="0.35"/>
  <cols>
    <col min="1" max="5" width="8.7265625" style="1"/>
    <col min="6" max="6" width="11.54296875" style="1" bestFit="1" customWidth="1"/>
    <col min="7" max="7" width="10.7265625" style="1" bestFit="1" customWidth="1"/>
    <col min="8" max="8" width="8.7265625" style="1"/>
    <col min="9" max="9" width="10.7265625" style="1" bestFit="1" customWidth="1"/>
    <col min="10" max="10" width="8.7265625" style="1"/>
    <col min="11" max="11" width="10.7265625" style="1" bestFit="1" customWidth="1"/>
    <col min="12" max="12" width="8.7265625" style="1"/>
    <col min="13" max="13" width="12.1796875" style="1" bestFit="1" customWidth="1"/>
    <col min="14" max="14" width="8.7265625" style="1"/>
    <col min="15" max="15" width="12.1796875" style="1" bestFit="1" customWidth="1"/>
    <col min="16" max="16384" width="8.7265625" style="1"/>
  </cols>
  <sheetData>
    <row r="1" spans="1:17" x14ac:dyDescent="0.35">
      <c r="C1" s="1" t="s">
        <v>0</v>
      </c>
      <c r="D1" s="48" t="s">
        <v>1</v>
      </c>
      <c r="E1" s="48" t="s">
        <v>2</v>
      </c>
      <c r="F1" s="48" t="s">
        <v>108</v>
      </c>
      <c r="G1" s="48" t="s">
        <v>104</v>
      </c>
      <c r="H1" s="48" t="s">
        <v>6</v>
      </c>
      <c r="I1" s="48" t="s">
        <v>104</v>
      </c>
      <c r="J1" s="48" t="s">
        <v>7</v>
      </c>
      <c r="K1" s="48" t="s">
        <v>104</v>
      </c>
      <c r="L1" s="48" t="s">
        <v>3</v>
      </c>
      <c r="M1" s="48" t="s">
        <v>104</v>
      </c>
      <c r="N1" s="48" t="s">
        <v>4</v>
      </c>
      <c r="O1" s="48" t="s">
        <v>104</v>
      </c>
      <c r="P1" s="48" t="s">
        <v>10</v>
      </c>
      <c r="Q1" s="48" t="s">
        <v>104</v>
      </c>
    </row>
    <row r="2" spans="1:17" x14ac:dyDescent="0.35">
      <c r="A2" s="49" t="s">
        <v>111</v>
      </c>
      <c r="B2" s="1">
        <v>1</v>
      </c>
      <c r="C2" s="1">
        <v>134264</v>
      </c>
      <c r="D2" s="50">
        <v>102526</v>
      </c>
      <c r="E2" s="50">
        <v>0</v>
      </c>
      <c r="F2" s="50">
        <v>794236</v>
      </c>
      <c r="G2" s="50">
        <f>F2*1233.48</f>
        <v>979674221.27999997</v>
      </c>
      <c r="H2" s="1">
        <f>C2*4.07</f>
        <v>546454.48</v>
      </c>
      <c r="I2" s="1">
        <f>H2*1233.48</f>
        <v>674040671.99039996</v>
      </c>
      <c r="J2" s="1">
        <f>D2*4.84</f>
        <v>496225.83999999997</v>
      </c>
      <c r="K2" s="1">
        <f>J2*1233.48</f>
        <v>612084649.12319994</v>
      </c>
      <c r="L2" s="1">
        <v>248441.62029560001</v>
      </c>
      <c r="M2" s="1">
        <f>L2*1233.48</f>
        <v>306447769.80221671</v>
      </c>
      <c r="N2" s="1">
        <f>L2+F2</f>
        <v>1042677.6202956</v>
      </c>
      <c r="O2" s="1">
        <f>N2*1233.48</f>
        <v>1286121991.0822167</v>
      </c>
      <c r="P2" s="1">
        <f>E2*15</f>
        <v>0</v>
      </c>
    </row>
    <row r="3" spans="1:17" x14ac:dyDescent="0.35">
      <c r="A3" s="49"/>
      <c r="B3" s="1">
        <v>2</v>
      </c>
      <c r="C3" s="1">
        <v>134264</v>
      </c>
      <c r="D3" s="50">
        <v>102526</v>
      </c>
      <c r="E3" s="50">
        <v>0</v>
      </c>
      <c r="F3" s="50">
        <v>655517</v>
      </c>
      <c r="G3" s="50">
        <f t="shared" ref="G3:G12" si="0">F3*1233.48</f>
        <v>808567109.15999997</v>
      </c>
      <c r="H3" s="1">
        <f>C3*4.07</f>
        <v>546454.48</v>
      </c>
      <c r="I3" s="1">
        <f t="shared" ref="I3:I12" si="1">H3*1233.48</f>
        <v>674040671.99039996</v>
      </c>
      <c r="J3" s="1">
        <f>D3*4.84</f>
        <v>496225.83999999997</v>
      </c>
      <c r="K3" s="1">
        <f t="shared" ref="K3:K12" si="2">J3*1233.48</f>
        <v>612084649.12319994</v>
      </c>
      <c r="L3" s="1">
        <v>387160.85169954994</v>
      </c>
      <c r="M3" s="1">
        <f t="shared" ref="M3:M12" si="3">L3*1233.48</f>
        <v>477555167.35436088</v>
      </c>
      <c r="N3" s="1">
        <f>L3+F3</f>
        <v>1042677.8516995499</v>
      </c>
      <c r="O3" s="1">
        <f t="shared" ref="O3:O12" si="4">N3*1233.48</f>
        <v>1286122276.5143609</v>
      </c>
      <c r="P3" s="1">
        <f>E3*15</f>
        <v>0</v>
      </c>
    </row>
    <row r="4" spans="1:17" x14ac:dyDescent="0.35">
      <c r="A4" s="49"/>
      <c r="B4" s="1">
        <v>3</v>
      </c>
      <c r="C4" s="1">
        <v>134264</v>
      </c>
      <c r="D4" s="50">
        <v>102526</v>
      </c>
      <c r="E4" s="50">
        <v>0</v>
      </c>
      <c r="F4" s="50">
        <v>516258</v>
      </c>
      <c r="G4" s="50">
        <f t="shared" si="0"/>
        <v>636793917.84000003</v>
      </c>
      <c r="H4" s="1">
        <f>C4*4.07</f>
        <v>546454.48</v>
      </c>
      <c r="I4" s="1">
        <f t="shared" si="1"/>
        <v>674040671.99039996</v>
      </c>
      <c r="J4" s="1">
        <f>D4*4.84</f>
        <v>496225.83999999997</v>
      </c>
      <c r="K4" s="1">
        <f t="shared" si="2"/>
        <v>612084649.12319994</v>
      </c>
      <c r="L4" s="1">
        <v>526419.62541344995</v>
      </c>
      <c r="M4" s="1">
        <f t="shared" si="3"/>
        <v>649328079.5549823</v>
      </c>
      <c r="N4" s="1">
        <f>L4+F4</f>
        <v>1042677.6254134499</v>
      </c>
      <c r="O4" s="1">
        <f t="shared" si="4"/>
        <v>1286121997.3949823</v>
      </c>
      <c r="P4" s="1">
        <f>E4*15</f>
        <v>0</v>
      </c>
    </row>
    <row r="5" spans="1:17" x14ac:dyDescent="0.35">
      <c r="A5" s="49"/>
      <c r="B5" s="1">
        <v>4</v>
      </c>
      <c r="C5" s="1">
        <v>134264</v>
      </c>
      <c r="D5" s="50">
        <v>102526</v>
      </c>
      <c r="E5" s="50">
        <v>0</v>
      </c>
      <c r="F5" s="50">
        <v>326909</v>
      </c>
      <c r="G5" s="50">
        <f t="shared" si="0"/>
        <v>403235713.31999999</v>
      </c>
      <c r="H5" s="1">
        <f>C5*4.07</f>
        <v>546454.48</v>
      </c>
      <c r="I5" s="1">
        <f t="shared" si="1"/>
        <v>674040671.99039996</v>
      </c>
      <c r="J5" s="1">
        <f>D5*4.84</f>
        <v>496225.83999999997</v>
      </c>
      <c r="K5" s="1">
        <f t="shared" si="2"/>
        <v>612084649.12319994</v>
      </c>
      <c r="L5" s="1">
        <v>715768.7064793501</v>
      </c>
      <c r="M5" s="1">
        <f t="shared" si="3"/>
        <v>882886384.06814873</v>
      </c>
      <c r="N5" s="1">
        <f>L5+F5</f>
        <v>1042677.7064793501</v>
      </c>
      <c r="O5" s="1">
        <f t="shared" si="4"/>
        <v>1286122097.3881488</v>
      </c>
      <c r="P5" s="1">
        <f>E5*15</f>
        <v>0</v>
      </c>
    </row>
    <row r="6" spans="1:17" x14ac:dyDescent="0.35">
      <c r="A6" s="49"/>
      <c r="B6" s="1">
        <v>5</v>
      </c>
      <c r="C6" s="1">
        <v>134264</v>
      </c>
      <c r="D6" s="50">
        <v>117556</v>
      </c>
      <c r="E6" s="50">
        <v>0</v>
      </c>
      <c r="F6" s="50">
        <v>0</v>
      </c>
      <c r="G6" s="50">
        <f t="shared" si="0"/>
        <v>0</v>
      </c>
      <c r="H6" s="1">
        <f>C6*4.07</f>
        <v>546454.48</v>
      </c>
      <c r="I6" s="1">
        <f t="shared" si="1"/>
        <v>674040671.99039996</v>
      </c>
      <c r="J6" s="1">
        <f>D6*4.84</f>
        <v>568971.04</v>
      </c>
      <c r="K6" s="1">
        <f t="shared" si="2"/>
        <v>701814398.41920006</v>
      </c>
      <c r="L6" s="1">
        <v>1115423.5016697501</v>
      </c>
      <c r="M6" s="1">
        <f t="shared" si="3"/>
        <v>1375852580.8396034</v>
      </c>
      <c r="N6" s="1">
        <f>L6+F6</f>
        <v>1115423.5016697501</v>
      </c>
      <c r="O6" s="1">
        <f t="shared" si="4"/>
        <v>1375852580.8396034</v>
      </c>
      <c r="P6" s="1">
        <f>E6*15</f>
        <v>0</v>
      </c>
    </row>
    <row r="7" spans="1:17" x14ac:dyDescent="0.35">
      <c r="D7" s="48"/>
      <c r="E7" s="48"/>
      <c r="F7" s="48"/>
      <c r="G7" s="50"/>
      <c r="L7" s="48"/>
    </row>
    <row r="8" spans="1:17" x14ac:dyDescent="0.35">
      <c r="A8" s="49" t="s">
        <v>112</v>
      </c>
      <c r="B8" s="1">
        <v>1</v>
      </c>
      <c r="C8" s="1">
        <v>150000</v>
      </c>
      <c r="D8" s="50">
        <v>58909</v>
      </c>
      <c r="E8" s="50">
        <v>0</v>
      </c>
      <c r="F8" s="50">
        <v>647177</v>
      </c>
      <c r="G8" s="50">
        <f t="shared" si="0"/>
        <v>798279885.96000004</v>
      </c>
      <c r="H8" s="1">
        <f>C8*4.07</f>
        <v>610500</v>
      </c>
      <c r="I8" s="1">
        <f t="shared" si="1"/>
        <v>753039540</v>
      </c>
      <c r="J8" s="1">
        <f>D8*4.84</f>
        <v>285119.56</v>
      </c>
      <c r="K8" s="1">
        <f t="shared" si="2"/>
        <v>351689274.86879998</v>
      </c>
      <c r="L8" s="1">
        <v>248441.62029560001</v>
      </c>
      <c r="M8" s="1">
        <f t="shared" si="3"/>
        <v>306447769.80221671</v>
      </c>
      <c r="N8" s="1">
        <f>L8+F8</f>
        <v>895618.62029560003</v>
      </c>
      <c r="O8" s="1">
        <f t="shared" si="4"/>
        <v>1104727655.7622168</v>
      </c>
      <c r="P8" s="1">
        <f>E8*15</f>
        <v>0</v>
      </c>
    </row>
    <row r="9" spans="1:17" x14ac:dyDescent="0.35">
      <c r="A9" s="49"/>
      <c r="B9" s="1">
        <v>2</v>
      </c>
      <c r="C9" s="1">
        <v>150000</v>
      </c>
      <c r="D9" s="50">
        <v>58909</v>
      </c>
      <c r="E9" s="50">
        <v>0</v>
      </c>
      <c r="F9" s="50">
        <v>508458</v>
      </c>
      <c r="G9" s="50">
        <f t="shared" si="0"/>
        <v>627172773.84000003</v>
      </c>
      <c r="H9" s="1">
        <f>C9*4.07</f>
        <v>610500</v>
      </c>
      <c r="I9" s="1">
        <f t="shared" si="1"/>
        <v>753039540</v>
      </c>
      <c r="J9" s="1">
        <f>D9*4.84</f>
        <v>285119.56</v>
      </c>
      <c r="K9" s="1">
        <f t="shared" si="2"/>
        <v>351689274.86879998</v>
      </c>
      <c r="L9" s="1">
        <v>387160.85169954994</v>
      </c>
      <c r="M9" s="1">
        <f t="shared" si="3"/>
        <v>477555167.35436088</v>
      </c>
      <c r="N9" s="1">
        <f>L9+F9</f>
        <v>895618.85169954994</v>
      </c>
      <c r="O9" s="1">
        <f t="shared" si="4"/>
        <v>1104727941.194361</v>
      </c>
      <c r="P9" s="1">
        <f t="shared" ref="P9:P12" si="5">E9*15</f>
        <v>0</v>
      </c>
    </row>
    <row r="10" spans="1:17" x14ac:dyDescent="0.35">
      <c r="A10" s="49"/>
      <c r="B10" s="1">
        <v>3</v>
      </c>
      <c r="C10" s="1">
        <v>150000</v>
      </c>
      <c r="D10" s="50">
        <v>58909</v>
      </c>
      <c r="E10" s="50">
        <v>0</v>
      </c>
      <c r="F10" s="50">
        <v>369199</v>
      </c>
      <c r="G10" s="50">
        <f t="shared" si="0"/>
        <v>455399582.51999998</v>
      </c>
      <c r="H10" s="1">
        <f>C10*4.07</f>
        <v>610500</v>
      </c>
      <c r="I10" s="1">
        <f t="shared" si="1"/>
        <v>753039540</v>
      </c>
      <c r="J10" s="1">
        <f>D10*4.84</f>
        <v>285119.56</v>
      </c>
      <c r="K10" s="1">
        <f t="shared" si="2"/>
        <v>351689274.86879998</v>
      </c>
      <c r="L10" s="1">
        <v>526419.62541344995</v>
      </c>
      <c r="M10" s="1">
        <f t="shared" si="3"/>
        <v>649328079.5549823</v>
      </c>
      <c r="N10" s="1">
        <f>L10+F10</f>
        <v>895618.62541344995</v>
      </c>
      <c r="O10" s="1">
        <f t="shared" si="4"/>
        <v>1104727662.0749822</v>
      </c>
      <c r="P10" s="1">
        <f t="shared" si="5"/>
        <v>0</v>
      </c>
    </row>
    <row r="11" spans="1:17" x14ac:dyDescent="0.35">
      <c r="A11" s="49"/>
      <c r="B11" s="1">
        <v>4</v>
      </c>
      <c r="C11" s="1">
        <v>150000</v>
      </c>
      <c r="D11" s="50">
        <v>58909</v>
      </c>
      <c r="E11" s="50">
        <v>0</v>
      </c>
      <c r="F11" s="50">
        <v>179850</v>
      </c>
      <c r="G11" s="50">
        <f t="shared" si="0"/>
        <v>221841378</v>
      </c>
      <c r="H11" s="1">
        <f>C11*4.07</f>
        <v>610500</v>
      </c>
      <c r="I11" s="1">
        <f t="shared" si="1"/>
        <v>753039540</v>
      </c>
      <c r="J11" s="1">
        <f>D11*4.84</f>
        <v>285119.56</v>
      </c>
      <c r="K11" s="1">
        <f t="shared" si="2"/>
        <v>351689274.86879998</v>
      </c>
      <c r="L11" s="1">
        <v>715768.7064793501</v>
      </c>
      <c r="M11" s="1">
        <f t="shared" si="3"/>
        <v>882886384.06814873</v>
      </c>
      <c r="N11" s="1">
        <f>L11+F11</f>
        <v>895618.7064793501</v>
      </c>
      <c r="O11" s="1">
        <f t="shared" si="4"/>
        <v>1104727762.0681489</v>
      </c>
      <c r="P11" s="1">
        <f t="shared" si="5"/>
        <v>0</v>
      </c>
    </row>
    <row r="12" spans="1:17" x14ac:dyDescent="0.35">
      <c r="A12" s="49"/>
      <c r="B12" s="1">
        <v>5</v>
      </c>
      <c r="C12" s="1">
        <v>150000</v>
      </c>
      <c r="D12" s="50">
        <v>104323</v>
      </c>
      <c r="E12" s="50">
        <v>0</v>
      </c>
      <c r="F12" s="50">
        <v>0</v>
      </c>
      <c r="G12" s="50">
        <f t="shared" si="0"/>
        <v>0</v>
      </c>
      <c r="H12" s="1">
        <f>C12*4.07</f>
        <v>610500</v>
      </c>
      <c r="I12" s="1">
        <f t="shared" si="1"/>
        <v>753039540</v>
      </c>
      <c r="J12" s="1">
        <f>D12*4.84</f>
        <v>504923.32</v>
      </c>
      <c r="K12" s="1">
        <f t="shared" si="2"/>
        <v>622812816.7536</v>
      </c>
      <c r="L12" s="1">
        <v>1115423.5016697501</v>
      </c>
      <c r="M12" s="1">
        <f t="shared" si="3"/>
        <v>1375852580.8396034</v>
      </c>
      <c r="N12" s="1">
        <f>L12+F12</f>
        <v>1115423.5016697501</v>
      </c>
      <c r="O12" s="1">
        <f t="shared" si="4"/>
        <v>1375852580.8396034</v>
      </c>
      <c r="P12" s="1">
        <f t="shared" si="5"/>
        <v>0</v>
      </c>
    </row>
  </sheetData>
  <mergeCells count="2">
    <mergeCell ref="A2:A6"/>
    <mergeCell ref="A8:A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B930-A9E1-4C1D-9D35-4CF7035B245C}">
  <dimension ref="A1:I13"/>
  <sheetViews>
    <sheetView workbookViewId="0">
      <selection activeCell="K37" sqref="K37"/>
    </sheetView>
  </sheetViews>
  <sheetFormatPr defaultRowHeight="14.5" x14ac:dyDescent="0.35"/>
  <cols>
    <col min="3" max="3" width="11.81640625" bestFit="1" customWidth="1"/>
    <col min="5" max="5" width="11.81640625" bestFit="1" customWidth="1"/>
    <col min="7" max="7" width="11.81640625" bestFit="1" customWidth="1"/>
    <col min="9" max="9" width="11.81640625" bestFit="1" customWidth="1"/>
  </cols>
  <sheetData>
    <row r="1" spans="1:9" x14ac:dyDescent="0.35">
      <c r="A1">
        <v>12</v>
      </c>
      <c r="B1" t="s">
        <v>113</v>
      </c>
      <c r="C1" t="s">
        <v>104</v>
      </c>
    </row>
    <row r="2" spans="1:9" x14ac:dyDescent="0.35">
      <c r="A2" t="s">
        <v>19</v>
      </c>
      <c r="B2">
        <v>0.05</v>
      </c>
      <c r="D2">
        <v>3.5000000000000003E-2</v>
      </c>
      <c r="F2">
        <v>0.02</v>
      </c>
      <c r="H2">
        <v>0.01</v>
      </c>
    </row>
    <row r="3" spans="1:9" x14ac:dyDescent="0.35">
      <c r="A3">
        <v>0</v>
      </c>
      <c r="B3">
        <v>12</v>
      </c>
      <c r="C3">
        <f>B3*10^6*1233.48</f>
        <v>14801760000</v>
      </c>
      <c r="D3">
        <v>12</v>
      </c>
      <c r="E3">
        <f>D3*10^6*1233.48</f>
        <v>14801760000</v>
      </c>
      <c r="F3">
        <v>12</v>
      </c>
      <c r="G3">
        <f>F3*10^6*1233.48</f>
        <v>14801760000</v>
      </c>
      <c r="H3">
        <v>12</v>
      </c>
      <c r="I3">
        <f>H3*10^6*1233.48</f>
        <v>14801760000</v>
      </c>
    </row>
    <row r="4" spans="1:9" x14ac:dyDescent="0.35">
      <c r="A4">
        <v>1</v>
      </c>
      <c r="B4">
        <v>10</v>
      </c>
      <c r="C4">
        <f t="shared" ref="C4:C13" si="0">B4*10^6*1233.48</f>
        <v>12334800000</v>
      </c>
      <c r="D4">
        <v>10</v>
      </c>
      <c r="E4">
        <f t="shared" ref="E4:E13" si="1">D4*10^6*1233.48</f>
        <v>12334800000</v>
      </c>
      <c r="F4">
        <v>10.5</v>
      </c>
      <c r="G4">
        <f t="shared" ref="G4:G13" si="2">F4*10^6*1233.48</f>
        <v>12951540000</v>
      </c>
      <c r="H4">
        <v>11.5</v>
      </c>
      <c r="I4">
        <f t="shared" ref="I4:I13" si="3">H4*10^6*1233.48</f>
        <v>14185020000</v>
      </c>
    </row>
    <row r="5" spans="1:9" x14ac:dyDescent="0.35">
      <c r="A5">
        <v>2</v>
      </c>
      <c r="B5">
        <v>8.5</v>
      </c>
      <c r="C5">
        <f t="shared" si="0"/>
        <v>10484580000</v>
      </c>
      <c r="D5">
        <v>9</v>
      </c>
      <c r="E5">
        <f t="shared" si="1"/>
        <v>11101320000</v>
      </c>
      <c r="F5">
        <v>9.5</v>
      </c>
      <c r="G5">
        <f t="shared" si="2"/>
        <v>11718060000</v>
      </c>
      <c r="H5">
        <v>11</v>
      </c>
      <c r="I5">
        <f t="shared" si="3"/>
        <v>13568280000</v>
      </c>
    </row>
    <row r="6" spans="1:9" x14ac:dyDescent="0.35">
      <c r="A6">
        <v>3</v>
      </c>
      <c r="B6">
        <v>8</v>
      </c>
      <c r="C6">
        <f t="shared" si="0"/>
        <v>9867840000</v>
      </c>
      <c r="D6">
        <v>8.5</v>
      </c>
      <c r="E6">
        <f t="shared" si="1"/>
        <v>10484580000</v>
      </c>
      <c r="F6">
        <v>9</v>
      </c>
      <c r="G6">
        <f t="shared" si="2"/>
        <v>11101320000</v>
      </c>
      <c r="H6">
        <v>10.5</v>
      </c>
      <c r="I6">
        <f t="shared" si="3"/>
        <v>12951540000</v>
      </c>
    </row>
    <row r="7" spans="1:9" x14ac:dyDescent="0.35">
      <c r="A7">
        <v>4</v>
      </c>
      <c r="B7">
        <v>8</v>
      </c>
      <c r="C7">
        <f t="shared" si="0"/>
        <v>9867840000</v>
      </c>
      <c r="D7">
        <v>8</v>
      </c>
      <c r="E7">
        <f t="shared" si="1"/>
        <v>9867840000</v>
      </c>
      <c r="F7">
        <v>8.5</v>
      </c>
      <c r="G7">
        <f t="shared" si="2"/>
        <v>10484580000</v>
      </c>
      <c r="H7">
        <v>10</v>
      </c>
      <c r="I7">
        <f t="shared" si="3"/>
        <v>12334800000</v>
      </c>
    </row>
    <row r="8" spans="1:9" x14ac:dyDescent="0.35">
      <c r="A8">
        <v>5</v>
      </c>
      <c r="B8">
        <v>8</v>
      </c>
      <c r="C8">
        <f t="shared" si="0"/>
        <v>9867840000</v>
      </c>
      <c r="D8">
        <v>8</v>
      </c>
      <c r="E8">
        <f t="shared" si="1"/>
        <v>9867840000</v>
      </c>
      <c r="F8">
        <v>8</v>
      </c>
      <c r="G8">
        <f t="shared" si="2"/>
        <v>9867840000</v>
      </c>
      <c r="H8">
        <v>9.5</v>
      </c>
      <c r="I8">
        <f t="shared" si="3"/>
        <v>11718060000</v>
      </c>
    </row>
    <row r="9" spans="1:9" x14ac:dyDescent="0.35">
      <c r="A9">
        <v>6</v>
      </c>
      <c r="B9">
        <v>8</v>
      </c>
      <c r="C9">
        <f t="shared" si="0"/>
        <v>9867840000</v>
      </c>
      <c r="D9">
        <v>8</v>
      </c>
      <c r="E9">
        <f t="shared" si="1"/>
        <v>9867840000</v>
      </c>
      <c r="F9">
        <v>8</v>
      </c>
      <c r="G9">
        <f t="shared" si="2"/>
        <v>9867840000</v>
      </c>
      <c r="H9">
        <v>9.5</v>
      </c>
      <c r="I9">
        <f t="shared" si="3"/>
        <v>11718060000</v>
      </c>
    </row>
    <row r="10" spans="1:9" x14ac:dyDescent="0.35">
      <c r="A10">
        <v>7</v>
      </c>
      <c r="B10">
        <v>8</v>
      </c>
      <c r="C10">
        <f t="shared" si="0"/>
        <v>9867840000</v>
      </c>
      <c r="D10">
        <v>8</v>
      </c>
      <c r="E10">
        <f t="shared" si="1"/>
        <v>9867840000</v>
      </c>
      <c r="F10">
        <v>8</v>
      </c>
      <c r="G10">
        <f t="shared" si="2"/>
        <v>9867840000</v>
      </c>
      <c r="H10">
        <v>9.5</v>
      </c>
      <c r="I10">
        <f t="shared" si="3"/>
        <v>11718060000</v>
      </c>
    </row>
    <row r="11" spans="1:9" x14ac:dyDescent="0.35">
      <c r="A11">
        <v>8</v>
      </c>
      <c r="B11">
        <v>8</v>
      </c>
      <c r="C11">
        <f t="shared" si="0"/>
        <v>9867840000</v>
      </c>
      <c r="D11">
        <v>8</v>
      </c>
      <c r="E11">
        <f t="shared" si="1"/>
        <v>9867840000</v>
      </c>
      <c r="F11">
        <v>8</v>
      </c>
      <c r="G11">
        <f t="shared" si="2"/>
        <v>9867840000</v>
      </c>
      <c r="H11">
        <v>9.5</v>
      </c>
      <c r="I11">
        <f t="shared" si="3"/>
        <v>11718060000</v>
      </c>
    </row>
    <row r="12" spans="1:9" x14ac:dyDescent="0.35">
      <c r="A12">
        <v>9</v>
      </c>
      <c r="B12">
        <v>8</v>
      </c>
      <c r="C12">
        <f t="shared" si="0"/>
        <v>9867840000</v>
      </c>
      <c r="D12">
        <v>8</v>
      </c>
      <c r="E12">
        <f t="shared" si="1"/>
        <v>9867840000</v>
      </c>
      <c r="F12">
        <v>8</v>
      </c>
      <c r="G12">
        <f t="shared" si="2"/>
        <v>9867840000</v>
      </c>
      <c r="H12">
        <v>9.5</v>
      </c>
      <c r="I12">
        <f t="shared" si="3"/>
        <v>11718060000</v>
      </c>
    </row>
    <row r="13" spans="1:9" x14ac:dyDescent="0.35">
      <c r="A13">
        <v>10</v>
      </c>
      <c r="B13">
        <v>10</v>
      </c>
      <c r="C13">
        <f t="shared" si="0"/>
        <v>12334800000</v>
      </c>
      <c r="D13">
        <v>10</v>
      </c>
      <c r="E13">
        <f t="shared" si="1"/>
        <v>12334800000</v>
      </c>
      <c r="F13">
        <v>10</v>
      </c>
      <c r="G13">
        <f t="shared" si="2"/>
        <v>12334800000</v>
      </c>
      <c r="H13">
        <v>10</v>
      </c>
      <c r="I13">
        <f t="shared" si="3"/>
        <v>12334800000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0541-237C-4773-9B5A-C7AE884F6ED0}">
  <dimension ref="A1:R18"/>
  <sheetViews>
    <sheetView workbookViewId="0">
      <selection activeCell="T41" sqref="T41"/>
    </sheetView>
  </sheetViews>
  <sheetFormatPr defaultRowHeight="14.5" x14ac:dyDescent="0.35"/>
  <cols>
    <col min="1" max="6" width="8.7265625" style="3"/>
    <col min="7" max="7" width="11.54296875" style="3" bestFit="1" customWidth="1"/>
    <col min="8" max="8" width="10.7265625" style="3" bestFit="1" customWidth="1"/>
    <col min="9" max="9" width="8.7265625" style="3"/>
    <col min="10" max="10" width="10.7265625" style="3" bestFit="1" customWidth="1"/>
    <col min="11" max="11" width="8.7265625" style="3"/>
    <col min="12" max="12" width="10.7265625" style="3" bestFit="1" customWidth="1"/>
    <col min="13" max="13" width="8.7265625" style="3"/>
    <col min="14" max="14" width="12.1796875" style="3" bestFit="1" customWidth="1"/>
    <col min="15" max="15" width="8.7265625" style="3"/>
    <col min="16" max="16" width="12.1796875" style="3" bestFit="1" customWidth="1"/>
    <col min="17" max="17" width="8.7265625" style="3"/>
    <col min="18" max="18" width="9.7265625" style="3" bestFit="1" customWidth="1"/>
    <col min="19" max="16384" width="8.7265625" style="3"/>
  </cols>
  <sheetData>
    <row r="1" spans="1:18" x14ac:dyDescent="0.35">
      <c r="C1" s="3" t="s">
        <v>8</v>
      </c>
      <c r="D1" s="3" t="s">
        <v>0</v>
      </c>
      <c r="E1" s="4" t="s">
        <v>1</v>
      </c>
      <c r="F1" s="4" t="s">
        <v>2</v>
      </c>
      <c r="G1" s="4" t="s">
        <v>108</v>
      </c>
      <c r="H1" s="4"/>
      <c r="I1" s="4" t="s">
        <v>6</v>
      </c>
      <c r="J1" s="4"/>
      <c r="K1" s="4" t="s">
        <v>7</v>
      </c>
      <c r="L1" s="4"/>
      <c r="M1" s="4" t="s">
        <v>3</v>
      </c>
      <c r="N1" s="4"/>
      <c r="O1" s="4" t="s">
        <v>4</v>
      </c>
      <c r="P1" s="4"/>
      <c r="Q1" s="4" t="s">
        <v>10</v>
      </c>
    </row>
    <row r="2" spans="1:18" x14ac:dyDescent="0.35">
      <c r="A2" s="45" t="s">
        <v>14</v>
      </c>
      <c r="B2" s="2">
        <v>1</v>
      </c>
      <c r="C2" s="45">
        <v>1663</v>
      </c>
      <c r="D2" s="3">
        <v>116283</v>
      </c>
      <c r="E2" s="5">
        <v>18624</v>
      </c>
      <c r="F2" s="5">
        <v>0</v>
      </c>
      <c r="G2" s="5">
        <v>314971</v>
      </c>
      <c r="H2" s="5">
        <f>G2*1233.48</f>
        <v>388510429.07999998</v>
      </c>
      <c r="I2" s="3">
        <f t="shared" ref="I2:I6" si="0">D2*4.07</f>
        <v>473271.81000000006</v>
      </c>
      <c r="J2" s="3">
        <f>I2*1233.48</f>
        <v>583771312.19880009</v>
      </c>
      <c r="K2" s="3">
        <f t="shared" ref="K2:K6" si="1">E2*4.84</f>
        <v>90140.160000000003</v>
      </c>
      <c r="L2" s="3">
        <f>K2*1233.48</f>
        <v>111186084.55680001</v>
      </c>
      <c r="M2" s="3">
        <v>248441.62029560001</v>
      </c>
      <c r="N2" s="3">
        <f>M2*1233.48</f>
        <v>306447769.80221671</v>
      </c>
      <c r="O2" s="3">
        <f t="shared" ref="O2:O6" si="2">M2+G2</f>
        <v>563412.62029560003</v>
      </c>
      <c r="P2" s="3">
        <f>O2*1233.48</f>
        <v>694958198.88221669</v>
      </c>
      <c r="Q2" s="3">
        <f t="shared" ref="Q2:Q6" si="3">F2*15</f>
        <v>0</v>
      </c>
      <c r="R2" s="3">
        <f>Q2*1233.48</f>
        <v>0</v>
      </c>
    </row>
    <row r="3" spans="1:18" x14ac:dyDescent="0.35">
      <c r="A3" s="45"/>
      <c r="B3" s="2">
        <v>2</v>
      </c>
      <c r="C3" s="45"/>
      <c r="D3" s="3">
        <v>116283</v>
      </c>
      <c r="E3" s="5">
        <v>18624</v>
      </c>
      <c r="F3" s="5">
        <v>0</v>
      </c>
      <c r="G3" s="5">
        <v>176251</v>
      </c>
      <c r="H3" s="5">
        <f t="shared" ref="H3:H18" si="4">G3*1233.48</f>
        <v>217402083.47999999</v>
      </c>
      <c r="I3" s="3">
        <f t="shared" si="0"/>
        <v>473271.81000000006</v>
      </c>
      <c r="J3" s="3">
        <f t="shared" ref="J3:J18" si="5">I3*1233.48</f>
        <v>583771312.19880009</v>
      </c>
      <c r="K3" s="3">
        <f t="shared" si="1"/>
        <v>90140.160000000003</v>
      </c>
      <c r="L3" s="3">
        <f t="shared" ref="L3:L18" si="6">K3*1233.48</f>
        <v>111186084.55680001</v>
      </c>
      <c r="M3" s="3">
        <v>387160.85169954994</v>
      </c>
      <c r="N3" s="3">
        <f t="shared" ref="N3:N18" si="7">M3*1233.48</f>
        <v>477555167.35436088</v>
      </c>
      <c r="O3" s="3">
        <f t="shared" si="2"/>
        <v>563411.85169954994</v>
      </c>
      <c r="P3" s="3">
        <f t="shared" ref="P3:P18" si="8">O3*1233.48</f>
        <v>694957250.83436084</v>
      </c>
      <c r="Q3" s="3">
        <f t="shared" si="3"/>
        <v>0</v>
      </c>
      <c r="R3" s="3">
        <f t="shared" ref="R3:R18" si="9">Q3*1233.48</f>
        <v>0</v>
      </c>
    </row>
    <row r="4" spans="1:18" x14ac:dyDescent="0.35">
      <c r="A4" s="45"/>
      <c r="B4" s="2">
        <v>3</v>
      </c>
      <c r="C4" s="45"/>
      <c r="D4" s="3">
        <v>116283</v>
      </c>
      <c r="E4" s="5">
        <v>18624</v>
      </c>
      <c r="F4" s="5">
        <v>0</v>
      </c>
      <c r="G4" s="5">
        <v>36992</v>
      </c>
      <c r="H4" s="5">
        <f t="shared" si="4"/>
        <v>45628892.160000004</v>
      </c>
      <c r="I4" s="3">
        <f t="shared" si="0"/>
        <v>473271.81000000006</v>
      </c>
      <c r="J4" s="3">
        <f t="shared" si="5"/>
        <v>583771312.19880009</v>
      </c>
      <c r="K4" s="3">
        <f t="shared" si="1"/>
        <v>90140.160000000003</v>
      </c>
      <c r="L4" s="3">
        <f t="shared" si="6"/>
        <v>111186084.55680001</v>
      </c>
      <c r="M4" s="3">
        <v>526419.62541344995</v>
      </c>
      <c r="N4" s="3">
        <f t="shared" si="7"/>
        <v>649328079.5549823</v>
      </c>
      <c r="O4" s="3">
        <f t="shared" si="2"/>
        <v>563411.62541344995</v>
      </c>
      <c r="P4" s="3">
        <f t="shared" si="8"/>
        <v>694956971.71498227</v>
      </c>
      <c r="Q4" s="3">
        <f t="shared" si="3"/>
        <v>0</v>
      </c>
      <c r="R4" s="3">
        <f t="shared" si="9"/>
        <v>0</v>
      </c>
    </row>
    <row r="5" spans="1:18" x14ac:dyDescent="0.35">
      <c r="A5" s="45"/>
      <c r="B5" s="2">
        <v>4</v>
      </c>
      <c r="C5" s="45"/>
      <c r="D5" s="3">
        <v>116283</v>
      </c>
      <c r="E5" s="5">
        <v>50103</v>
      </c>
      <c r="F5" s="5">
        <v>0</v>
      </c>
      <c r="G5" s="5">
        <v>0</v>
      </c>
      <c r="H5" s="5">
        <f t="shared" si="4"/>
        <v>0</v>
      </c>
      <c r="I5" s="3">
        <f t="shared" si="0"/>
        <v>473271.81000000006</v>
      </c>
      <c r="J5" s="3">
        <f t="shared" si="5"/>
        <v>583771312.19880009</v>
      </c>
      <c r="K5" s="3">
        <f t="shared" si="1"/>
        <v>242498.52</v>
      </c>
      <c r="L5" s="3">
        <f t="shared" si="6"/>
        <v>299117074.44959998</v>
      </c>
      <c r="M5" s="3">
        <v>715768.7064793501</v>
      </c>
      <c r="N5" s="3">
        <f t="shared" si="7"/>
        <v>882886384.06814873</v>
      </c>
      <c r="O5" s="3">
        <f t="shared" si="2"/>
        <v>715768.7064793501</v>
      </c>
      <c r="P5" s="3">
        <f t="shared" si="8"/>
        <v>882886384.06814873</v>
      </c>
      <c r="Q5" s="3">
        <f t="shared" si="3"/>
        <v>0</v>
      </c>
      <c r="R5" s="3">
        <f t="shared" si="9"/>
        <v>0</v>
      </c>
    </row>
    <row r="6" spans="1:18" x14ac:dyDescent="0.35">
      <c r="A6" s="45"/>
      <c r="B6" s="2">
        <v>5</v>
      </c>
      <c r="C6" s="45"/>
      <c r="D6" s="3">
        <v>116283</v>
      </c>
      <c r="E6" s="5">
        <v>132676</v>
      </c>
      <c r="F6" s="5">
        <v>0</v>
      </c>
      <c r="G6" s="5">
        <v>0</v>
      </c>
      <c r="H6" s="5">
        <f t="shared" si="4"/>
        <v>0</v>
      </c>
      <c r="I6" s="3">
        <f t="shared" si="0"/>
        <v>473271.81000000006</v>
      </c>
      <c r="J6" s="3">
        <f t="shared" si="5"/>
        <v>583771312.19880009</v>
      </c>
      <c r="K6" s="3">
        <f t="shared" si="1"/>
        <v>642151.84</v>
      </c>
      <c r="L6" s="3">
        <f t="shared" si="6"/>
        <v>792081451.60319996</v>
      </c>
      <c r="M6" s="3">
        <v>1115423.5016697501</v>
      </c>
      <c r="N6" s="3">
        <f t="shared" si="7"/>
        <v>1375852580.8396034</v>
      </c>
      <c r="O6" s="3">
        <f t="shared" si="2"/>
        <v>1115423.5016697501</v>
      </c>
      <c r="P6" s="3">
        <f t="shared" si="8"/>
        <v>1375852580.8396034</v>
      </c>
      <c r="Q6" s="3">
        <f t="shared" si="3"/>
        <v>0</v>
      </c>
      <c r="R6" s="3">
        <f t="shared" si="9"/>
        <v>0</v>
      </c>
    </row>
    <row r="7" spans="1:18" x14ac:dyDescent="0.35">
      <c r="E7" s="4"/>
      <c r="F7" s="4"/>
      <c r="G7" s="4"/>
      <c r="H7" s="5"/>
      <c r="M7" s="4"/>
      <c r="N7" s="3">
        <f t="shared" si="7"/>
        <v>0</v>
      </c>
    </row>
    <row r="8" spans="1:18" x14ac:dyDescent="0.35">
      <c r="A8" s="44" t="s">
        <v>15</v>
      </c>
      <c r="B8" s="2">
        <v>1</v>
      </c>
      <c r="C8" s="44">
        <v>1615.6</v>
      </c>
      <c r="D8" s="3">
        <v>111502</v>
      </c>
      <c r="E8" s="5">
        <v>10236.220329071819</v>
      </c>
      <c r="F8" s="5">
        <v>0</v>
      </c>
      <c r="G8" s="5">
        <v>254914.64284958882</v>
      </c>
      <c r="H8" s="5">
        <f t="shared" si="4"/>
        <v>314432113.66211081</v>
      </c>
      <c r="I8" s="3">
        <f>D8*4.07</f>
        <v>453813.14</v>
      </c>
      <c r="J8" s="3">
        <f t="shared" si="5"/>
        <v>559769431.92720008</v>
      </c>
      <c r="K8" s="3">
        <f>E8*4.84</f>
        <v>49543.3063927076</v>
      </c>
      <c r="L8" s="3">
        <f t="shared" si="6"/>
        <v>61110677.569276974</v>
      </c>
      <c r="M8" s="3">
        <v>248441.62029560001</v>
      </c>
      <c r="N8" s="3">
        <f t="shared" si="7"/>
        <v>306447769.80221671</v>
      </c>
      <c r="O8" s="3">
        <f>M8+G8</f>
        <v>503356.2631451888</v>
      </c>
      <c r="P8" s="3">
        <f t="shared" si="8"/>
        <v>620879883.46432745</v>
      </c>
      <c r="Q8" s="3">
        <f>F8*15</f>
        <v>0</v>
      </c>
      <c r="R8" s="3">
        <f t="shared" si="9"/>
        <v>0</v>
      </c>
    </row>
    <row r="9" spans="1:18" x14ac:dyDescent="0.35">
      <c r="A9" s="44"/>
      <c r="B9" s="2">
        <v>2</v>
      </c>
      <c r="C9" s="44"/>
      <c r="D9" s="3">
        <v>111502</v>
      </c>
      <c r="E9" s="5">
        <v>10236.222311028823</v>
      </c>
      <c r="F9" s="5">
        <v>0</v>
      </c>
      <c r="G9" s="5">
        <v>116195.42103831076</v>
      </c>
      <c r="H9" s="5">
        <f t="shared" si="4"/>
        <v>143324727.94233555</v>
      </c>
      <c r="I9" s="3">
        <f t="shared" ref="I9:I18" si="10">D9*4.07</f>
        <v>453813.14</v>
      </c>
      <c r="J9" s="3">
        <f t="shared" si="5"/>
        <v>559769431.92720008</v>
      </c>
      <c r="K9" s="3">
        <f t="shared" ref="K9:K18" si="11">E9*4.84</f>
        <v>49543.3159853795</v>
      </c>
      <c r="L9" s="3">
        <f t="shared" si="6"/>
        <v>61110689.401645906</v>
      </c>
      <c r="M9" s="3">
        <v>387160.85169954994</v>
      </c>
      <c r="N9" s="3">
        <f t="shared" si="7"/>
        <v>477555167.35436088</v>
      </c>
      <c r="O9" s="3">
        <f t="shared" ref="O9:O18" si="12">M9+G9</f>
        <v>503356.27273786068</v>
      </c>
      <c r="P9" s="3">
        <f t="shared" si="8"/>
        <v>620879895.29669642</v>
      </c>
      <c r="Q9" s="3">
        <f t="shared" ref="Q9:Q18" si="13">F9*15</f>
        <v>0</v>
      </c>
      <c r="R9" s="3">
        <f t="shared" si="9"/>
        <v>0</v>
      </c>
    </row>
    <row r="10" spans="1:18" x14ac:dyDescent="0.35">
      <c r="A10" s="44"/>
      <c r="B10" s="2">
        <v>3</v>
      </c>
      <c r="C10" s="44"/>
      <c r="D10" s="3">
        <v>111502</v>
      </c>
      <c r="E10" s="5">
        <v>15001.377822514176</v>
      </c>
      <c r="F10" s="5">
        <v>0</v>
      </c>
      <c r="G10" s="5">
        <v>0</v>
      </c>
      <c r="H10" s="5">
        <f t="shared" si="4"/>
        <v>0</v>
      </c>
      <c r="I10" s="3">
        <f t="shared" si="10"/>
        <v>453813.14</v>
      </c>
      <c r="J10" s="3">
        <f t="shared" si="5"/>
        <v>559769431.92720008</v>
      </c>
      <c r="K10" s="3">
        <f t="shared" si="11"/>
        <v>72606.668660968615</v>
      </c>
      <c r="L10" s="3">
        <f t="shared" si="6"/>
        <v>89558873.65993157</v>
      </c>
      <c r="M10" s="3">
        <v>526419.62541344995</v>
      </c>
      <c r="N10" s="3">
        <f t="shared" si="7"/>
        <v>649328079.5549823</v>
      </c>
      <c r="O10" s="3">
        <f t="shared" si="12"/>
        <v>526419.62541344995</v>
      </c>
      <c r="P10" s="3">
        <f t="shared" si="8"/>
        <v>649328079.5549823</v>
      </c>
      <c r="Q10" s="3">
        <f t="shared" si="13"/>
        <v>0</v>
      </c>
      <c r="R10" s="3">
        <f t="shared" si="9"/>
        <v>0</v>
      </c>
    </row>
    <row r="11" spans="1:18" x14ac:dyDescent="0.35">
      <c r="A11" s="44"/>
      <c r="B11" s="2">
        <v>4</v>
      </c>
      <c r="C11" s="44"/>
      <c r="D11" s="3">
        <v>111502</v>
      </c>
      <c r="E11" s="5">
        <v>54123.088786543136</v>
      </c>
      <c r="F11" s="5">
        <v>0</v>
      </c>
      <c r="G11" s="5">
        <v>0</v>
      </c>
      <c r="H11" s="5">
        <f t="shared" si="4"/>
        <v>0</v>
      </c>
      <c r="I11" s="3">
        <f t="shared" si="10"/>
        <v>453813.14</v>
      </c>
      <c r="J11" s="3">
        <f t="shared" si="5"/>
        <v>559769431.92720008</v>
      </c>
      <c r="K11" s="3">
        <f t="shared" si="11"/>
        <v>261955.74972686876</v>
      </c>
      <c r="L11" s="3">
        <f t="shared" si="6"/>
        <v>323117178.17309809</v>
      </c>
      <c r="M11" s="3">
        <v>715768.7064793501</v>
      </c>
      <c r="N11" s="3">
        <f t="shared" si="7"/>
        <v>882886384.06814873</v>
      </c>
      <c r="O11" s="3">
        <f t="shared" si="12"/>
        <v>715768.7064793501</v>
      </c>
      <c r="P11" s="3">
        <f t="shared" si="8"/>
        <v>882886384.06814873</v>
      </c>
      <c r="Q11" s="3">
        <f t="shared" si="13"/>
        <v>0</v>
      </c>
      <c r="R11" s="3">
        <f t="shared" si="9"/>
        <v>0</v>
      </c>
    </row>
    <row r="12" spans="1:18" x14ac:dyDescent="0.35">
      <c r="A12" s="44"/>
      <c r="B12" s="2">
        <v>5</v>
      </c>
      <c r="C12" s="44"/>
      <c r="D12" s="3">
        <v>111502</v>
      </c>
      <c r="E12" s="5">
        <v>134195.68041671583</v>
      </c>
      <c r="F12" s="5">
        <v>806.89678002422943</v>
      </c>
      <c r="G12" s="5">
        <v>0</v>
      </c>
      <c r="H12" s="5">
        <f t="shared" si="4"/>
        <v>0</v>
      </c>
      <c r="I12" s="3">
        <f t="shared" si="10"/>
        <v>453813.14</v>
      </c>
      <c r="J12" s="3">
        <f t="shared" si="5"/>
        <v>559769431.92720008</v>
      </c>
      <c r="K12" s="3">
        <f t="shared" si="11"/>
        <v>649507.09321690456</v>
      </c>
      <c r="L12" s="3">
        <f t="shared" si="6"/>
        <v>801154009.34118748</v>
      </c>
      <c r="M12" s="3">
        <v>1115423.5016697501</v>
      </c>
      <c r="N12" s="3">
        <f t="shared" si="7"/>
        <v>1375852580.8396034</v>
      </c>
      <c r="O12" s="3">
        <f t="shared" si="12"/>
        <v>1115423.5016697501</v>
      </c>
      <c r="P12" s="3">
        <f t="shared" si="8"/>
        <v>1375852580.8396034</v>
      </c>
      <c r="Q12" s="3">
        <f>F12*15</f>
        <v>12103.451700363441</v>
      </c>
      <c r="R12" s="3">
        <f t="shared" si="9"/>
        <v>14929365.603364298</v>
      </c>
    </row>
    <row r="13" spans="1:18" x14ac:dyDescent="0.35">
      <c r="H13" s="5"/>
      <c r="N13" s="3">
        <f t="shared" si="7"/>
        <v>0</v>
      </c>
    </row>
    <row r="14" spans="1:18" x14ac:dyDescent="0.35">
      <c r="A14" s="45" t="s">
        <v>16</v>
      </c>
      <c r="B14" s="2">
        <v>1</v>
      </c>
      <c r="C14" s="45">
        <v>1585</v>
      </c>
      <c r="D14" s="3">
        <v>109117</v>
      </c>
      <c r="E14" s="3">
        <v>4692.310792993736</v>
      </c>
      <c r="F14" s="5">
        <v>0</v>
      </c>
      <c r="G14" s="3">
        <v>218373.99554403758</v>
      </c>
      <c r="H14" s="5">
        <f t="shared" si="4"/>
        <v>269359956.02365947</v>
      </c>
      <c r="I14" s="3">
        <f t="shared" si="10"/>
        <v>444106.19</v>
      </c>
      <c r="J14" s="3">
        <f t="shared" si="5"/>
        <v>547796103.24119997</v>
      </c>
      <c r="K14" s="3">
        <f t="shared" si="11"/>
        <v>22710.78423808968</v>
      </c>
      <c r="L14" s="3">
        <f t="shared" si="6"/>
        <v>28013298.141998857</v>
      </c>
      <c r="M14" s="3">
        <v>248441.62029560001</v>
      </c>
      <c r="N14" s="3">
        <f t="shared" si="7"/>
        <v>306447769.80221671</v>
      </c>
      <c r="O14" s="3">
        <f t="shared" si="12"/>
        <v>466815.61583963758</v>
      </c>
      <c r="P14" s="3">
        <f t="shared" si="8"/>
        <v>575807725.82587612</v>
      </c>
      <c r="Q14" s="3">
        <f t="shared" si="13"/>
        <v>0</v>
      </c>
      <c r="R14" s="3">
        <f t="shared" si="9"/>
        <v>0</v>
      </c>
    </row>
    <row r="15" spans="1:18" x14ac:dyDescent="0.35">
      <c r="A15" s="45"/>
      <c r="B15" s="2">
        <v>2</v>
      </c>
      <c r="C15" s="45"/>
      <c r="D15" s="3">
        <v>109117</v>
      </c>
      <c r="E15" s="3">
        <v>4692.3124943905605</v>
      </c>
      <c r="F15" s="5">
        <v>0</v>
      </c>
      <c r="G15" s="3">
        <v>79654.772374848297</v>
      </c>
      <c r="H15" s="5">
        <f t="shared" si="4"/>
        <v>98252568.628927872</v>
      </c>
      <c r="I15" s="3">
        <f t="shared" si="10"/>
        <v>444106.19</v>
      </c>
      <c r="J15" s="3">
        <f t="shared" si="5"/>
        <v>547796103.24119997</v>
      </c>
      <c r="K15" s="3">
        <f t="shared" si="11"/>
        <v>22710.792472850313</v>
      </c>
      <c r="L15" s="3">
        <f t="shared" si="6"/>
        <v>28013308.299411405</v>
      </c>
      <c r="M15" s="3">
        <v>387160.85169954994</v>
      </c>
      <c r="N15" s="3">
        <f t="shared" si="7"/>
        <v>477555167.35436088</v>
      </c>
      <c r="O15" s="3">
        <f t="shared" si="12"/>
        <v>466815.62407439825</v>
      </c>
      <c r="P15" s="3">
        <f t="shared" si="8"/>
        <v>575807735.98328876</v>
      </c>
      <c r="Q15" s="3">
        <f t="shared" si="13"/>
        <v>0</v>
      </c>
      <c r="R15" s="3">
        <f t="shared" si="9"/>
        <v>0</v>
      </c>
    </row>
    <row r="16" spans="1:18" x14ac:dyDescent="0.35">
      <c r="A16" s="45"/>
      <c r="B16" s="2">
        <v>3</v>
      </c>
      <c r="C16" s="45"/>
      <c r="D16" s="3">
        <v>109117</v>
      </c>
      <c r="E16" s="3">
        <v>17007.18880411168</v>
      </c>
      <c r="F16" s="5">
        <v>0</v>
      </c>
      <c r="G16" s="3">
        <v>0</v>
      </c>
      <c r="H16" s="5">
        <f t="shared" si="4"/>
        <v>0</v>
      </c>
      <c r="I16" s="3">
        <f t="shared" si="10"/>
        <v>444106.19</v>
      </c>
      <c r="J16" s="3">
        <f t="shared" si="5"/>
        <v>547796103.24119997</v>
      </c>
      <c r="K16" s="3">
        <f t="shared" si="11"/>
        <v>82314.793811900527</v>
      </c>
      <c r="L16" s="3">
        <f t="shared" si="6"/>
        <v>101533651.87110306</v>
      </c>
      <c r="M16" s="3">
        <v>526419.62541344995</v>
      </c>
      <c r="N16" s="3">
        <f t="shared" si="7"/>
        <v>649328079.5549823</v>
      </c>
      <c r="O16" s="3">
        <f t="shared" si="12"/>
        <v>526419.62541344995</v>
      </c>
      <c r="P16" s="3">
        <f t="shared" si="8"/>
        <v>649328079.5549823</v>
      </c>
      <c r="Q16" s="3">
        <f t="shared" si="13"/>
        <v>0</v>
      </c>
      <c r="R16" s="3">
        <f t="shared" si="9"/>
        <v>0</v>
      </c>
    </row>
    <row r="17" spans="1:18" x14ac:dyDescent="0.35">
      <c r="A17" s="45"/>
      <c r="B17" s="2">
        <v>4</v>
      </c>
      <c r="C17" s="45"/>
      <c r="D17" s="3">
        <v>109117</v>
      </c>
      <c r="E17" s="3">
        <v>56128.899768140647</v>
      </c>
      <c r="F17" s="5">
        <v>0</v>
      </c>
      <c r="G17" s="3">
        <v>0</v>
      </c>
      <c r="H17" s="5">
        <f t="shared" si="4"/>
        <v>0</v>
      </c>
      <c r="I17" s="3">
        <f t="shared" si="10"/>
        <v>444106.19</v>
      </c>
      <c r="J17" s="3">
        <f t="shared" si="5"/>
        <v>547796103.24119997</v>
      </c>
      <c r="K17" s="3">
        <f t="shared" si="11"/>
        <v>271663.8748778007</v>
      </c>
      <c r="L17" s="3">
        <f t="shared" si="6"/>
        <v>335091956.3842696</v>
      </c>
      <c r="M17" s="3">
        <v>715768.7064793501</v>
      </c>
      <c r="N17" s="3">
        <f t="shared" si="7"/>
        <v>882886384.06814873</v>
      </c>
      <c r="O17" s="3">
        <f t="shared" si="12"/>
        <v>715768.7064793501</v>
      </c>
      <c r="P17" s="3">
        <f t="shared" si="8"/>
        <v>882886384.06814873</v>
      </c>
      <c r="Q17" s="3">
        <f t="shared" si="13"/>
        <v>0</v>
      </c>
      <c r="R17" s="3">
        <f t="shared" si="9"/>
        <v>0</v>
      </c>
    </row>
    <row r="18" spans="1:18" x14ac:dyDescent="0.35">
      <c r="A18" s="45"/>
      <c r="B18" s="2">
        <v>5</v>
      </c>
      <c r="C18" s="45"/>
      <c r="D18" s="3">
        <v>109117</v>
      </c>
      <c r="E18" s="3">
        <v>128651.76047861451</v>
      </c>
      <c r="F18" s="5">
        <v>3242.9432901131645</v>
      </c>
      <c r="G18" s="3">
        <v>0</v>
      </c>
      <c r="H18" s="5">
        <f t="shared" si="4"/>
        <v>0</v>
      </c>
      <c r="I18" s="3">
        <f t="shared" si="10"/>
        <v>444106.19</v>
      </c>
      <c r="J18" s="3">
        <f t="shared" si="5"/>
        <v>547796103.24119997</v>
      </c>
      <c r="K18" s="3">
        <f t="shared" si="11"/>
        <v>622674.52071649418</v>
      </c>
      <c r="L18" s="3">
        <f t="shared" si="6"/>
        <v>768056567.81338131</v>
      </c>
      <c r="M18" s="3">
        <v>1115423.5016697501</v>
      </c>
      <c r="N18" s="3">
        <f t="shared" si="7"/>
        <v>1375852580.8396034</v>
      </c>
      <c r="O18" s="3">
        <f t="shared" si="12"/>
        <v>1115423.5016697501</v>
      </c>
      <c r="P18" s="3">
        <f t="shared" si="8"/>
        <v>1375852580.8396034</v>
      </c>
      <c r="Q18" s="3">
        <f t="shared" si="13"/>
        <v>48644.149351697466</v>
      </c>
      <c r="R18" s="3">
        <f t="shared" si="9"/>
        <v>60001585.342331789</v>
      </c>
    </row>
  </sheetData>
  <mergeCells count="6">
    <mergeCell ref="A2:A6"/>
    <mergeCell ref="A8:A12"/>
    <mergeCell ref="A14:A18"/>
    <mergeCell ref="C2:C6"/>
    <mergeCell ref="C8:C12"/>
    <mergeCell ref="C14:C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74A6-6E14-434D-B9C4-ABAE383D6578}">
  <dimension ref="A1:I13"/>
  <sheetViews>
    <sheetView tabSelected="1" workbookViewId="0">
      <selection activeCell="H24" sqref="H24"/>
    </sheetView>
  </sheetViews>
  <sheetFormatPr defaultRowHeight="14.5" x14ac:dyDescent="0.35"/>
  <cols>
    <col min="2" max="2" width="11.453125" bestFit="1" customWidth="1"/>
    <col min="3" max="3" width="13.26953125" style="1" bestFit="1" customWidth="1"/>
    <col min="5" max="5" width="13.26953125" style="1" bestFit="1" customWidth="1"/>
    <col min="6" max="6" width="11.453125" bestFit="1" customWidth="1"/>
    <col min="7" max="7" width="10.7265625" style="1" bestFit="1" customWidth="1"/>
    <col min="9" max="9" width="10.7265625" style="1" bestFit="1" customWidth="1"/>
  </cols>
  <sheetData>
    <row r="1" spans="1:9" x14ac:dyDescent="0.35">
      <c r="A1">
        <v>12</v>
      </c>
      <c r="B1" t="s">
        <v>9</v>
      </c>
      <c r="F1" t="s">
        <v>0</v>
      </c>
    </row>
    <row r="2" spans="1:9" x14ac:dyDescent="0.35">
      <c r="A2" t="s">
        <v>17</v>
      </c>
      <c r="B2" t="s">
        <v>114</v>
      </c>
      <c r="C2" s="1" t="s">
        <v>103</v>
      </c>
      <c r="D2" t="s">
        <v>18</v>
      </c>
      <c r="E2" s="1" t="s">
        <v>103</v>
      </c>
      <c r="F2" t="s">
        <v>115</v>
      </c>
      <c r="G2" s="1" t="s">
        <v>116</v>
      </c>
      <c r="H2" t="s">
        <v>18</v>
      </c>
      <c r="I2" s="1" t="s">
        <v>116</v>
      </c>
    </row>
    <row r="3" spans="1:9" x14ac:dyDescent="0.35">
      <c r="A3">
        <v>0</v>
      </c>
      <c r="B3">
        <v>12</v>
      </c>
      <c r="C3" s="1">
        <f>B3*10^6*1233.48</f>
        <v>14801760000</v>
      </c>
      <c r="D3">
        <v>12</v>
      </c>
      <c r="E3" s="1">
        <f>D3*10^6*1233.48</f>
        <v>14801760000</v>
      </c>
    </row>
    <row r="4" spans="1:9" x14ac:dyDescent="0.35">
      <c r="A4">
        <v>1</v>
      </c>
      <c r="B4">
        <v>10.5</v>
      </c>
      <c r="C4" s="1">
        <f t="shared" ref="C4:C13" si="0">B4*10^6*1233.48</f>
        <v>12951540000</v>
      </c>
      <c r="D4">
        <v>10</v>
      </c>
      <c r="E4" s="1">
        <f t="shared" ref="E4:E13" si="1">D4*10^6*1233.48</f>
        <v>12334800000</v>
      </c>
      <c r="F4">
        <v>150000</v>
      </c>
      <c r="G4" s="1">
        <f>F4*4046.86</f>
        <v>607029000</v>
      </c>
      <c r="H4">
        <v>150000</v>
      </c>
      <c r="I4" s="1">
        <f>H4*4046.86</f>
        <v>607029000</v>
      </c>
    </row>
    <row r="5" spans="1:9" x14ac:dyDescent="0.35">
      <c r="A5">
        <v>2</v>
      </c>
      <c r="B5">
        <v>9.5</v>
      </c>
      <c r="C5" s="1">
        <f t="shared" si="0"/>
        <v>11718060000</v>
      </c>
      <c r="D5">
        <v>9</v>
      </c>
      <c r="E5" s="1">
        <f t="shared" si="1"/>
        <v>11101320000</v>
      </c>
      <c r="F5">
        <v>150000</v>
      </c>
      <c r="G5" s="1">
        <f t="shared" ref="G5:G13" si="2">F5*4046.86</f>
        <v>607029000</v>
      </c>
      <c r="H5">
        <v>150000</v>
      </c>
      <c r="I5" s="1">
        <f t="shared" ref="I5:I13" si="3">H5*4046.86</f>
        <v>607029000</v>
      </c>
    </row>
    <row r="6" spans="1:9" x14ac:dyDescent="0.35">
      <c r="A6">
        <v>3</v>
      </c>
      <c r="B6">
        <v>8.5</v>
      </c>
      <c r="C6" s="1">
        <f t="shared" si="0"/>
        <v>10484580000</v>
      </c>
      <c r="D6">
        <v>8.5</v>
      </c>
      <c r="E6" s="1">
        <f t="shared" si="1"/>
        <v>10484580000</v>
      </c>
      <c r="F6">
        <v>150000</v>
      </c>
      <c r="G6" s="1">
        <f t="shared" si="2"/>
        <v>607029000</v>
      </c>
      <c r="H6">
        <v>150000</v>
      </c>
      <c r="I6" s="1">
        <f t="shared" si="3"/>
        <v>607029000</v>
      </c>
    </row>
    <row r="7" spans="1:9" x14ac:dyDescent="0.35">
      <c r="A7">
        <v>4</v>
      </c>
      <c r="B7">
        <v>8</v>
      </c>
      <c r="C7" s="1">
        <f t="shared" si="0"/>
        <v>9867840000</v>
      </c>
      <c r="D7">
        <v>8</v>
      </c>
      <c r="E7" s="1">
        <f t="shared" si="1"/>
        <v>9867840000</v>
      </c>
      <c r="F7">
        <v>140000</v>
      </c>
      <c r="G7" s="1">
        <f t="shared" si="2"/>
        <v>566560400</v>
      </c>
      <c r="H7">
        <v>150000</v>
      </c>
      <c r="I7" s="1">
        <f t="shared" si="3"/>
        <v>607029000</v>
      </c>
    </row>
    <row r="8" spans="1:9" x14ac:dyDescent="0.35">
      <c r="A8">
        <v>5</v>
      </c>
      <c r="B8">
        <v>8</v>
      </c>
      <c r="C8" s="1">
        <f t="shared" si="0"/>
        <v>9867840000</v>
      </c>
      <c r="D8">
        <v>8</v>
      </c>
      <c r="E8" s="1">
        <f t="shared" si="1"/>
        <v>9867840000</v>
      </c>
      <c r="F8">
        <v>130000</v>
      </c>
      <c r="G8" s="1">
        <f t="shared" si="2"/>
        <v>526091800</v>
      </c>
      <c r="H8">
        <v>150000</v>
      </c>
      <c r="I8" s="1">
        <f t="shared" si="3"/>
        <v>607029000</v>
      </c>
    </row>
    <row r="9" spans="1:9" x14ac:dyDescent="0.35">
      <c r="A9">
        <v>6</v>
      </c>
      <c r="B9">
        <v>8</v>
      </c>
      <c r="C9" s="1">
        <f t="shared" si="0"/>
        <v>9867840000</v>
      </c>
      <c r="D9">
        <v>8</v>
      </c>
      <c r="E9" s="1">
        <f t="shared" si="1"/>
        <v>9867840000</v>
      </c>
      <c r="F9">
        <v>130000</v>
      </c>
      <c r="G9" s="1">
        <f t="shared" si="2"/>
        <v>526091800</v>
      </c>
      <c r="H9">
        <v>150000</v>
      </c>
      <c r="I9" s="1">
        <f t="shared" si="3"/>
        <v>607029000</v>
      </c>
    </row>
    <row r="10" spans="1:9" x14ac:dyDescent="0.35">
      <c r="A10">
        <v>7</v>
      </c>
      <c r="B10">
        <v>8</v>
      </c>
      <c r="C10" s="1">
        <f t="shared" si="0"/>
        <v>9867840000</v>
      </c>
      <c r="D10">
        <v>8</v>
      </c>
      <c r="E10" s="1">
        <f t="shared" si="1"/>
        <v>9867840000</v>
      </c>
      <c r="F10">
        <v>130000</v>
      </c>
      <c r="G10" s="1">
        <f t="shared" si="2"/>
        <v>526091800</v>
      </c>
      <c r="H10">
        <v>150000</v>
      </c>
      <c r="I10" s="1">
        <f t="shared" si="3"/>
        <v>607029000</v>
      </c>
    </row>
    <row r="11" spans="1:9" x14ac:dyDescent="0.35">
      <c r="A11">
        <v>8</v>
      </c>
      <c r="B11">
        <v>8</v>
      </c>
      <c r="C11" s="1">
        <f t="shared" si="0"/>
        <v>9867840000</v>
      </c>
      <c r="D11">
        <v>8</v>
      </c>
      <c r="E11" s="1">
        <f t="shared" si="1"/>
        <v>9867840000</v>
      </c>
      <c r="F11">
        <v>130000</v>
      </c>
      <c r="G11" s="1">
        <f t="shared" si="2"/>
        <v>526091800</v>
      </c>
      <c r="H11">
        <v>150000</v>
      </c>
      <c r="I11" s="1">
        <f t="shared" si="3"/>
        <v>607029000</v>
      </c>
    </row>
    <row r="12" spans="1:9" x14ac:dyDescent="0.35">
      <c r="A12">
        <v>9</v>
      </c>
      <c r="B12">
        <v>8</v>
      </c>
      <c r="C12" s="1">
        <f t="shared" si="0"/>
        <v>9867840000</v>
      </c>
      <c r="D12">
        <v>8</v>
      </c>
      <c r="E12" s="1">
        <f t="shared" si="1"/>
        <v>9867840000</v>
      </c>
      <c r="F12">
        <v>130000</v>
      </c>
      <c r="G12" s="1">
        <f t="shared" si="2"/>
        <v>526091800</v>
      </c>
      <c r="H12">
        <v>150000</v>
      </c>
      <c r="I12" s="1">
        <f t="shared" si="3"/>
        <v>607029000</v>
      </c>
    </row>
    <row r="13" spans="1:9" x14ac:dyDescent="0.35">
      <c r="A13">
        <v>10</v>
      </c>
      <c r="B13">
        <v>10</v>
      </c>
      <c r="C13" s="1">
        <f t="shared" si="0"/>
        <v>12334800000</v>
      </c>
      <c r="D13">
        <v>10</v>
      </c>
      <c r="E13" s="1">
        <f t="shared" si="1"/>
        <v>12334800000</v>
      </c>
      <c r="F13">
        <v>80000</v>
      </c>
      <c r="G13" s="1">
        <f t="shared" si="2"/>
        <v>323748800</v>
      </c>
      <c r="H13">
        <v>100000</v>
      </c>
      <c r="I13" s="1">
        <f t="shared" si="3"/>
        <v>404686000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477A8-F3FD-45E3-932E-6DBD5DA50F33}">
  <dimension ref="A1:P71"/>
  <sheetViews>
    <sheetView workbookViewId="0">
      <selection activeCell="P31" sqref="P31"/>
    </sheetView>
  </sheetViews>
  <sheetFormatPr defaultRowHeight="14.5" x14ac:dyDescent="0.35"/>
  <cols>
    <col min="1" max="1" width="21.90625" bestFit="1" customWidth="1"/>
    <col min="2" max="2" width="10.81640625" style="1" bestFit="1" customWidth="1"/>
    <col min="3" max="3" width="12.453125" customWidth="1"/>
    <col min="4" max="4" width="11.81640625" customWidth="1"/>
    <col min="5" max="5" width="10.1796875" customWidth="1"/>
    <col min="6" max="6" width="16.453125" customWidth="1"/>
    <col min="7" max="7" width="15.81640625" bestFit="1" customWidth="1"/>
    <col min="8" max="9" width="11.81640625" bestFit="1" customWidth="1"/>
    <col min="10" max="10" width="12.54296875" bestFit="1" customWidth="1"/>
    <col min="11" max="11" width="12.453125" bestFit="1" customWidth="1"/>
    <col min="12" max="12" width="11.26953125" bestFit="1" customWidth="1"/>
    <col min="15" max="16" width="12.90625" bestFit="1" customWidth="1"/>
  </cols>
  <sheetData>
    <row r="1" spans="1:16" x14ac:dyDescent="0.35">
      <c r="A1" s="8" t="s">
        <v>31</v>
      </c>
      <c r="B1" s="9">
        <v>10000000</v>
      </c>
      <c r="C1" t="s">
        <v>22</v>
      </c>
      <c r="D1" t="s">
        <v>32</v>
      </c>
      <c r="E1" t="s">
        <v>33</v>
      </c>
      <c r="G1" s="10" t="s">
        <v>34</v>
      </c>
      <c r="H1" s="11" t="s">
        <v>0</v>
      </c>
      <c r="I1" s="11">
        <v>116282.64547241412</v>
      </c>
      <c r="J1" s="11"/>
    </row>
    <row r="2" spans="1:16" x14ac:dyDescent="0.35">
      <c r="A2" s="8" t="s">
        <v>35</v>
      </c>
      <c r="B2" s="9">
        <v>10000000</v>
      </c>
      <c r="C2" t="s">
        <v>36</v>
      </c>
      <c r="D2" s="12">
        <f>19875.329623648*2.5*5</f>
        <v>248441.62029559998</v>
      </c>
      <c r="E2" s="7">
        <v>0.2</v>
      </c>
      <c r="G2" s="10" t="s">
        <v>22</v>
      </c>
      <c r="H2" s="11" t="s">
        <v>1</v>
      </c>
      <c r="I2" s="11" t="s">
        <v>2</v>
      </c>
      <c r="J2" s="11" t="s">
        <v>5</v>
      </c>
    </row>
    <row r="3" spans="1:16" x14ac:dyDescent="0.35">
      <c r="A3" t="s">
        <v>37</v>
      </c>
      <c r="B3" s="13">
        <v>3.5000000000000003E-2</v>
      </c>
      <c r="C3" t="s">
        <v>38</v>
      </c>
      <c r="D3" s="12">
        <f>30972.868135964*2.5*5</f>
        <v>387160.85169954994</v>
      </c>
      <c r="E3" s="7">
        <v>0.2</v>
      </c>
      <c r="G3" s="10" t="s">
        <v>36</v>
      </c>
      <c r="H3" s="14">
        <v>18624.33095085992</v>
      </c>
      <c r="I3" s="14">
        <v>0</v>
      </c>
      <c r="J3" s="14">
        <v>314970.50857928797</v>
      </c>
      <c r="K3">
        <f>I3*J3</f>
        <v>0</v>
      </c>
      <c r="O3" s="1"/>
      <c r="P3" s="1"/>
    </row>
    <row r="4" spans="1:16" x14ac:dyDescent="0.35">
      <c r="A4" t="s">
        <v>39</v>
      </c>
      <c r="B4" s="12">
        <v>4226.68</v>
      </c>
      <c r="C4" t="s">
        <v>40</v>
      </c>
      <c r="D4" s="12">
        <f>42113.570033076*2.5*5</f>
        <v>526419.62541344995</v>
      </c>
      <c r="E4" s="7">
        <v>0.2</v>
      </c>
      <c r="G4" s="10" t="s">
        <v>38</v>
      </c>
      <c r="H4" s="14">
        <v>18624.33095085992</v>
      </c>
      <c r="I4" s="14">
        <v>0</v>
      </c>
      <c r="J4" s="14">
        <v>176251.27717533804</v>
      </c>
      <c r="K4">
        <f t="shared" ref="K4:K7" si="0">I4*J4</f>
        <v>0</v>
      </c>
      <c r="O4" s="1"/>
    </row>
    <row r="5" spans="1:16" x14ac:dyDescent="0.35">
      <c r="A5" t="s">
        <v>41</v>
      </c>
      <c r="B5" s="1">
        <v>1</v>
      </c>
      <c r="C5" t="s">
        <v>42</v>
      </c>
      <c r="D5" s="12">
        <f>57261.496518348*2.5*5</f>
        <v>715768.7064793501</v>
      </c>
      <c r="E5" s="7">
        <v>0.2</v>
      </c>
      <c r="G5" s="10" t="s">
        <v>40</v>
      </c>
      <c r="H5" s="14">
        <v>18624.33095085992</v>
      </c>
      <c r="I5" s="14">
        <v>0</v>
      </c>
      <c r="J5" s="14">
        <v>36992.503461438027</v>
      </c>
      <c r="K5">
        <f t="shared" si="0"/>
        <v>0</v>
      </c>
      <c r="O5" s="1"/>
    </row>
    <row r="6" spans="1:16" x14ac:dyDescent="0.35">
      <c r="A6" t="s">
        <v>43</v>
      </c>
      <c r="B6" s="12">
        <v>1502.85</v>
      </c>
      <c r="C6" t="s">
        <v>44</v>
      </c>
      <c r="D6" s="12">
        <f>89233.88013358*2.5*5</f>
        <v>1115423.5016697501</v>
      </c>
      <c r="E6" s="7">
        <v>0.2</v>
      </c>
      <c r="G6" s="10" t="s">
        <v>42</v>
      </c>
      <c r="H6" s="14">
        <v>50102.962687319028</v>
      </c>
      <c r="I6" s="14">
        <v>0</v>
      </c>
      <c r="J6" s="14">
        <v>0</v>
      </c>
      <c r="K6">
        <f t="shared" si="0"/>
        <v>0</v>
      </c>
      <c r="O6" s="1"/>
    </row>
    <row r="7" spans="1:16" x14ac:dyDescent="0.35">
      <c r="A7" t="s">
        <v>45</v>
      </c>
      <c r="B7" s="15">
        <v>7.9500000000000005E-3</v>
      </c>
      <c r="C7" t="s">
        <v>46</v>
      </c>
      <c r="D7">
        <f>SUMPRODUCT(D2:D6,E2:E6)/1000</f>
        <v>598.64286111154001</v>
      </c>
      <c r="G7" s="10" t="s">
        <v>44</v>
      </c>
      <c r="H7" s="14">
        <v>132676.26747872395</v>
      </c>
      <c r="I7" s="14">
        <v>0</v>
      </c>
      <c r="J7" s="14">
        <v>0</v>
      </c>
      <c r="K7">
        <f t="shared" si="0"/>
        <v>0</v>
      </c>
    </row>
    <row r="8" spans="1:16" x14ac:dyDescent="0.35">
      <c r="A8" t="s">
        <v>47</v>
      </c>
      <c r="B8" s="12">
        <v>4.07</v>
      </c>
      <c r="H8" s="1">
        <f>SUMPRODUCT($E$2:$E$6,H3:H7)*5</f>
        <v>238652.22301862275</v>
      </c>
      <c r="I8" s="1">
        <f t="shared" ref="I8:J8" si="1">SUMPRODUCT($E$2:$E$6,I3:I7)*5</f>
        <v>0</v>
      </c>
      <c r="J8" s="1">
        <f t="shared" si="1"/>
        <v>528214.28921606403</v>
      </c>
      <c r="O8" s="16"/>
    </row>
    <row r="9" spans="1:16" x14ac:dyDescent="0.35">
      <c r="A9" t="s">
        <v>48</v>
      </c>
      <c r="B9" s="1">
        <v>12000</v>
      </c>
      <c r="F9" s="17" t="s">
        <v>49</v>
      </c>
      <c r="G9" s="18">
        <f>-J21+G22-H29+K36</f>
        <v>-1663211430.130738</v>
      </c>
    </row>
    <row r="10" spans="1:16" ht="14.5" customHeight="1" x14ac:dyDescent="0.35">
      <c r="A10" t="s">
        <v>50</v>
      </c>
      <c r="B10" s="12">
        <v>157.28</v>
      </c>
      <c r="F10" s="46" t="s">
        <v>51</v>
      </c>
      <c r="G10" s="19" t="s">
        <v>52</v>
      </c>
      <c r="H10" s="19" t="s">
        <v>53</v>
      </c>
      <c r="I10" s="19" t="s">
        <v>54</v>
      </c>
      <c r="J10" s="19" t="s">
        <v>55</v>
      </c>
    </row>
    <row r="11" spans="1:16" x14ac:dyDescent="0.35">
      <c r="A11" t="s">
        <v>56</v>
      </c>
      <c r="B11" s="1">
        <v>8</v>
      </c>
      <c r="F11" s="46"/>
      <c r="G11" s="19">
        <v>1</v>
      </c>
      <c r="H11" s="19">
        <f>1/(1+$B$3)^($B$23*$B$24+G11)</f>
        <v>0.96618357487922713</v>
      </c>
      <c r="I11" s="20">
        <f>$I$1</f>
        <v>116282.64547241412</v>
      </c>
      <c r="J11" s="21">
        <f>H11*($B$4*$B$5*I11-($B$6+0.5*$B$7*I11)*I11)</f>
        <v>254092352.66263264</v>
      </c>
      <c r="O11" s="16"/>
    </row>
    <row r="12" spans="1:16" x14ac:dyDescent="0.35">
      <c r="A12" t="s">
        <v>57</v>
      </c>
      <c r="B12" s="1">
        <v>635.91</v>
      </c>
      <c r="F12" s="46"/>
      <c r="G12" s="19">
        <v>2</v>
      </c>
      <c r="H12" s="19">
        <f t="shared" ref="H12:H20" si="2">1/(1+$B$3)^($B$23*$B$24+G12)</f>
        <v>0.93351070036640305</v>
      </c>
      <c r="I12" s="20">
        <f t="shared" ref="I12:I19" si="3">$I$1</f>
        <v>116282.64547241412</v>
      </c>
      <c r="J12" s="21">
        <f t="shared" ref="J12:J20" si="4">H12*($B$4*$B$5*I12-($B$6+0.5*$B$7*I12)*I12)</f>
        <v>245499857.64505571</v>
      </c>
    </row>
    <row r="13" spans="1:16" x14ac:dyDescent="0.35">
      <c r="A13" t="s">
        <v>58</v>
      </c>
      <c r="B13" s="15">
        <v>2.941E-3</v>
      </c>
      <c r="F13" s="46"/>
      <c r="G13" s="19">
        <v>3</v>
      </c>
      <c r="H13" s="19">
        <f t="shared" si="2"/>
        <v>0.90194270566802237</v>
      </c>
      <c r="I13" s="20">
        <f t="shared" si="3"/>
        <v>116282.64547241412</v>
      </c>
      <c r="J13" s="21">
        <f t="shared" si="4"/>
        <v>237197930.09184128</v>
      </c>
      <c r="O13" s="1"/>
      <c r="P13" s="1"/>
    </row>
    <row r="14" spans="1:16" x14ac:dyDescent="0.35">
      <c r="A14" t="s">
        <v>59</v>
      </c>
      <c r="B14" s="12">
        <v>4.84</v>
      </c>
      <c r="F14" s="46"/>
      <c r="G14" s="19">
        <v>4</v>
      </c>
      <c r="H14" s="19">
        <f t="shared" si="2"/>
        <v>0.87144222769857238</v>
      </c>
      <c r="I14" s="20">
        <f t="shared" si="3"/>
        <v>116282.64547241412</v>
      </c>
      <c r="J14" s="21">
        <f t="shared" si="4"/>
        <v>229176744.05008823</v>
      </c>
    </row>
    <row r="15" spans="1:16" x14ac:dyDescent="0.35">
      <c r="A15" s="22" t="s">
        <v>60</v>
      </c>
      <c r="B15" s="23">
        <v>50</v>
      </c>
      <c r="F15" s="46"/>
      <c r="G15" s="19">
        <v>5</v>
      </c>
      <c r="H15" s="19">
        <f t="shared" si="2"/>
        <v>0.84197316685852419</v>
      </c>
      <c r="I15" s="20">
        <f t="shared" si="3"/>
        <v>116282.64547241412</v>
      </c>
      <c r="J15" s="21">
        <f t="shared" si="4"/>
        <v>221426805.84549591</v>
      </c>
    </row>
    <row r="16" spans="1:16" x14ac:dyDescent="0.35">
      <c r="A16" t="s">
        <v>61</v>
      </c>
      <c r="B16" s="1">
        <v>300</v>
      </c>
      <c r="F16" s="46"/>
      <c r="G16" s="19">
        <v>6</v>
      </c>
      <c r="H16" s="19">
        <f t="shared" si="2"/>
        <v>0.81350064430775282</v>
      </c>
      <c r="I16" s="20">
        <f t="shared" si="3"/>
        <v>116282.64547241412</v>
      </c>
      <c r="J16" s="21">
        <f t="shared" si="4"/>
        <v>213938942.84588975</v>
      </c>
    </row>
    <row r="17" spans="1:12" x14ac:dyDescent="0.35">
      <c r="A17" t="s">
        <v>62</v>
      </c>
      <c r="B17" s="1">
        <v>42</v>
      </c>
      <c r="F17" s="46"/>
      <c r="G17" s="19">
        <v>7</v>
      </c>
      <c r="H17" s="19">
        <f t="shared" si="2"/>
        <v>0.78599096068381913</v>
      </c>
      <c r="I17" s="20">
        <f t="shared" si="3"/>
        <v>116282.64547241412</v>
      </c>
      <c r="J17" s="21">
        <f t="shared" si="4"/>
        <v>206704292.60472441</v>
      </c>
    </row>
    <row r="18" spans="1:12" x14ac:dyDescent="0.35">
      <c r="A18" t="s">
        <v>63</v>
      </c>
      <c r="B18" s="1">
        <v>30</v>
      </c>
      <c r="F18" s="46"/>
      <c r="G18" s="19">
        <v>8</v>
      </c>
      <c r="H18" s="19">
        <f t="shared" si="2"/>
        <v>0.75941155621625056</v>
      </c>
      <c r="I18" s="20">
        <f t="shared" si="3"/>
        <v>116282.64547241412</v>
      </c>
      <c r="J18" s="21">
        <f t="shared" si="4"/>
        <v>199714292.37171444</v>
      </c>
    </row>
    <row r="19" spans="1:12" x14ac:dyDescent="0.35">
      <c r="A19" t="s">
        <v>64</v>
      </c>
      <c r="B19" s="24">
        <v>500000</v>
      </c>
      <c r="F19" s="46"/>
      <c r="G19" s="19">
        <v>9</v>
      </c>
      <c r="H19" s="19">
        <f t="shared" si="2"/>
        <v>0.73373097218961414</v>
      </c>
      <c r="I19" s="20">
        <f t="shared" si="3"/>
        <v>116282.64547241412</v>
      </c>
      <c r="J19" s="21">
        <f t="shared" si="4"/>
        <v>192960668.95817822</v>
      </c>
    </row>
    <row r="20" spans="1:12" x14ac:dyDescent="0.35">
      <c r="A20" t="s">
        <v>65</v>
      </c>
      <c r="B20" s="1">
        <v>15</v>
      </c>
      <c r="F20" s="46"/>
      <c r="G20" s="19">
        <v>10</v>
      </c>
      <c r="H20" s="19">
        <f t="shared" si="2"/>
        <v>0.70891881370977217</v>
      </c>
      <c r="I20" s="20">
        <f>$I$1</f>
        <v>116282.64547241412</v>
      </c>
      <c r="J20" s="21">
        <f t="shared" si="4"/>
        <v>186435428.94509974</v>
      </c>
    </row>
    <row r="21" spans="1:12" x14ac:dyDescent="0.35">
      <c r="A21" t="s">
        <v>66</v>
      </c>
      <c r="B21" s="12">
        <v>0.15</v>
      </c>
      <c r="F21" s="46"/>
      <c r="G21" s="19"/>
      <c r="H21" s="25"/>
      <c r="I21" s="26" t="s">
        <v>67</v>
      </c>
      <c r="J21" s="27">
        <f>SUM(J11:J20)</f>
        <v>2187147316.0207205</v>
      </c>
      <c r="K21">
        <f>B39*($B$4*$B$5*I1-($B$6+0.5*$B$7*I1)*I1)</f>
        <v>2187147316.0207148</v>
      </c>
      <c r="L21" s="1">
        <f>J21-K21</f>
        <v>5.7220458984375E-6</v>
      </c>
    </row>
    <row r="22" spans="1:12" x14ac:dyDescent="0.35">
      <c r="A22" t="s">
        <v>68</v>
      </c>
      <c r="B22" s="24">
        <f>40000*2.5*5</f>
        <v>500000</v>
      </c>
      <c r="F22" s="28" t="s">
        <v>69</v>
      </c>
      <c r="G22" s="29">
        <f>MAX(I1-$B$25,0)*$B$9/(1+$B$3)^(B23*B24+1)</f>
        <v>478639367.7961058</v>
      </c>
    </row>
    <row r="23" spans="1:12" x14ac:dyDescent="0.35">
      <c r="A23" s="8" t="s">
        <v>70</v>
      </c>
      <c r="B23" s="30">
        <v>0</v>
      </c>
      <c r="F23" s="46" t="s">
        <v>71</v>
      </c>
      <c r="G23" s="19" t="s">
        <v>22</v>
      </c>
      <c r="H23" s="19" t="s">
        <v>55</v>
      </c>
    </row>
    <row r="24" spans="1:12" x14ac:dyDescent="0.35">
      <c r="A24" t="s">
        <v>72</v>
      </c>
      <c r="B24" s="1">
        <v>10</v>
      </c>
      <c r="F24" s="46"/>
      <c r="G24" s="19" t="s">
        <v>36</v>
      </c>
      <c r="H24" s="31">
        <f>$B$10*$B$11*H3-($B$12+0.5*$B$13*H3)*H3</f>
        <v>11080413.863847245</v>
      </c>
    </row>
    <row r="25" spans="1:12" x14ac:dyDescent="0.35">
      <c r="A25" s="8" t="s">
        <v>73</v>
      </c>
      <c r="B25" s="30">
        <v>75000</v>
      </c>
      <c r="F25" s="46"/>
      <c r="G25" s="19" t="s">
        <v>38</v>
      </c>
      <c r="H25" s="31">
        <f>$B$10*$B$11*H4-($B$12+0.5*$B$13*H4)*H4</f>
        <v>11080413.863847245</v>
      </c>
    </row>
    <row r="26" spans="1:12" x14ac:dyDescent="0.35">
      <c r="A26" t="s">
        <v>74</v>
      </c>
      <c r="B26" s="12">
        <v>0.05</v>
      </c>
      <c r="F26" s="46"/>
      <c r="G26" s="19" t="s">
        <v>40</v>
      </c>
      <c r="H26" s="31">
        <f t="shared" ref="H26:H28" si="5">$B$10*$B$11*H5-($B$12+0.5*$B$13*H5)*H5</f>
        <v>11080413.863847245</v>
      </c>
    </row>
    <row r="27" spans="1:12" x14ac:dyDescent="0.35">
      <c r="A27" s="22" t="s">
        <v>75</v>
      </c>
      <c r="B27" s="32">
        <v>2.5</v>
      </c>
      <c r="F27" s="46"/>
      <c r="G27" s="19" t="s">
        <v>42</v>
      </c>
      <c r="H27" s="31">
        <f t="shared" si="5"/>
        <v>27489170.516795307</v>
      </c>
      <c r="K27" s="33"/>
    </row>
    <row r="28" spans="1:12" x14ac:dyDescent="0.35">
      <c r="A28" s="34" t="s">
        <v>76</v>
      </c>
      <c r="B28" s="35">
        <v>200</v>
      </c>
      <c r="F28" s="46"/>
      <c r="G28" s="19" t="s">
        <v>44</v>
      </c>
      <c r="H28" s="31">
        <f t="shared" si="5"/>
        <v>56683221.87449196</v>
      </c>
    </row>
    <row r="29" spans="1:12" x14ac:dyDescent="0.35">
      <c r="A29" s="34" t="s">
        <v>77</v>
      </c>
      <c r="B29" s="36">
        <f>0.1</f>
        <v>0.1</v>
      </c>
      <c r="F29" s="46"/>
      <c r="G29" s="26" t="s">
        <v>67</v>
      </c>
      <c r="H29" s="37">
        <f>SUMPRODUCT($E$2:$E$6,$H$24:$H$28)*$B$39</f>
        <v>195296570.66496268</v>
      </c>
    </row>
    <row r="30" spans="1:12" x14ac:dyDescent="0.35">
      <c r="A30" s="34" t="s">
        <v>78</v>
      </c>
      <c r="B30" s="35">
        <f>B19*B28*B29</f>
        <v>10000000</v>
      </c>
      <c r="F30" s="47" t="s">
        <v>79</v>
      </c>
      <c r="G30" s="38" t="s">
        <v>22</v>
      </c>
      <c r="H30" s="39" t="s">
        <v>80</v>
      </c>
      <c r="I30" s="38" t="s">
        <v>81</v>
      </c>
      <c r="J30" s="38" t="s">
        <v>82</v>
      </c>
      <c r="K30" s="38" t="s">
        <v>83</v>
      </c>
    </row>
    <row r="31" spans="1:12" x14ac:dyDescent="0.35">
      <c r="A31" t="s">
        <v>84</v>
      </c>
      <c r="B31" s="1">
        <v>200</v>
      </c>
      <c r="F31" s="47"/>
      <c r="G31" s="38" t="s">
        <v>36</v>
      </c>
      <c r="H31" s="40">
        <f>$B$34*J3*$B$35*($B$31+$B$32-0.5*($B$1+$B$2)/($B$19*$B$29))*$B$38*$B$36*$B$37/(3.6*10^6*$B$33)</f>
        <v>17425204.384426259</v>
      </c>
      <c r="I31" s="40">
        <f>I3*$B$16</f>
        <v>0</v>
      </c>
      <c r="J31" s="40">
        <f>$B$17*MIN(D2,$B$22)+$B$18*MAX(D2-$B$22,0)</f>
        <v>10434548.0524152</v>
      </c>
      <c r="K31" s="40">
        <f>SUM(H31:J31)</f>
        <v>27859752.436841458</v>
      </c>
    </row>
    <row r="32" spans="1:12" x14ac:dyDescent="0.35">
      <c r="A32" t="s">
        <v>85</v>
      </c>
      <c r="B32" s="1">
        <v>200</v>
      </c>
      <c r="F32" s="47"/>
      <c r="G32" s="38" t="s">
        <v>38</v>
      </c>
      <c r="H32" s="40">
        <f t="shared" ref="H32:H35" si="6">$B$34*J4*$B$35*($B$31+$B$32-0.5*($B$1+$B$2)/($B$19*$B$29))*$B$38*$B$36*$B$37/(3.6*10^6*$B$33)</f>
        <v>9750800.294445049</v>
      </c>
      <c r="I32" s="40">
        <f t="shared" ref="I32:I35" si="7">I4*$B$16</f>
        <v>0</v>
      </c>
      <c r="J32" s="40">
        <f t="shared" ref="J32:J35" si="8">$B$17*MIN(D3,$B$22)+$B$18*MAX(D3-$B$22,0)</f>
        <v>16260755.771381097</v>
      </c>
      <c r="K32" s="40">
        <f t="shared" ref="K32:K35" si="9">SUM(H32:J32)</f>
        <v>26011556.065826148</v>
      </c>
    </row>
    <row r="33" spans="1:11" x14ac:dyDescent="0.35">
      <c r="A33" t="s">
        <v>86</v>
      </c>
      <c r="B33" s="6">
        <v>0.7</v>
      </c>
      <c r="F33" s="47"/>
      <c r="G33" s="38" t="s">
        <v>40</v>
      </c>
      <c r="H33" s="40">
        <f t="shared" si="6"/>
        <v>2046546.9494738011</v>
      </c>
      <c r="I33" s="40">
        <f t="shared" si="7"/>
        <v>0</v>
      </c>
      <c r="J33" s="40">
        <f t="shared" si="8"/>
        <v>21792588.762403499</v>
      </c>
      <c r="K33" s="40">
        <f t="shared" si="9"/>
        <v>23839135.711877301</v>
      </c>
    </row>
    <row r="34" spans="1:11" x14ac:dyDescent="0.35">
      <c r="A34" t="s">
        <v>87</v>
      </c>
      <c r="B34" s="13">
        <v>0.189</v>
      </c>
      <c r="F34" s="47"/>
      <c r="G34" s="38" t="s">
        <v>42</v>
      </c>
      <c r="H34" s="40">
        <f t="shared" si="6"/>
        <v>0</v>
      </c>
      <c r="I34" s="40">
        <f t="shared" si="7"/>
        <v>0</v>
      </c>
      <c r="J34" s="40">
        <f t="shared" si="8"/>
        <v>27473061.194380503</v>
      </c>
      <c r="K34" s="40">
        <f t="shared" si="9"/>
        <v>27473061.194380503</v>
      </c>
    </row>
    <row r="35" spans="1:11" x14ac:dyDescent="0.35">
      <c r="A35" t="s">
        <v>88</v>
      </c>
      <c r="B35" s="1">
        <v>1233.4818399999999</v>
      </c>
      <c r="F35" s="47"/>
      <c r="G35" s="38" t="s">
        <v>44</v>
      </c>
      <c r="H35" s="40">
        <f t="shared" si="6"/>
        <v>0</v>
      </c>
      <c r="I35" s="40">
        <f t="shared" si="7"/>
        <v>0</v>
      </c>
      <c r="J35" s="40">
        <f t="shared" si="8"/>
        <v>39462705.050092503</v>
      </c>
      <c r="K35" s="40">
        <f t="shared" si="9"/>
        <v>39462705.050092503</v>
      </c>
    </row>
    <row r="36" spans="1:11" x14ac:dyDescent="0.35">
      <c r="A36" t="s">
        <v>89</v>
      </c>
      <c r="B36" s="1">
        <v>1000</v>
      </c>
      <c r="F36" s="47"/>
      <c r="G36" s="29" t="s">
        <v>67</v>
      </c>
      <c r="H36" s="40">
        <f>SUM(H31:H35)</f>
        <v>29222551.62834511</v>
      </c>
      <c r="I36" s="40">
        <f>SUM(I31:I35)</f>
        <v>0</v>
      </c>
      <c r="J36" s="40">
        <f>SUM(J31:J35)</f>
        <v>115423658.8306728</v>
      </c>
      <c r="K36" s="29">
        <f>SUMPRODUCT($E$2:$E$6,$K$31:$K$35)*$B$39</f>
        <v>240593088.75883937</v>
      </c>
    </row>
    <row r="37" spans="1:11" x14ac:dyDescent="0.35">
      <c r="A37" t="s">
        <v>90</v>
      </c>
      <c r="B37" s="12">
        <v>9.81</v>
      </c>
    </row>
    <row r="38" spans="1:11" x14ac:dyDescent="0.35">
      <c r="A38" t="s">
        <v>91</v>
      </c>
      <c r="B38" s="15">
        <v>0.30480000000000002</v>
      </c>
      <c r="F38" t="s">
        <v>92</v>
      </c>
    </row>
    <row r="39" spans="1:11" x14ac:dyDescent="0.35">
      <c r="A39" t="s">
        <v>93</v>
      </c>
      <c r="B39" s="13">
        <f>(1-(1+B3)^(-B24))/(B3*(1+B3)^(B23*B24))</f>
        <v>8.3166053225779368</v>
      </c>
      <c r="F39" t="s">
        <v>94</v>
      </c>
      <c r="G39" t="s">
        <v>22</v>
      </c>
      <c r="H39" s="41" t="s">
        <v>95</v>
      </c>
      <c r="I39" t="s">
        <v>96</v>
      </c>
    </row>
    <row r="40" spans="1:11" x14ac:dyDescent="0.35">
      <c r="G40" t="s">
        <v>36</v>
      </c>
      <c r="H40" s="42">
        <f>$B$19-$I$1-H3-I3</f>
        <v>365093.02357672597</v>
      </c>
      <c r="I40">
        <v>0</v>
      </c>
    </row>
    <row r="41" spans="1:11" x14ac:dyDescent="0.35">
      <c r="G41" t="s">
        <v>38</v>
      </c>
      <c r="H41" s="42">
        <f t="shared" ref="H41:H44" si="10">$B$19-$I$1-H4-I4</f>
        <v>365093.02357672597</v>
      </c>
      <c r="I41">
        <v>0</v>
      </c>
    </row>
    <row r="42" spans="1:11" x14ac:dyDescent="0.35">
      <c r="G42" t="s">
        <v>40</v>
      </c>
      <c r="H42" s="42">
        <f t="shared" si="10"/>
        <v>365093.02357672597</v>
      </c>
      <c r="I42">
        <v>0</v>
      </c>
    </row>
    <row r="43" spans="1:11" x14ac:dyDescent="0.35">
      <c r="G43" t="s">
        <v>42</v>
      </c>
      <c r="H43" s="42">
        <f t="shared" si="10"/>
        <v>333614.39184026688</v>
      </c>
      <c r="I43">
        <v>0</v>
      </c>
    </row>
    <row r="44" spans="1:11" x14ac:dyDescent="0.35">
      <c r="G44" t="s">
        <v>44</v>
      </c>
      <c r="H44" s="42">
        <f t="shared" si="10"/>
        <v>251041.08704886195</v>
      </c>
      <c r="I44">
        <v>0</v>
      </c>
    </row>
    <row r="45" spans="1:11" x14ac:dyDescent="0.35">
      <c r="F45" t="s">
        <v>97</v>
      </c>
      <c r="G45" t="s">
        <v>22</v>
      </c>
      <c r="H45" s="41" t="s">
        <v>98</v>
      </c>
      <c r="I45" t="s">
        <v>96</v>
      </c>
    </row>
    <row r="46" spans="1:11" x14ac:dyDescent="0.35">
      <c r="G46" t="s">
        <v>36</v>
      </c>
      <c r="H46" s="42">
        <f>D2+J3-$B$20*I3-$B$8*$I$1-$B$14*H3</f>
        <v>4.3655745685100555E-10</v>
      </c>
      <c r="I46">
        <v>0</v>
      </c>
    </row>
    <row r="47" spans="1:11" x14ac:dyDescent="0.35">
      <c r="G47" t="s">
        <v>38</v>
      </c>
      <c r="H47" s="42">
        <f>D3+J4-$B$20*I4-$B$8*$I$1-$B$14*H4</f>
        <v>4.3655745685100555E-10</v>
      </c>
      <c r="I47">
        <v>0</v>
      </c>
    </row>
    <row r="48" spans="1:11" x14ac:dyDescent="0.35">
      <c r="G48" t="s">
        <v>40</v>
      </c>
      <c r="H48" s="42">
        <f t="shared" ref="H48:H50" si="11">D4+J5-$B$20*I5-$B$8*$I$1-$B$14*H5</f>
        <v>4.3655745685100555E-10</v>
      </c>
      <c r="I48">
        <v>0</v>
      </c>
    </row>
    <row r="49" spans="6:13" x14ac:dyDescent="0.35">
      <c r="G49" t="s">
        <v>42</v>
      </c>
      <c r="H49" s="42">
        <f t="shared" si="11"/>
        <v>5.2386894822120667E-10</v>
      </c>
      <c r="I49">
        <v>0</v>
      </c>
    </row>
    <row r="50" spans="6:13" x14ac:dyDescent="0.35">
      <c r="G50" t="s">
        <v>44</v>
      </c>
      <c r="H50" s="42">
        <f t="shared" si="11"/>
        <v>0</v>
      </c>
      <c r="I50">
        <v>0</v>
      </c>
    </row>
    <row r="51" spans="6:13" x14ac:dyDescent="0.35">
      <c r="F51" t="s">
        <v>99</v>
      </c>
      <c r="G51" t="s">
        <v>22</v>
      </c>
      <c r="H51" t="s">
        <v>0</v>
      </c>
      <c r="I51" t="s">
        <v>100</v>
      </c>
      <c r="J51" t="s">
        <v>81</v>
      </c>
      <c r="K51" t="s">
        <v>1</v>
      </c>
    </row>
    <row r="52" spans="6:13" x14ac:dyDescent="0.35">
      <c r="G52" t="s">
        <v>36</v>
      </c>
      <c r="H52" s="1">
        <f>$B$24*$B$21*$B$8*$I$1</f>
        <v>709905.55060908827</v>
      </c>
      <c r="I52" s="1">
        <f>J3*$B$24*E2</f>
        <v>629941.01715857594</v>
      </c>
      <c r="J52" s="1">
        <f>$B$20*I3*$B$24*E2</f>
        <v>0</v>
      </c>
      <c r="K52" s="1">
        <f>$B$21*$B$14*H3*$B$24*E2</f>
        <v>27042.528540648604</v>
      </c>
    </row>
    <row r="53" spans="6:13" x14ac:dyDescent="0.35">
      <c r="G53" t="s">
        <v>38</v>
      </c>
      <c r="H53" s="1">
        <f t="shared" ref="H53:H56" si="12">$B$24*$B$21*$B$8*$I$1</f>
        <v>709905.55060908827</v>
      </c>
      <c r="I53" s="1">
        <f t="shared" ref="I53:I56" si="13">J4*$B$24*E3</f>
        <v>352502.55435067607</v>
      </c>
      <c r="J53" s="1">
        <f t="shared" ref="J53:J56" si="14">$B$20*I4*$B$24*E3</f>
        <v>0</v>
      </c>
      <c r="K53" s="1">
        <f t="shared" ref="K53:K56" si="15">$B$21*$B$14*H4*$B$24*E3</f>
        <v>27042.528540648604</v>
      </c>
    </row>
    <row r="54" spans="6:13" x14ac:dyDescent="0.35">
      <c r="G54" t="s">
        <v>40</v>
      </c>
      <c r="H54" s="1">
        <f t="shared" si="12"/>
        <v>709905.55060908827</v>
      </c>
      <c r="I54" s="1">
        <f t="shared" si="13"/>
        <v>73985.006922876055</v>
      </c>
      <c r="J54" s="1">
        <f t="shared" si="14"/>
        <v>0</v>
      </c>
      <c r="K54" s="1">
        <f t="shared" si="15"/>
        <v>27042.528540648604</v>
      </c>
    </row>
    <row r="55" spans="6:13" x14ac:dyDescent="0.35">
      <c r="G55" t="s">
        <v>42</v>
      </c>
      <c r="H55" s="1">
        <f t="shared" si="12"/>
        <v>709905.55060908827</v>
      </c>
      <c r="I55" s="1">
        <f t="shared" si="13"/>
        <v>0</v>
      </c>
      <c r="J55" s="1">
        <f t="shared" si="14"/>
        <v>0</v>
      </c>
      <c r="K55" s="1">
        <f t="shared" si="15"/>
        <v>72749.501821987229</v>
      </c>
    </row>
    <row r="56" spans="6:13" x14ac:dyDescent="0.35">
      <c r="G56" t="s">
        <v>44</v>
      </c>
      <c r="H56" s="1">
        <f t="shared" si="12"/>
        <v>709905.55060908827</v>
      </c>
      <c r="I56" s="1">
        <f t="shared" si="13"/>
        <v>0</v>
      </c>
      <c r="J56" s="1">
        <f t="shared" si="14"/>
        <v>0</v>
      </c>
      <c r="K56" s="1">
        <f t="shared" si="15"/>
        <v>192645.94037910717</v>
      </c>
    </row>
    <row r="57" spans="6:13" x14ac:dyDescent="0.35">
      <c r="G57" s="41" t="s">
        <v>67</v>
      </c>
      <c r="L57" s="42">
        <f>$B$1-$B$2+H52+SUM(K52:K56)+SUM(J52:J56)-SUM(I52:I56)</f>
        <v>0</v>
      </c>
    </row>
    <row r="58" spans="6:13" x14ac:dyDescent="0.35">
      <c r="H58" s="6">
        <f>H52/1000</f>
        <v>709.90555060908832</v>
      </c>
      <c r="J58" s="6">
        <f>J52/1000/E2</f>
        <v>0</v>
      </c>
      <c r="K58" s="6">
        <f>K52/1000/E2</f>
        <v>135.21264270324301</v>
      </c>
    </row>
    <row r="59" spans="6:13" x14ac:dyDescent="0.35">
      <c r="J59" s="6">
        <f t="shared" ref="J59:J62" si="16">J53/1000/E3</f>
        <v>0</v>
      </c>
      <c r="K59" s="6">
        <f t="shared" ref="K59:K62" si="17">K53/1000/E3</f>
        <v>135.21264270324301</v>
      </c>
    </row>
    <row r="60" spans="6:13" x14ac:dyDescent="0.35">
      <c r="J60" s="6">
        <f t="shared" si="16"/>
        <v>0</v>
      </c>
      <c r="K60" s="6">
        <f t="shared" si="17"/>
        <v>135.21264270324301</v>
      </c>
    </row>
    <row r="61" spans="6:13" x14ac:dyDescent="0.35">
      <c r="J61" s="6">
        <f t="shared" si="16"/>
        <v>0</v>
      </c>
      <c r="K61" s="6">
        <f t="shared" si="17"/>
        <v>363.74750910993612</v>
      </c>
    </row>
    <row r="62" spans="6:13" x14ac:dyDescent="0.35">
      <c r="J62" s="6">
        <f t="shared" si="16"/>
        <v>0</v>
      </c>
      <c r="K62" s="6">
        <f t="shared" si="17"/>
        <v>963.22970189553587</v>
      </c>
    </row>
    <row r="64" spans="6:13" x14ac:dyDescent="0.35">
      <c r="H64" s="12">
        <f t="shared" ref="H64:H68" si="18">D2</f>
        <v>248441.62029559998</v>
      </c>
      <c r="I64" s="1">
        <f>I3</f>
        <v>0</v>
      </c>
      <c r="J64" s="6">
        <f>I64*$B$20</f>
        <v>0</v>
      </c>
      <c r="K64" s="1">
        <f t="shared" ref="K64:K68" si="19">J3</f>
        <v>314970.50857928797</v>
      </c>
      <c r="L64" s="12">
        <f>(H64-J64+K64)*$B$21*$B$24</f>
        <v>845118.1933123318</v>
      </c>
      <c r="M64">
        <f t="shared" ref="M64:M68" si="20">E2</f>
        <v>0.2</v>
      </c>
    </row>
    <row r="65" spans="8:13" x14ac:dyDescent="0.35">
      <c r="H65" s="12">
        <f t="shared" si="18"/>
        <v>387160.85169954994</v>
      </c>
      <c r="I65" s="1">
        <f t="shared" ref="I65:I68" si="21">I4</f>
        <v>0</v>
      </c>
      <c r="J65" s="6">
        <f t="shared" ref="J65:J68" si="22">I65*$B$20</f>
        <v>0</v>
      </c>
      <c r="K65" s="1">
        <f t="shared" si="19"/>
        <v>176251.27717533804</v>
      </c>
      <c r="L65" s="12">
        <f t="shared" ref="L65:L68" si="23">(H65-J65+K65)*$B$21*$B$24</f>
        <v>845118.1933123318</v>
      </c>
      <c r="M65">
        <f t="shared" si="20"/>
        <v>0.2</v>
      </c>
    </row>
    <row r="66" spans="8:13" x14ac:dyDescent="0.35">
      <c r="H66" s="12">
        <f t="shared" si="18"/>
        <v>526419.62541344995</v>
      </c>
      <c r="I66" s="1">
        <f t="shared" si="21"/>
        <v>0</v>
      </c>
      <c r="J66" s="6">
        <f t="shared" si="22"/>
        <v>0</v>
      </c>
      <c r="K66" s="1">
        <f t="shared" si="19"/>
        <v>36992.503461438027</v>
      </c>
      <c r="L66" s="12">
        <f t="shared" si="23"/>
        <v>845118.1933123318</v>
      </c>
      <c r="M66">
        <f t="shared" si="20"/>
        <v>0.2</v>
      </c>
    </row>
    <row r="67" spans="8:13" x14ac:dyDescent="0.35">
      <c r="H67" s="12">
        <f t="shared" si="18"/>
        <v>715768.7064793501</v>
      </c>
      <c r="I67" s="1">
        <f t="shared" si="21"/>
        <v>0</v>
      </c>
      <c r="J67" s="6">
        <f t="shared" si="22"/>
        <v>0</v>
      </c>
      <c r="K67" s="1">
        <f t="shared" si="19"/>
        <v>0</v>
      </c>
      <c r="L67" s="12">
        <f>(H67-J67+K67)*$B$21*$B$24</f>
        <v>1073653.0597190252</v>
      </c>
      <c r="M67">
        <f t="shared" si="20"/>
        <v>0.2</v>
      </c>
    </row>
    <row r="68" spans="8:13" x14ac:dyDescent="0.35">
      <c r="H68" s="12">
        <f t="shared" si="18"/>
        <v>1115423.5016697501</v>
      </c>
      <c r="I68" s="1">
        <f t="shared" si="21"/>
        <v>0</v>
      </c>
      <c r="J68" s="6">
        <f t="shared" si="22"/>
        <v>0</v>
      </c>
      <c r="K68" s="1">
        <f t="shared" si="19"/>
        <v>0</v>
      </c>
      <c r="L68" s="12">
        <f t="shared" si="23"/>
        <v>1673135.2525046249</v>
      </c>
      <c r="M68">
        <f t="shared" si="20"/>
        <v>0.2</v>
      </c>
    </row>
    <row r="69" spans="8:13" x14ac:dyDescent="0.35">
      <c r="L69" s="12">
        <f>SUMPRODUCT(L64:L68,M64:M68)</f>
        <v>1056428.5784321292</v>
      </c>
    </row>
    <row r="70" spans="8:13" x14ac:dyDescent="0.35">
      <c r="K70" s="12">
        <f>$B$24*$B$21*$B$8*$I$1</f>
        <v>709905.55060908827</v>
      </c>
      <c r="L70" s="1">
        <f>K70+SUM(K52:K56)</f>
        <v>1056428.5784321285</v>
      </c>
    </row>
    <row r="71" spans="8:13" x14ac:dyDescent="0.35">
      <c r="L71" s="43">
        <f>L69-L70</f>
        <v>0</v>
      </c>
    </row>
  </sheetData>
  <mergeCells count="3">
    <mergeCell ref="F10:F21"/>
    <mergeCell ref="F23:F29"/>
    <mergeCell ref="F30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</vt:lpstr>
      <vt:lpstr>Figure 4</vt:lpstr>
      <vt:lpstr>Figure 5</vt:lpstr>
      <vt:lpstr>Figure 6a</vt:lpstr>
      <vt:lpstr>Figure 6b</vt:lpstr>
      <vt:lpstr>Figure 7</vt:lpstr>
      <vt:lpstr>Figure 8</vt:lpstr>
      <vt:lpstr>Figure 9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dcterms:created xsi:type="dcterms:W3CDTF">2019-08-13T20:21:43Z</dcterms:created>
  <dcterms:modified xsi:type="dcterms:W3CDTF">2022-01-25T04:05:36Z</dcterms:modified>
</cp:coreProperties>
</file>