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hD_at_UCD\post-doc\PAPER\PAPER_1\"/>
    </mc:Choice>
  </mc:AlternateContent>
  <xr:revisionPtr revIDLastSave="0" documentId="8_{F0EA498A-E44E-4B28-990A-5074718AA8E3}" xr6:coauthVersionLast="47" xr6:coauthVersionMax="47" xr10:uidLastSave="{00000000-0000-0000-0000-000000000000}"/>
  <bookViews>
    <workbookView xWindow="28680" yWindow="-120" windowWidth="29040" windowHeight="15840" activeTab="6" xr2:uid="{24036F5B-3662-461F-B5BC-A023193CF140}"/>
  </bookViews>
  <sheets>
    <sheet name="Base_LM2" sheetId="129" r:id="rId1"/>
    <sheet name="Base_LM1" sheetId="130" r:id="rId2"/>
    <sheet name="Base_LM0" sheetId="131" r:id="rId3"/>
    <sheet name="Base_LM-1" sheetId="132" r:id="rId4"/>
    <sheet name="Drier_LM0" sheetId="133" r:id="rId5"/>
    <sheet name="EvenDrier_LM0" sheetId="134" r:id="rId6"/>
    <sheet name="base" sheetId="117" r:id="rId7"/>
  </sheets>
  <definedNames>
    <definedName name="solver_adj" localSheetId="6" hidden="1">base!$I$1,base!$H$3:$J$7</definedName>
    <definedName name="solver_cvg" localSheetId="6" hidden="1">0.00001</definedName>
    <definedName name="solver_drv" localSheetId="6" hidden="1">2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lhs1" localSheetId="6" hidden="1">base!$H$3:$H$6</definedName>
    <definedName name="solver_lhs10" localSheetId="6" hidden="1">base!$L$57</definedName>
    <definedName name="solver_lhs11" localSheetId="6" hidden="1">base!$L$57</definedName>
    <definedName name="solver_lhs12" localSheetId="6" hidden="1">base!$L$57</definedName>
    <definedName name="solver_lhs2" localSheetId="6" hidden="1">base!$H$3:$J$7</definedName>
    <definedName name="solver_lhs3" localSheetId="6" hidden="1">base!$H$40:$H$44</definedName>
    <definedName name="solver_lhs4" localSheetId="6" hidden="1">base!$H$46:$H$50</definedName>
    <definedName name="solver_lhs5" localSheetId="6" hidden="1">base!$I$1</definedName>
    <definedName name="solver_lhs6" localSheetId="6" hidden="1">base!$K$3:$K$7</definedName>
    <definedName name="solver_lhs7" localSheetId="6" hidden="1">base!$L$57</definedName>
    <definedName name="solver_lhs8" localSheetId="6" hidden="1">base!$L$57</definedName>
    <definedName name="solver_lhs9" localSheetId="6" hidden="1">base!$L$57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7</definedName>
    <definedName name="solver_nwt" localSheetId="6" hidden="1">1</definedName>
    <definedName name="solver_opt" localSheetId="6" hidden="1">base!$G$9</definedName>
    <definedName name="solver_pre" localSheetId="6" hidden="1">0.000001</definedName>
    <definedName name="solver_rbv" localSheetId="6" hidden="1">2</definedName>
    <definedName name="solver_rel1" localSheetId="6" hidden="1">1</definedName>
    <definedName name="solver_rel10" localSheetId="6" hidden="1">2</definedName>
    <definedName name="solver_rel11" localSheetId="6" hidden="1">2</definedName>
    <definedName name="solver_rel12" localSheetId="6" hidden="1">2</definedName>
    <definedName name="solver_rel2" localSheetId="6" hidden="1">3</definedName>
    <definedName name="solver_rel3" localSheetId="6" hidden="1">3</definedName>
    <definedName name="solver_rel4" localSheetId="6" hidden="1">3</definedName>
    <definedName name="solver_rel5" localSheetId="6" hidden="1">3</definedName>
    <definedName name="solver_rel6" localSheetId="6" hidden="1">2</definedName>
    <definedName name="solver_rel7" localSheetId="6" hidden="1">2</definedName>
    <definedName name="solver_rel8" localSheetId="6" hidden="1">2</definedName>
    <definedName name="solver_rel9" localSheetId="6" hidden="1">2</definedName>
    <definedName name="solver_rhs1" localSheetId="6" hidden="1">base!$H$4:$H$7</definedName>
    <definedName name="solver_rhs10" localSheetId="6" hidden="1">0</definedName>
    <definedName name="solver_rhs11" localSheetId="6" hidden="1">0</definedName>
    <definedName name="solver_rhs12" localSheetId="6" hidden="1">0</definedName>
    <definedName name="solver_rhs2" localSheetId="6" hidden="1">0</definedName>
    <definedName name="solver_rhs3" localSheetId="6" hidden="1">0</definedName>
    <definedName name="solver_rhs4" localSheetId="6" hidden="1">0</definedName>
    <definedName name="solver_rhs5" localSheetId="6" hidden="1">0</definedName>
    <definedName name="solver_rhs6" localSheetId="6" hidden="1">0</definedName>
    <definedName name="solver_rhs7" localSheetId="6" hidden="1">0</definedName>
    <definedName name="solver_rhs8" localSheetId="6" hidden="1">0</definedName>
    <definedName name="solver_rhs9" localSheetId="6" hidden="1">0</definedName>
    <definedName name="solver_rlx" localSheetId="6" hidden="1">2</definedName>
    <definedName name="solver_rsd" localSheetId="6" hidden="1">0</definedName>
    <definedName name="solver_scl" localSheetId="6" hidden="1">2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2</definedName>
    <definedName name="solver_val" localSheetId="6" hidden="1">0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2" i="117" l="1"/>
  <c r="K58" i="117" s="1"/>
  <c r="K53" i="117"/>
  <c r="K59" i="117" s="1"/>
  <c r="K70" i="117"/>
  <c r="M68" i="117"/>
  <c r="K68" i="117"/>
  <c r="I68" i="117"/>
  <c r="J68" i="117" s="1"/>
  <c r="M67" i="117"/>
  <c r="K67" i="117"/>
  <c r="I67" i="117"/>
  <c r="J67" i="117" s="1"/>
  <c r="M66" i="117"/>
  <c r="K66" i="117"/>
  <c r="I66" i="117"/>
  <c r="J66" i="117" s="1"/>
  <c r="M65" i="117"/>
  <c r="K65" i="117"/>
  <c r="I65" i="117"/>
  <c r="J65" i="117" s="1"/>
  <c r="M64" i="117"/>
  <c r="K64" i="117"/>
  <c r="I64" i="117"/>
  <c r="J64" i="117" s="1"/>
  <c r="K56" i="117"/>
  <c r="K62" i="117" s="1"/>
  <c r="J56" i="117"/>
  <c r="J62" i="117" s="1"/>
  <c r="I56" i="117"/>
  <c r="H56" i="117"/>
  <c r="K55" i="117"/>
  <c r="K61" i="117" s="1"/>
  <c r="J55" i="117"/>
  <c r="J61" i="117" s="1"/>
  <c r="I55" i="117"/>
  <c r="H55" i="117"/>
  <c r="K54" i="117"/>
  <c r="K60" i="117" s="1"/>
  <c r="J54" i="117"/>
  <c r="J60" i="117" s="1"/>
  <c r="I54" i="117"/>
  <c r="H54" i="117"/>
  <c r="J53" i="117"/>
  <c r="J59" i="117" s="1"/>
  <c r="I53" i="117"/>
  <c r="H53" i="117"/>
  <c r="J52" i="117"/>
  <c r="J58" i="117" s="1"/>
  <c r="I52" i="117"/>
  <c r="H52" i="117"/>
  <c r="H58" i="117" s="1"/>
  <c r="H46" i="117"/>
  <c r="H44" i="117"/>
  <c r="H43" i="117"/>
  <c r="H42" i="117"/>
  <c r="H41" i="117"/>
  <c r="H40" i="117"/>
  <c r="B39" i="117"/>
  <c r="I35" i="117"/>
  <c r="I34" i="117"/>
  <c r="I33" i="117"/>
  <c r="I32" i="117"/>
  <c r="I31" i="117"/>
  <c r="B29" i="117"/>
  <c r="H35" i="117" s="1"/>
  <c r="H28" i="117"/>
  <c r="H27" i="117"/>
  <c r="H26" i="117"/>
  <c r="H25" i="117"/>
  <c r="H24" i="117"/>
  <c r="G22" i="117"/>
  <c r="B22" i="117"/>
  <c r="J31" i="117" s="1"/>
  <c r="K21" i="117"/>
  <c r="I20" i="117"/>
  <c r="J20" i="117" s="1"/>
  <c r="H20" i="117"/>
  <c r="I19" i="117"/>
  <c r="H19" i="117"/>
  <c r="I18" i="117"/>
  <c r="H18" i="117"/>
  <c r="I17" i="117"/>
  <c r="J17" i="117" s="1"/>
  <c r="H17" i="117"/>
  <c r="I16" i="117"/>
  <c r="J16" i="117" s="1"/>
  <c r="H16" i="117"/>
  <c r="I15" i="117"/>
  <c r="H15" i="117"/>
  <c r="I14" i="117"/>
  <c r="H14" i="117"/>
  <c r="I13" i="117"/>
  <c r="J13" i="117" s="1"/>
  <c r="H13" i="117"/>
  <c r="I12" i="117"/>
  <c r="J12" i="117" s="1"/>
  <c r="H12" i="117"/>
  <c r="I11" i="117"/>
  <c r="H11" i="117"/>
  <c r="J8" i="117"/>
  <c r="I8" i="117"/>
  <c r="H8" i="117"/>
  <c r="K7" i="117"/>
  <c r="K6" i="117"/>
  <c r="D6" i="117"/>
  <c r="H68" i="117" s="1"/>
  <c r="K5" i="117"/>
  <c r="D5" i="117"/>
  <c r="H49" i="117" s="1"/>
  <c r="K4" i="117"/>
  <c r="D4" i="117"/>
  <c r="H48" i="117" s="1"/>
  <c r="K3" i="117"/>
  <c r="D3" i="117"/>
  <c r="H47" i="117" s="1"/>
  <c r="D2" i="117"/>
  <c r="H64" i="117" s="1"/>
  <c r="J15" i="117" l="1"/>
  <c r="L70" i="117"/>
  <c r="J14" i="117"/>
  <c r="L64" i="117"/>
  <c r="J19" i="117"/>
  <c r="H29" i="117"/>
  <c r="I36" i="117"/>
  <c r="L68" i="117"/>
  <c r="J11" i="117"/>
  <c r="J18" i="117"/>
  <c r="J32" i="117"/>
  <c r="J36" i="117" s="1"/>
  <c r="J34" i="117"/>
  <c r="J35" i="117"/>
  <c r="K35" i="117" s="1"/>
  <c r="H50" i="117"/>
  <c r="H65" i="117"/>
  <c r="L65" i="117" s="1"/>
  <c r="H67" i="117"/>
  <c r="L67" i="117" s="1"/>
  <c r="J33" i="117"/>
  <c r="D7" i="117"/>
  <c r="B30" i="117"/>
  <c r="L57" i="117"/>
  <c r="H66" i="117"/>
  <c r="L66" i="117" s="1"/>
  <c r="H31" i="117"/>
  <c r="H32" i="117"/>
  <c r="K32" i="117" s="1"/>
  <c r="H33" i="117"/>
  <c r="H34" i="117"/>
  <c r="K34" i="117" s="1"/>
  <c r="J21" i="117" l="1"/>
  <c r="L21" i="117" s="1"/>
  <c r="L69" i="117"/>
  <c r="L71" i="117" s="1"/>
  <c r="H36" i="117"/>
  <c r="K31" i="117"/>
  <c r="K33" i="117"/>
  <c r="K36" i="117" l="1"/>
  <c r="G9" i="117" s="1"/>
</calcChain>
</file>

<file path=xl/sharedStrings.xml><?xml version="1.0" encoding="utf-8"?>
<sst xmlns="http://schemas.openxmlformats.org/spreadsheetml/2006/main" count="605" uniqueCount="150">
  <si>
    <t>beginning GW</t>
  </si>
  <si>
    <t>WYT</t>
  </si>
  <si>
    <t>averaged SW inflow</t>
  </si>
  <si>
    <t>Prob</t>
  </si>
  <si>
    <t>DV</t>
  </si>
  <si>
    <t>Xp</t>
  </si>
  <si>
    <t>ending GW</t>
  </si>
  <si>
    <t>C (10 percentile)</t>
  </si>
  <si>
    <t>Xa</t>
  </si>
  <si>
    <t>Xr</t>
  </si>
  <si>
    <t>Wpump</t>
  </si>
  <si>
    <t>R</t>
  </si>
  <si>
    <t>D (30 percentile)</t>
  </si>
  <si>
    <t>Vp</t>
  </si>
  <si>
    <t>BN (50 percentile)</t>
  </si>
  <si>
    <t>Yldp</t>
  </si>
  <si>
    <t>AN (70 percentile)</t>
  </si>
  <si>
    <t>alphap</t>
  </si>
  <si>
    <t>W (90 percentile)</t>
  </si>
  <si>
    <t>gammap</t>
  </si>
  <si>
    <t>Awp</t>
  </si>
  <si>
    <t>INIp</t>
  </si>
  <si>
    <t>Obj</t>
  </si>
  <si>
    <t>Va</t>
  </si>
  <si>
    <t>Permanent benefit</t>
  </si>
  <si>
    <t>year</t>
  </si>
  <si>
    <t>discount rate</t>
  </si>
  <si>
    <t>acre</t>
  </si>
  <si>
    <t>yearly benefit</t>
  </si>
  <si>
    <t>ylda</t>
  </si>
  <si>
    <t>alphaa</t>
  </si>
  <si>
    <t>Awa</t>
  </si>
  <si>
    <t>Cpu</t>
  </si>
  <si>
    <t>Cre($/acre)</t>
  </si>
  <si>
    <t>Cc1($/AF)</t>
  </si>
  <si>
    <t>Cc2($/AF)</t>
  </si>
  <si>
    <t>L(acre)</t>
  </si>
  <si>
    <t>cap(AF/acre/yr)</t>
  </si>
  <si>
    <t>phi</t>
  </si>
  <si>
    <t>sum</t>
  </si>
  <si>
    <t>SWc1</t>
  </si>
  <si>
    <t>Permanent cost</t>
  </si>
  <si>
    <t>stage</t>
  </si>
  <si>
    <t>Annual benefit</t>
  </si>
  <si>
    <t>T</t>
  </si>
  <si>
    <t>retiring rate</t>
  </si>
  <si>
    <t xml:space="preserve">ratio </t>
  </si>
  <si>
    <t>max depth</t>
  </si>
  <si>
    <t>Sy</t>
  </si>
  <si>
    <t>Annual cost</t>
  </si>
  <si>
    <t>pump</t>
  </si>
  <si>
    <t>recharge</t>
  </si>
  <si>
    <t>SW</t>
  </si>
  <si>
    <t>yearly cost</t>
  </si>
  <si>
    <t>pump efficiency</t>
  </si>
  <si>
    <t>Cpump($/kWh)</t>
  </si>
  <si>
    <t>AF to m^3</t>
  </si>
  <si>
    <t>density (kg/m^3)</t>
  </si>
  <si>
    <t>g(m/s^2)</t>
  </si>
  <si>
    <t>ft to meter</t>
  </si>
  <si>
    <t>s.t.</t>
  </si>
  <si>
    <t>FtoP</t>
  </si>
  <si>
    <t>Land</t>
  </si>
  <si>
    <t>remaining land</t>
  </si>
  <si>
    <t>&gt;=</t>
  </si>
  <si>
    <t>Surface water</t>
  </si>
  <si>
    <t>remaining water</t>
  </si>
  <si>
    <t>GW mass balance</t>
  </si>
  <si>
    <t>pumping</t>
  </si>
  <si>
    <t>gammaa</t>
  </si>
  <si>
    <t>Microsoft Excel 16.0 Sensitivity Report</t>
  </si>
  <si>
    <t>Variable Cells</t>
  </si>
  <si>
    <t>Cell</t>
  </si>
  <si>
    <t>Name</t>
  </si>
  <si>
    <t>Final</t>
  </si>
  <si>
    <t>Value</t>
  </si>
  <si>
    <t>Reduced</t>
  </si>
  <si>
    <t>Gradient</t>
  </si>
  <si>
    <t>Constraints</t>
  </si>
  <si>
    <t>Lagrange</t>
  </si>
  <si>
    <t>Multiplier</t>
  </si>
  <si>
    <t>$I$1</t>
  </si>
  <si>
    <t>$H$3</t>
  </si>
  <si>
    <t>C (10 percentile) Xa</t>
  </si>
  <si>
    <t>$I$3</t>
  </si>
  <si>
    <t>C (10 percentile) Xr</t>
  </si>
  <si>
    <t>$J$3</t>
  </si>
  <si>
    <t>C (10 percentile) Wpump</t>
  </si>
  <si>
    <t>$H$4</t>
  </si>
  <si>
    <t>D (30 percentile) Xa</t>
  </si>
  <si>
    <t>$I$4</t>
  </si>
  <si>
    <t>D (30 percentile) Xr</t>
  </si>
  <si>
    <t>$J$4</t>
  </si>
  <si>
    <t>D (30 percentile) Wpump</t>
  </si>
  <si>
    <t>$H$5</t>
  </si>
  <si>
    <t>BN (50 percentile) Xa</t>
  </si>
  <si>
    <t>$I$5</t>
  </si>
  <si>
    <t>BN (50 percentile) Xr</t>
  </si>
  <si>
    <t>$J$5</t>
  </si>
  <si>
    <t>BN (50 percentile) Wpump</t>
  </si>
  <si>
    <t>$H$6</t>
  </si>
  <si>
    <t>AN (70 percentile) Xa</t>
  </si>
  <si>
    <t>$I$6</t>
  </si>
  <si>
    <t>AN (70 percentile) Xr</t>
  </si>
  <si>
    <t>$J$6</t>
  </si>
  <si>
    <t>AN (70 percentile) Wpump</t>
  </si>
  <si>
    <t>$H$7</t>
  </si>
  <si>
    <t>W (90 percentile) Xa</t>
  </si>
  <si>
    <t>$I$7</t>
  </si>
  <si>
    <t>W (90 percentile) Xr</t>
  </si>
  <si>
    <t>$J$7</t>
  </si>
  <si>
    <t>W (90 percentile) Wpump</t>
  </si>
  <si>
    <t>$H$40</t>
  </si>
  <si>
    <t>C (10 percentile) remaining land</t>
  </si>
  <si>
    <t>$H$41</t>
  </si>
  <si>
    <t>D (30 percentile) remaining land</t>
  </si>
  <si>
    <t>$H$42</t>
  </si>
  <si>
    <t>BN (50 percentile) remaining land</t>
  </si>
  <si>
    <t>$H$43</t>
  </si>
  <si>
    <t>AN (70 percentile) remaining land</t>
  </si>
  <si>
    <t>$H$44</t>
  </si>
  <si>
    <t>W (90 percentile) remaining land</t>
  </si>
  <si>
    <t>$H$46</t>
  </si>
  <si>
    <t>C (10 percentile) remaining water</t>
  </si>
  <si>
    <t>$H$47</t>
  </si>
  <si>
    <t>D (30 percentile) remaining water</t>
  </si>
  <si>
    <t>$H$48</t>
  </si>
  <si>
    <t>BN (50 percentile) remaining water</t>
  </si>
  <si>
    <t>$H$49</t>
  </si>
  <si>
    <t>AN (70 percentile) remaining water</t>
  </si>
  <si>
    <t>$H$50</t>
  </si>
  <si>
    <t>W (90 percentile) remaining water</t>
  </si>
  <si>
    <t>$K$3</t>
  </si>
  <si>
    <t>$K$4</t>
  </si>
  <si>
    <t>$K$5</t>
  </si>
  <si>
    <t>$K$6</t>
  </si>
  <si>
    <t>$K$7</t>
  </si>
  <si>
    <t>$L$57</t>
  </si>
  <si>
    <t>starting Ho (ft)</t>
  </si>
  <si>
    <t>starting thickness Bo (ft)</t>
  </si>
  <si>
    <t>original storage</t>
  </si>
  <si>
    <t>Xp,t,0</t>
  </si>
  <si>
    <t>expected sw</t>
  </si>
  <si>
    <t>Worksheet: [Chapter1Model.xlsx]base</t>
  </si>
  <si>
    <t>Report Created: 11/29/2021 3:07:04 PM</t>
  </si>
  <si>
    <t>Report Created: 11/29/2021 3:08:18 PM</t>
  </si>
  <si>
    <t>Report Created: 11/29/2021 3:09:18 PM</t>
  </si>
  <si>
    <t>Report Created: 11/29/2021 3:10:02 PM</t>
  </si>
  <si>
    <t>Report Created: 11/29/2021 3:12:09 PM</t>
  </si>
  <si>
    <t>Report Created: 11/29/2021 3:17:30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</si>
</sst>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00"/>
    <numFmt numFmtId="165" formatCode="#,##0.0000"/>
    <numFmt numFmtId="166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0" fillId="2" borderId="0" xfId="0" applyFill="1"/>
    <xf numFmtId="3" fontId="0" fillId="2" borderId="0" xfId="1" applyNumberFormat="1" applyFont="1" applyFill="1"/>
    <xf numFmtId="0" fontId="0" fillId="3" borderId="0" xfId="0" applyFill="1"/>
    <xf numFmtId="3" fontId="0" fillId="3" borderId="0" xfId="0" applyNumberFormat="1" applyFill="1"/>
    <xf numFmtId="4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2" fillId="4" borderId="0" xfId="0" applyFont="1" applyFill="1"/>
    <xf numFmtId="3" fontId="4" fillId="4" borderId="0" xfId="1" applyNumberFormat="1" applyFont="1" applyFill="1"/>
    <xf numFmtId="0" fontId="0" fillId="5" borderId="0" xfId="0" applyFill="1"/>
    <xf numFmtId="3" fontId="0" fillId="5" borderId="0" xfId="1" applyNumberFormat="1" applyFont="1" applyFill="1"/>
    <xf numFmtId="0" fontId="0" fillId="6" borderId="0" xfId="0" applyFill="1"/>
    <xf numFmtId="3" fontId="0" fillId="6" borderId="0" xfId="0" applyNumberFormat="1" applyFill="1"/>
    <xf numFmtId="3" fontId="0" fillId="0" borderId="0" xfId="1" applyNumberFormat="1" applyFont="1"/>
    <xf numFmtId="43" fontId="0" fillId="5" borderId="0" xfId="0" applyNumberFormat="1" applyFill="1"/>
    <xf numFmtId="0" fontId="2" fillId="5" borderId="0" xfId="0" applyFont="1" applyFill="1"/>
    <xf numFmtId="3" fontId="2" fillId="5" borderId="0" xfId="1" applyNumberFormat="1" applyFont="1" applyFill="1"/>
    <xf numFmtId="0" fontId="2" fillId="7" borderId="0" xfId="0" applyFont="1" applyFill="1" applyAlignment="1">
      <alignment horizontal="center" vertical="center"/>
    </xf>
    <xf numFmtId="3" fontId="2" fillId="7" borderId="0" xfId="0" applyNumberFormat="1" applyFont="1" applyFill="1"/>
    <xf numFmtId="3" fontId="0" fillId="2" borderId="0" xfId="0" applyNumberFormat="1" applyFill="1"/>
    <xf numFmtId="3" fontId="3" fillId="5" borderId="0" xfId="0" applyNumberFormat="1" applyFont="1" applyFill="1"/>
    <xf numFmtId="166" fontId="0" fillId="6" borderId="0" xfId="0" applyNumberFormat="1" applyFill="1"/>
    <xf numFmtId="43" fontId="0" fillId="0" borderId="0" xfId="0" applyNumberFormat="1"/>
    <xf numFmtId="0" fontId="0" fillId="8" borderId="0" xfId="0" applyFill="1"/>
    <xf numFmtId="3" fontId="0" fillId="8" borderId="0" xfId="0" applyNumberFormat="1" applyFill="1"/>
    <xf numFmtId="4" fontId="0" fillId="8" borderId="0" xfId="0" applyNumberFormat="1" applyFill="1"/>
    <xf numFmtId="3" fontId="2" fillId="5" borderId="0" xfId="0" applyNumberFormat="1" applyFont="1" applyFill="1"/>
    <xf numFmtId="0" fontId="0" fillId="7" borderId="0" xfId="0" applyFill="1"/>
    <xf numFmtId="4" fontId="0" fillId="7" borderId="0" xfId="0" applyNumberFormat="1" applyFill="1"/>
    <xf numFmtId="3" fontId="0" fillId="7" borderId="0" xfId="0" applyNumberFormat="1" applyFill="1"/>
    <xf numFmtId="166" fontId="0" fillId="0" borderId="0" xfId="0" applyNumberFormat="1"/>
    <xf numFmtId="0" fontId="2" fillId="0" borderId="0" xfId="0" applyFont="1"/>
    <xf numFmtId="3" fontId="2" fillId="0" borderId="0" xfId="0" applyNumberFormat="1" applyFont="1"/>
    <xf numFmtId="4" fontId="0" fillId="4" borderId="0" xfId="0" applyNumberFormat="1" applyFill="1"/>
    <xf numFmtId="3" fontId="0" fillId="5" borderId="0" xfId="0" applyNumberFormat="1" applyFill="1"/>
    <xf numFmtId="0" fontId="0" fillId="0" borderId="3" xfId="0" applyFill="1" applyBorder="1" applyAlignment="1"/>
    <xf numFmtId="0" fontId="0" fillId="0" borderId="4" xfId="0" applyFill="1" applyBorder="1" applyAlignment="1"/>
    <xf numFmtId="3" fontId="5" fillId="3" borderId="0" xfId="0" applyNumberFormat="1" applyFont="1" applyFill="1" applyBorder="1" applyAlignment="1">
      <alignment vertical="center" wrapText="1"/>
    </xf>
    <xf numFmtId="0" fontId="0" fillId="4" borderId="0" xfId="0" applyFill="1"/>
    <xf numFmtId="3" fontId="0" fillId="0" borderId="0" xfId="0" applyNumberFormat="1" applyFill="1"/>
    <xf numFmtId="0" fontId="0" fillId="0" borderId="0" xfId="0" applyFill="1"/>
    <xf numFmtId="3" fontId="4" fillId="0" borderId="0" xfId="1" applyNumberFormat="1" applyFont="1" applyFill="1"/>
    <xf numFmtId="0" fontId="2" fillId="5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0" fillId="4" borderId="3" xfId="0" applyFill="1" applyBorder="1" applyAlignment="1"/>
    <xf numFmtId="0" fontId="0" fillId="4" borderId="4" xfId="0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BC211-442A-48D6-83D8-A5E50691666C}">
  <dimension ref="A1:E44"/>
  <sheetViews>
    <sheetView showGridLines="0" topLeftCell="A13" workbookViewId="0">
      <selection activeCell="P36" sqref="P36"/>
    </sheetView>
  </sheetViews>
  <sheetFormatPr defaultRowHeight="14.5" x14ac:dyDescent="0.35"/>
  <cols>
    <col min="1" max="1" width="2.1796875" customWidth="1"/>
    <col min="2" max="2" width="6.08984375" bestFit="1" customWidth="1"/>
    <col min="3" max="3" width="31.36328125" bestFit="1" customWidth="1"/>
    <col min="4" max="5" width="11.81640625" bestFit="1" customWidth="1"/>
  </cols>
  <sheetData>
    <row r="1" spans="1:5" x14ac:dyDescent="0.35">
      <c r="A1" s="33" t="s">
        <v>70</v>
      </c>
    </row>
    <row r="2" spans="1:5" x14ac:dyDescent="0.35">
      <c r="A2" s="33" t="s">
        <v>143</v>
      </c>
    </row>
    <row r="3" spans="1:5" x14ac:dyDescent="0.35">
      <c r="A3" s="33" t="s">
        <v>144</v>
      </c>
    </row>
    <row r="6" spans="1:5" ht="15" thickBot="1" x14ac:dyDescent="0.4">
      <c r="A6" t="s">
        <v>71</v>
      </c>
    </row>
    <row r="7" spans="1:5" x14ac:dyDescent="0.35">
      <c r="B7" s="46"/>
      <c r="C7" s="46"/>
      <c r="D7" s="46" t="s">
        <v>74</v>
      </c>
      <c r="E7" s="46" t="s">
        <v>76</v>
      </c>
    </row>
    <row r="8" spans="1:5" ht="15" thickBot="1" x14ac:dyDescent="0.4">
      <c r="B8" s="47" t="s">
        <v>72</v>
      </c>
      <c r="C8" s="47" t="s">
        <v>73</v>
      </c>
      <c r="D8" s="47" t="s">
        <v>75</v>
      </c>
      <c r="E8" s="47" t="s">
        <v>77</v>
      </c>
    </row>
    <row r="9" spans="1:5" x14ac:dyDescent="0.35">
      <c r="B9" s="37" t="s">
        <v>81</v>
      </c>
      <c r="C9" s="37" t="s">
        <v>5</v>
      </c>
      <c r="D9" s="37">
        <v>95670.855925424548</v>
      </c>
      <c r="E9" s="37">
        <v>0</v>
      </c>
    </row>
    <row r="10" spans="1:5" x14ac:dyDescent="0.35">
      <c r="B10" s="37" t="s">
        <v>82</v>
      </c>
      <c r="C10" s="37" t="s">
        <v>83</v>
      </c>
      <c r="D10" s="37">
        <v>0</v>
      </c>
      <c r="E10" s="37">
        <v>427.62899373804703</v>
      </c>
    </row>
    <row r="11" spans="1:5" x14ac:dyDescent="0.35">
      <c r="B11" s="37" t="s">
        <v>84</v>
      </c>
      <c r="C11" s="37" t="s">
        <v>85</v>
      </c>
      <c r="D11" s="37">
        <v>0</v>
      </c>
      <c r="E11" s="37">
        <v>0</v>
      </c>
    </row>
    <row r="12" spans="1:5" x14ac:dyDescent="0.35">
      <c r="B12" s="37" t="s">
        <v>86</v>
      </c>
      <c r="C12" s="37" t="s">
        <v>87</v>
      </c>
      <c r="D12" s="37">
        <v>140938.76332087797</v>
      </c>
      <c r="E12" s="37">
        <v>0</v>
      </c>
    </row>
    <row r="13" spans="1:5" x14ac:dyDescent="0.35">
      <c r="B13" s="37" t="s">
        <v>88</v>
      </c>
      <c r="C13" s="37" t="s">
        <v>89</v>
      </c>
      <c r="D13" s="37">
        <v>0</v>
      </c>
      <c r="E13" s="37">
        <v>427.62894939773059</v>
      </c>
    </row>
    <row r="14" spans="1:5" x14ac:dyDescent="0.35">
      <c r="B14" s="37" t="s">
        <v>90</v>
      </c>
      <c r="C14" s="37" t="s">
        <v>91</v>
      </c>
      <c r="D14" s="37">
        <v>0</v>
      </c>
      <c r="E14" s="37">
        <v>0</v>
      </c>
    </row>
    <row r="15" spans="1:5" x14ac:dyDescent="0.35">
      <c r="B15" s="37" t="s">
        <v>92</v>
      </c>
      <c r="C15" s="37" t="s">
        <v>93</v>
      </c>
      <c r="D15" s="37">
        <v>2219.5319169280137</v>
      </c>
      <c r="E15" s="37">
        <v>0</v>
      </c>
    </row>
    <row r="16" spans="1:5" x14ac:dyDescent="0.35">
      <c r="B16" s="37" t="s">
        <v>94</v>
      </c>
      <c r="C16" s="37" t="s">
        <v>95</v>
      </c>
      <c r="D16" s="37">
        <v>27414.331160887119</v>
      </c>
      <c r="E16" s="37">
        <v>0</v>
      </c>
    </row>
    <row r="17" spans="1:5" x14ac:dyDescent="0.35">
      <c r="B17" s="37" t="s">
        <v>96</v>
      </c>
      <c r="C17" s="37" t="s">
        <v>97</v>
      </c>
      <c r="D17" s="37">
        <v>290.25859855189111</v>
      </c>
      <c r="E17" s="37">
        <v>0</v>
      </c>
    </row>
    <row r="18" spans="1:5" x14ac:dyDescent="0.35">
      <c r="B18" s="37" t="s">
        <v>98</v>
      </c>
      <c r="C18" s="37" t="s">
        <v>99</v>
      </c>
      <c r="D18" s="37">
        <v>0</v>
      </c>
      <c r="E18" s="37">
        <v>0</v>
      </c>
    </row>
    <row r="19" spans="1:5" x14ac:dyDescent="0.35">
      <c r="B19" s="37" t="s">
        <v>100</v>
      </c>
      <c r="C19" s="37" t="s">
        <v>101</v>
      </c>
      <c r="D19" s="37">
        <v>27414.331160887119</v>
      </c>
      <c r="E19" s="37">
        <v>0</v>
      </c>
    </row>
    <row r="20" spans="1:5" x14ac:dyDescent="0.35">
      <c r="B20" s="37" t="s">
        <v>102</v>
      </c>
      <c r="C20" s="37" t="s">
        <v>103</v>
      </c>
      <c r="D20" s="37">
        <v>12913.530669611906</v>
      </c>
      <c r="E20" s="37">
        <v>0</v>
      </c>
    </row>
    <row r="21" spans="1:5" x14ac:dyDescent="0.35">
      <c r="B21" s="37" t="s">
        <v>104</v>
      </c>
      <c r="C21" s="37" t="s">
        <v>105</v>
      </c>
      <c r="D21" s="37">
        <v>0</v>
      </c>
      <c r="E21" s="37">
        <v>0</v>
      </c>
    </row>
    <row r="22" spans="1:5" x14ac:dyDescent="0.35">
      <c r="B22" s="37" t="s">
        <v>106</v>
      </c>
      <c r="C22" s="37" t="s">
        <v>107</v>
      </c>
      <c r="D22" s="37">
        <v>27414.331160887119</v>
      </c>
      <c r="E22" s="37">
        <v>0</v>
      </c>
    </row>
    <row r="23" spans="1:5" x14ac:dyDescent="0.35">
      <c r="B23" s="37" t="s">
        <v>108</v>
      </c>
      <c r="C23" s="37" t="s">
        <v>109</v>
      </c>
      <c r="D23" s="37">
        <v>39557.183682305229</v>
      </c>
      <c r="E23" s="37">
        <v>0</v>
      </c>
    </row>
    <row r="24" spans="1:5" ht="15" thickBot="1" x14ac:dyDescent="0.4">
      <c r="B24" s="38" t="s">
        <v>110</v>
      </c>
      <c r="C24" s="38" t="s">
        <v>111</v>
      </c>
      <c r="D24" s="38">
        <v>0</v>
      </c>
      <c r="E24" s="38">
        <v>0</v>
      </c>
    </row>
    <row r="26" spans="1:5" ht="15" thickBot="1" x14ac:dyDescent="0.4">
      <c r="A26" t="s">
        <v>78</v>
      </c>
    </row>
    <row r="27" spans="1:5" x14ac:dyDescent="0.35">
      <c r="B27" s="46"/>
      <c r="C27" s="46"/>
      <c r="D27" s="46" t="s">
        <v>74</v>
      </c>
      <c r="E27" s="46" t="s">
        <v>79</v>
      </c>
    </row>
    <row r="28" spans="1:5" ht="15" thickBot="1" x14ac:dyDescent="0.4">
      <c r="B28" s="47" t="s">
        <v>72</v>
      </c>
      <c r="C28" s="47" t="s">
        <v>73</v>
      </c>
      <c r="D28" s="47" t="s">
        <v>75</v>
      </c>
      <c r="E28" s="47" t="s">
        <v>80</v>
      </c>
    </row>
    <row r="29" spans="1:5" x14ac:dyDescent="0.35">
      <c r="B29" s="37" t="s">
        <v>112</v>
      </c>
      <c r="C29" s="37" t="s">
        <v>113</v>
      </c>
      <c r="D29" s="37">
        <v>404329.14407457545</v>
      </c>
      <c r="E29" s="37">
        <v>0</v>
      </c>
    </row>
    <row r="30" spans="1:5" x14ac:dyDescent="0.35">
      <c r="B30" s="37" t="s">
        <v>114</v>
      </c>
      <c r="C30" s="37" t="s">
        <v>115</v>
      </c>
      <c r="D30" s="37">
        <v>404329.14407457545</v>
      </c>
      <c r="E30" s="37">
        <v>0</v>
      </c>
    </row>
    <row r="31" spans="1:5" x14ac:dyDescent="0.35">
      <c r="B31" s="37" t="s">
        <v>116</v>
      </c>
      <c r="C31" s="37" t="s">
        <v>117</v>
      </c>
      <c r="D31" s="37">
        <v>376624.5543151364</v>
      </c>
      <c r="E31" s="37">
        <v>0</v>
      </c>
    </row>
    <row r="32" spans="1:5" x14ac:dyDescent="0.35">
      <c r="B32" s="37" t="s">
        <v>118</v>
      </c>
      <c r="C32" s="37" t="s">
        <v>119</v>
      </c>
      <c r="D32" s="37">
        <v>364001.28224407643</v>
      </c>
      <c r="E32" s="37">
        <v>0</v>
      </c>
    </row>
    <row r="33" spans="2:5" x14ac:dyDescent="0.35">
      <c r="B33" s="37" t="s">
        <v>120</v>
      </c>
      <c r="C33" s="37" t="s">
        <v>121</v>
      </c>
      <c r="D33" s="37">
        <v>337357.62923138309</v>
      </c>
      <c r="E33" s="37">
        <v>0</v>
      </c>
    </row>
    <row r="34" spans="2:5" x14ac:dyDescent="0.35">
      <c r="B34" s="37" t="s">
        <v>122</v>
      </c>
      <c r="C34" s="37" t="s">
        <v>123</v>
      </c>
      <c r="D34" s="37">
        <v>0</v>
      </c>
      <c r="E34" s="48">
        <v>340.97049218611164</v>
      </c>
    </row>
    <row r="35" spans="2:5" x14ac:dyDescent="0.35">
      <c r="B35" s="37" t="s">
        <v>124</v>
      </c>
      <c r="C35" s="37" t="s">
        <v>125</v>
      </c>
      <c r="D35" s="37">
        <v>0</v>
      </c>
      <c r="E35" s="48">
        <v>340.97048302488952</v>
      </c>
    </row>
    <row r="36" spans="2:5" x14ac:dyDescent="0.35">
      <c r="B36" s="37" t="s">
        <v>126</v>
      </c>
      <c r="C36" s="37" t="s">
        <v>127</v>
      </c>
      <c r="D36" s="37">
        <v>0</v>
      </c>
      <c r="E36" s="48">
        <v>224.88571587995929</v>
      </c>
    </row>
    <row r="37" spans="2:5" x14ac:dyDescent="0.35">
      <c r="B37" s="37" t="s">
        <v>128</v>
      </c>
      <c r="C37" s="37" t="s">
        <v>129</v>
      </c>
      <c r="D37" s="37">
        <v>0</v>
      </c>
      <c r="E37" s="48">
        <v>224.88571994896972</v>
      </c>
    </row>
    <row r="38" spans="2:5" x14ac:dyDescent="0.35">
      <c r="B38" s="37" t="s">
        <v>130</v>
      </c>
      <c r="C38" s="37" t="s">
        <v>131</v>
      </c>
      <c r="D38" s="37">
        <v>0</v>
      </c>
      <c r="E38" s="48">
        <v>224.88571994896972</v>
      </c>
    </row>
    <row r="39" spans="2:5" x14ac:dyDescent="0.35">
      <c r="B39" s="37" t="s">
        <v>132</v>
      </c>
      <c r="C39" s="37" t="s">
        <v>7</v>
      </c>
      <c r="D39" s="37">
        <v>0</v>
      </c>
      <c r="E39" s="37">
        <v>1.2354799359300566E-2</v>
      </c>
    </row>
    <row r="40" spans="2:5" x14ac:dyDescent="0.35">
      <c r="B40" s="37" t="s">
        <v>133</v>
      </c>
      <c r="C40" s="37" t="s">
        <v>12</v>
      </c>
      <c r="D40" s="37">
        <v>0</v>
      </c>
      <c r="E40" s="37">
        <v>0.78452126286823554</v>
      </c>
    </row>
    <row r="41" spans="2:5" x14ac:dyDescent="0.35">
      <c r="B41" s="37" t="s">
        <v>134</v>
      </c>
      <c r="C41" s="37" t="s">
        <v>14</v>
      </c>
      <c r="D41" s="37">
        <v>0</v>
      </c>
      <c r="E41" s="37">
        <v>0.40042866261721577</v>
      </c>
    </row>
    <row r="42" spans="2:5" x14ac:dyDescent="0.35">
      <c r="B42" s="37" t="s">
        <v>135</v>
      </c>
      <c r="C42" s="37" t="s">
        <v>16</v>
      </c>
      <c r="D42" s="37">
        <v>0</v>
      </c>
      <c r="E42" s="37">
        <v>9.0014845977896742E-3</v>
      </c>
    </row>
    <row r="43" spans="2:5" x14ac:dyDescent="0.35">
      <c r="B43" s="37" t="s">
        <v>136</v>
      </c>
      <c r="C43" s="37" t="s">
        <v>18</v>
      </c>
      <c r="D43" s="37">
        <v>0</v>
      </c>
      <c r="E43" s="37">
        <v>2.9375620886724452E-3</v>
      </c>
    </row>
    <row r="44" spans="2:5" ht="15" thickBot="1" x14ac:dyDescent="0.4">
      <c r="B44" s="38" t="s">
        <v>137</v>
      </c>
      <c r="C44" s="38" t="s">
        <v>39</v>
      </c>
      <c r="D44" s="38">
        <v>0</v>
      </c>
      <c r="E44" s="49">
        <v>129.07607022025309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58E03-9986-4A8F-ADC6-1F089B397A0A}">
  <dimension ref="A1:E44"/>
  <sheetViews>
    <sheetView showGridLines="0" topLeftCell="A10" workbookViewId="0">
      <selection activeCell="J39" sqref="J39"/>
    </sheetView>
  </sheetViews>
  <sheetFormatPr defaultRowHeight="14.5" x14ac:dyDescent="0.35"/>
  <cols>
    <col min="1" max="1" width="2.1796875" customWidth="1"/>
    <col min="2" max="2" width="6.08984375" bestFit="1" customWidth="1"/>
    <col min="3" max="3" width="31.36328125" bestFit="1" customWidth="1"/>
    <col min="4" max="4" width="12.453125" bestFit="1" customWidth="1"/>
    <col min="5" max="5" width="11.81640625" bestFit="1" customWidth="1"/>
  </cols>
  <sheetData>
    <row r="1" spans="1:5" x14ac:dyDescent="0.35">
      <c r="A1" s="33" t="s">
        <v>70</v>
      </c>
    </row>
    <row r="2" spans="1:5" x14ac:dyDescent="0.35">
      <c r="A2" s="33" t="s">
        <v>143</v>
      </c>
    </row>
    <row r="3" spans="1:5" x14ac:dyDescent="0.35">
      <c r="A3" s="33" t="s">
        <v>145</v>
      </c>
    </row>
    <row r="6" spans="1:5" ht="15" thickBot="1" x14ac:dyDescent="0.4">
      <c r="A6" t="s">
        <v>71</v>
      </c>
    </row>
    <row r="7" spans="1:5" x14ac:dyDescent="0.35">
      <c r="B7" s="46"/>
      <c r="C7" s="46"/>
      <c r="D7" s="46" t="s">
        <v>74</v>
      </c>
      <c r="E7" s="46" t="s">
        <v>76</v>
      </c>
    </row>
    <row r="8" spans="1:5" ht="15" thickBot="1" x14ac:dyDescent="0.4">
      <c r="B8" s="47" t="s">
        <v>72</v>
      </c>
      <c r="C8" s="47" t="s">
        <v>73</v>
      </c>
      <c r="D8" s="47" t="s">
        <v>75</v>
      </c>
      <c r="E8" s="47" t="s">
        <v>77</v>
      </c>
    </row>
    <row r="9" spans="1:5" x14ac:dyDescent="0.35">
      <c r="B9" s="37" t="s">
        <v>81</v>
      </c>
      <c r="C9" s="37" t="s">
        <v>5</v>
      </c>
      <c r="D9" s="37">
        <v>106477.75174929714</v>
      </c>
      <c r="E9" s="37">
        <v>0</v>
      </c>
    </row>
    <row r="10" spans="1:5" x14ac:dyDescent="0.35">
      <c r="B10" s="37" t="s">
        <v>82</v>
      </c>
      <c r="C10" s="37" t="s">
        <v>83</v>
      </c>
      <c r="D10" s="37">
        <v>0</v>
      </c>
      <c r="E10" s="37">
        <v>188.9437674190915</v>
      </c>
    </row>
    <row r="11" spans="1:5" x14ac:dyDescent="0.35">
      <c r="B11" s="37" t="s">
        <v>84</v>
      </c>
      <c r="C11" s="37" t="s">
        <v>85</v>
      </c>
      <c r="D11" s="37">
        <v>0</v>
      </c>
      <c r="E11" s="37">
        <v>0</v>
      </c>
    </row>
    <row r="12" spans="1:5" x14ac:dyDescent="0.35">
      <c r="B12" s="37" t="s">
        <v>86</v>
      </c>
      <c r="C12" s="37" t="s">
        <v>87</v>
      </c>
      <c r="D12" s="37">
        <v>184922.82932403707</v>
      </c>
      <c r="E12" s="37">
        <v>0</v>
      </c>
    </row>
    <row r="13" spans="1:5" x14ac:dyDescent="0.35">
      <c r="B13" s="37" t="s">
        <v>88</v>
      </c>
      <c r="C13" s="37" t="s">
        <v>89</v>
      </c>
      <c r="D13" s="37">
        <v>0</v>
      </c>
      <c r="E13" s="37">
        <v>188.94850114052269</v>
      </c>
    </row>
    <row r="14" spans="1:5" x14ac:dyDescent="0.35">
      <c r="B14" s="37" t="s">
        <v>90</v>
      </c>
      <c r="C14" s="37" t="s">
        <v>91</v>
      </c>
      <c r="D14" s="37">
        <v>0</v>
      </c>
      <c r="E14" s="37">
        <v>0</v>
      </c>
    </row>
    <row r="15" spans="1:5" x14ac:dyDescent="0.35">
      <c r="B15" s="37" t="s">
        <v>92</v>
      </c>
      <c r="C15" s="37" t="s">
        <v>93</v>
      </c>
      <c r="D15" s="37">
        <v>46203.59792008881</v>
      </c>
      <c r="E15" s="37">
        <v>0</v>
      </c>
    </row>
    <row r="16" spans="1:5" x14ac:dyDescent="0.35">
      <c r="B16" s="37" t="s">
        <v>94</v>
      </c>
      <c r="C16" s="37" t="s">
        <v>95</v>
      </c>
      <c r="D16" s="37">
        <v>19226.275990456721</v>
      </c>
      <c r="E16" s="37">
        <v>0</v>
      </c>
    </row>
    <row r="17" spans="1:5" x14ac:dyDescent="0.35">
      <c r="B17" s="37" t="s">
        <v>96</v>
      </c>
      <c r="C17" s="37" t="s">
        <v>97</v>
      </c>
      <c r="D17" s="37">
        <v>0</v>
      </c>
      <c r="E17" s="37">
        <v>932.99754377207546</v>
      </c>
    </row>
    <row r="18" spans="1:5" x14ac:dyDescent="0.35">
      <c r="B18" s="37" t="s">
        <v>98</v>
      </c>
      <c r="C18" s="37" t="s">
        <v>99</v>
      </c>
      <c r="D18" s="37">
        <v>0</v>
      </c>
      <c r="E18" s="37">
        <v>58.556484050363991</v>
      </c>
    </row>
    <row r="19" spans="1:5" x14ac:dyDescent="0.35">
      <c r="B19" s="37" t="s">
        <v>100</v>
      </c>
      <c r="C19" s="37" t="s">
        <v>101</v>
      </c>
      <c r="D19" s="37">
        <v>58347.986954485801</v>
      </c>
      <c r="E19" s="37">
        <v>0</v>
      </c>
    </row>
    <row r="20" spans="1:5" x14ac:dyDescent="0.35">
      <c r="B20" s="37" t="s">
        <v>102</v>
      </c>
      <c r="C20" s="37" t="s">
        <v>103</v>
      </c>
      <c r="D20" s="37">
        <v>0</v>
      </c>
      <c r="E20" s="37">
        <v>339.89781371404524</v>
      </c>
    </row>
    <row r="21" spans="1:5" x14ac:dyDescent="0.35">
      <c r="B21" s="37" t="s">
        <v>104</v>
      </c>
      <c r="C21" s="37" t="s">
        <v>105</v>
      </c>
      <c r="D21" s="37">
        <v>0</v>
      </c>
      <c r="E21" s="37">
        <v>98.107184613556541</v>
      </c>
    </row>
    <row r="22" spans="1:5" x14ac:dyDescent="0.35">
      <c r="B22" s="37" t="s">
        <v>106</v>
      </c>
      <c r="C22" s="37" t="s">
        <v>107</v>
      </c>
      <c r="D22" s="37">
        <v>80766.863616625735</v>
      </c>
      <c r="E22" s="37">
        <v>0</v>
      </c>
    </row>
    <row r="23" spans="1:5" x14ac:dyDescent="0.35">
      <c r="B23" s="37" t="s">
        <v>108</v>
      </c>
      <c r="C23" s="37" t="s">
        <v>109</v>
      </c>
      <c r="D23" s="37">
        <v>19409.828809709423</v>
      </c>
      <c r="E23" s="37">
        <v>0</v>
      </c>
    </row>
    <row r="24" spans="1:5" ht="15" thickBot="1" x14ac:dyDescent="0.4">
      <c r="B24" s="38" t="s">
        <v>110</v>
      </c>
      <c r="C24" s="38" t="s">
        <v>111</v>
      </c>
      <c r="D24" s="38">
        <v>0</v>
      </c>
      <c r="E24" s="38">
        <v>0</v>
      </c>
    </row>
    <row r="26" spans="1:5" ht="15" thickBot="1" x14ac:dyDescent="0.4">
      <c r="A26" t="s">
        <v>78</v>
      </c>
    </row>
    <row r="27" spans="1:5" x14ac:dyDescent="0.35">
      <c r="B27" s="46"/>
      <c r="C27" s="46"/>
      <c r="D27" s="46" t="s">
        <v>74</v>
      </c>
      <c r="E27" s="46" t="s">
        <v>79</v>
      </c>
    </row>
    <row r="28" spans="1:5" ht="15" thickBot="1" x14ac:dyDescent="0.4">
      <c r="B28" s="47" t="s">
        <v>72</v>
      </c>
      <c r="C28" s="47" t="s">
        <v>73</v>
      </c>
      <c r="D28" s="47" t="s">
        <v>75</v>
      </c>
      <c r="E28" s="47" t="s">
        <v>80</v>
      </c>
    </row>
    <row r="29" spans="1:5" x14ac:dyDescent="0.35">
      <c r="B29" s="37" t="s">
        <v>112</v>
      </c>
      <c r="C29" s="37" t="s">
        <v>113</v>
      </c>
      <c r="D29" s="37">
        <v>393522.24825070286</v>
      </c>
      <c r="E29" s="37">
        <v>0</v>
      </c>
    </row>
    <row r="30" spans="1:5" x14ac:dyDescent="0.35">
      <c r="B30" s="37" t="s">
        <v>114</v>
      </c>
      <c r="C30" s="37" t="s">
        <v>115</v>
      </c>
      <c r="D30" s="37">
        <v>393522.24825070286</v>
      </c>
      <c r="E30" s="37">
        <v>0</v>
      </c>
    </row>
    <row r="31" spans="1:5" x14ac:dyDescent="0.35">
      <c r="B31" s="37" t="s">
        <v>116</v>
      </c>
      <c r="C31" s="37" t="s">
        <v>117</v>
      </c>
      <c r="D31" s="37">
        <v>374295.97226024617</v>
      </c>
      <c r="E31" s="37">
        <v>0</v>
      </c>
    </row>
    <row r="32" spans="1:5" x14ac:dyDescent="0.35">
      <c r="B32" s="37" t="s">
        <v>118</v>
      </c>
      <c r="C32" s="37" t="s">
        <v>119</v>
      </c>
      <c r="D32" s="37">
        <v>335174.26129621704</v>
      </c>
      <c r="E32" s="37">
        <v>0</v>
      </c>
    </row>
    <row r="33" spans="2:5" x14ac:dyDescent="0.35">
      <c r="B33" s="37" t="s">
        <v>120</v>
      </c>
      <c r="C33" s="37" t="s">
        <v>121</v>
      </c>
      <c r="D33" s="37">
        <v>293345.55582436774</v>
      </c>
      <c r="E33" s="37">
        <v>0</v>
      </c>
    </row>
    <row r="34" spans="2:5" x14ac:dyDescent="0.35">
      <c r="B34" s="37" t="s">
        <v>122</v>
      </c>
      <c r="C34" s="37" t="s">
        <v>123</v>
      </c>
      <c r="D34" s="37">
        <v>-2.3283064365386963E-9</v>
      </c>
      <c r="E34" s="48">
        <v>282.13169657892678</v>
      </c>
    </row>
    <row r="35" spans="2:5" x14ac:dyDescent="0.35">
      <c r="B35" s="37" t="s">
        <v>124</v>
      </c>
      <c r="C35" s="37" t="s">
        <v>125</v>
      </c>
      <c r="D35" s="37">
        <v>-6.4028427004814148E-10</v>
      </c>
      <c r="E35" s="48">
        <v>282.13267462051397</v>
      </c>
    </row>
    <row r="36" spans="2:5" x14ac:dyDescent="0.35">
      <c r="B36" s="37" t="s">
        <v>126</v>
      </c>
      <c r="C36" s="37" t="s">
        <v>127</v>
      </c>
      <c r="D36" s="37">
        <v>0</v>
      </c>
      <c r="E36" s="48">
        <v>223.64547997130771</v>
      </c>
    </row>
    <row r="37" spans="2:5" x14ac:dyDescent="0.35">
      <c r="B37" s="37" t="s">
        <v>128</v>
      </c>
      <c r="C37" s="37" t="s">
        <v>129</v>
      </c>
      <c r="D37" s="37">
        <v>-5.2386894822120667E-10</v>
      </c>
      <c r="E37" s="48">
        <v>184.10483886573914</v>
      </c>
    </row>
    <row r="38" spans="2:5" x14ac:dyDescent="0.35">
      <c r="B38" s="37" t="s">
        <v>130</v>
      </c>
      <c r="C38" s="37" t="s">
        <v>131</v>
      </c>
      <c r="D38" s="37">
        <v>7.5669959187507629E-10</v>
      </c>
      <c r="E38" s="48">
        <v>161.44590352879655</v>
      </c>
    </row>
    <row r="39" spans="2:5" x14ac:dyDescent="0.35">
      <c r="B39" s="37" t="s">
        <v>132</v>
      </c>
      <c r="C39" s="37" t="s">
        <v>7</v>
      </c>
      <c r="D39" s="37">
        <v>0</v>
      </c>
      <c r="E39" s="37">
        <v>9.7894917074098625E-3</v>
      </c>
    </row>
    <row r="40" spans="2:5" x14ac:dyDescent="0.35">
      <c r="B40" s="37" t="s">
        <v>133</v>
      </c>
      <c r="C40" s="37" t="s">
        <v>12</v>
      </c>
      <c r="D40" s="37">
        <v>0</v>
      </c>
      <c r="E40" s="37">
        <v>3.9181259791303907E-2</v>
      </c>
    </row>
    <row r="41" spans="2:5" x14ac:dyDescent="0.35">
      <c r="B41" s="37" t="s">
        <v>134</v>
      </c>
      <c r="C41" s="37" t="s">
        <v>14</v>
      </c>
      <c r="D41" s="37">
        <v>0</v>
      </c>
      <c r="E41" s="37">
        <v>0</v>
      </c>
    </row>
    <row r="42" spans="2:5" x14ac:dyDescent="0.35">
      <c r="B42" s="37" t="s">
        <v>135</v>
      </c>
      <c r="C42" s="37" t="s">
        <v>16</v>
      </c>
      <c r="D42" s="37">
        <v>0</v>
      </c>
      <c r="E42" s="37">
        <v>0</v>
      </c>
    </row>
    <row r="43" spans="2:5" x14ac:dyDescent="0.35">
      <c r="B43" s="37" t="s">
        <v>136</v>
      </c>
      <c r="C43" s="37" t="s">
        <v>18</v>
      </c>
      <c r="D43" s="37">
        <v>0</v>
      </c>
      <c r="E43" s="37">
        <v>6.2219145912430105E-3</v>
      </c>
    </row>
    <row r="44" spans="2:5" ht="15" thickBot="1" x14ac:dyDescent="0.4">
      <c r="B44" s="38" t="s">
        <v>137</v>
      </c>
      <c r="C44" s="38" t="s">
        <v>39</v>
      </c>
      <c r="D44" s="38">
        <v>-1.128646545112133E-7</v>
      </c>
      <c r="E44" s="49">
        <v>97.356162010166514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BDC2C-316D-42C5-8EB9-C8CD4A513BBA}">
  <dimension ref="A1:E44"/>
  <sheetViews>
    <sheetView showGridLines="0" topLeftCell="A10" workbookViewId="0">
      <selection activeCell="J21" sqref="J21"/>
    </sheetView>
  </sheetViews>
  <sheetFormatPr defaultRowHeight="14.5" x14ac:dyDescent="0.35"/>
  <cols>
    <col min="1" max="1" width="2.1796875" customWidth="1"/>
    <col min="2" max="2" width="6.08984375" bestFit="1" customWidth="1"/>
    <col min="3" max="3" width="31.36328125" bestFit="1" customWidth="1"/>
    <col min="4" max="5" width="11.81640625" bestFit="1" customWidth="1"/>
  </cols>
  <sheetData>
    <row r="1" spans="1:5" x14ac:dyDescent="0.35">
      <c r="A1" s="33" t="s">
        <v>70</v>
      </c>
    </row>
    <row r="2" spans="1:5" x14ac:dyDescent="0.35">
      <c r="A2" s="33" t="s">
        <v>143</v>
      </c>
    </row>
    <row r="3" spans="1:5" x14ac:dyDescent="0.35">
      <c r="A3" s="33" t="s">
        <v>146</v>
      </c>
    </row>
    <row r="6" spans="1:5" ht="15" thickBot="1" x14ac:dyDescent="0.4">
      <c r="A6" t="s">
        <v>71</v>
      </c>
    </row>
    <row r="7" spans="1:5" x14ac:dyDescent="0.35">
      <c r="B7" s="46"/>
      <c r="C7" s="46"/>
      <c r="D7" s="46" t="s">
        <v>74</v>
      </c>
      <c r="E7" s="46" t="s">
        <v>76</v>
      </c>
    </row>
    <row r="8" spans="1:5" ht="15" thickBot="1" x14ac:dyDescent="0.4">
      <c r="B8" s="47" t="s">
        <v>72</v>
      </c>
      <c r="C8" s="47" t="s">
        <v>73</v>
      </c>
      <c r="D8" s="47" t="s">
        <v>75</v>
      </c>
      <c r="E8" s="47" t="s">
        <v>77</v>
      </c>
    </row>
    <row r="9" spans="1:5" x14ac:dyDescent="0.35">
      <c r="B9" s="37" t="s">
        <v>81</v>
      </c>
      <c r="C9" s="37" t="s">
        <v>5</v>
      </c>
      <c r="D9" s="37">
        <v>116282.64563083561</v>
      </c>
      <c r="E9" s="37">
        <v>0</v>
      </c>
    </row>
    <row r="10" spans="1:5" x14ac:dyDescent="0.35">
      <c r="B10" s="37" t="s">
        <v>82</v>
      </c>
      <c r="C10" s="37" t="s">
        <v>83</v>
      </c>
      <c r="D10" s="37">
        <v>18624.329853086783</v>
      </c>
      <c r="E10" s="37">
        <v>0</v>
      </c>
    </row>
    <row r="11" spans="1:5" x14ac:dyDescent="0.35">
      <c r="B11" s="37" t="s">
        <v>84</v>
      </c>
      <c r="C11" s="37" t="s">
        <v>85</v>
      </c>
      <c r="D11" s="37">
        <v>0</v>
      </c>
      <c r="E11" s="37">
        <v>0</v>
      </c>
    </row>
    <row r="12" spans="1:5" x14ac:dyDescent="0.35">
      <c r="B12" s="37" t="s">
        <v>86</v>
      </c>
      <c r="C12" s="37" t="s">
        <v>87</v>
      </c>
      <c r="D12" s="37">
        <v>314970.50391085632</v>
      </c>
      <c r="E12" s="37">
        <v>0</v>
      </c>
    </row>
    <row r="13" spans="1:5" x14ac:dyDescent="0.35">
      <c r="B13" s="37" t="s">
        <v>88</v>
      </c>
      <c r="C13" s="37" t="s">
        <v>89</v>
      </c>
      <c r="D13" s="37">
        <v>18624.334994647004</v>
      </c>
      <c r="E13" s="37">
        <v>0</v>
      </c>
    </row>
    <row r="14" spans="1:5" x14ac:dyDescent="0.35">
      <c r="B14" s="37" t="s">
        <v>90</v>
      </c>
      <c r="C14" s="37" t="s">
        <v>91</v>
      </c>
      <c r="D14" s="37">
        <v>0</v>
      </c>
      <c r="E14" s="37">
        <v>0</v>
      </c>
    </row>
    <row r="15" spans="1:5" x14ac:dyDescent="0.35">
      <c r="B15" s="37" t="s">
        <v>92</v>
      </c>
      <c r="C15" s="37" t="s">
        <v>93</v>
      </c>
      <c r="D15" s="37">
        <v>176251.29739204652</v>
      </c>
      <c r="E15" s="37">
        <v>0</v>
      </c>
    </row>
    <row r="16" spans="1:5" x14ac:dyDescent="0.35">
      <c r="B16" s="37" t="s">
        <v>94</v>
      </c>
      <c r="C16" s="37" t="s">
        <v>95</v>
      </c>
      <c r="D16" s="37">
        <v>18624.327605190647</v>
      </c>
      <c r="E16" s="37">
        <v>0</v>
      </c>
    </row>
    <row r="17" spans="1:5" x14ac:dyDescent="0.35">
      <c r="B17" s="37" t="s">
        <v>96</v>
      </c>
      <c r="C17" s="37" t="s">
        <v>97</v>
      </c>
      <c r="D17" s="37">
        <v>0</v>
      </c>
      <c r="E17" s="37">
        <v>0</v>
      </c>
    </row>
    <row r="18" spans="1:5" x14ac:dyDescent="0.35">
      <c r="B18" s="37" t="s">
        <v>98</v>
      </c>
      <c r="C18" s="37" t="s">
        <v>99</v>
      </c>
      <c r="D18" s="37">
        <v>36992.48791315905</v>
      </c>
      <c r="E18" s="37">
        <v>0</v>
      </c>
    </row>
    <row r="19" spans="1:5" x14ac:dyDescent="0.35">
      <c r="B19" s="37" t="s">
        <v>100</v>
      </c>
      <c r="C19" s="37" t="s">
        <v>101</v>
      </c>
      <c r="D19" s="37">
        <v>50102.962554100748</v>
      </c>
      <c r="E19" s="37">
        <v>0</v>
      </c>
    </row>
    <row r="20" spans="1:5" x14ac:dyDescent="0.35">
      <c r="B20" s="37" t="s">
        <v>102</v>
      </c>
      <c r="C20" s="37" t="s">
        <v>103</v>
      </c>
      <c r="D20" s="37">
        <v>0</v>
      </c>
      <c r="E20" s="37">
        <v>1402.0802193902502</v>
      </c>
    </row>
    <row r="21" spans="1:5" x14ac:dyDescent="0.35">
      <c r="B21" s="37" t="s">
        <v>104</v>
      </c>
      <c r="C21" s="37" t="s">
        <v>105</v>
      </c>
      <c r="D21" s="37">
        <v>0</v>
      </c>
      <c r="E21" s="37">
        <v>31.824427979861781</v>
      </c>
    </row>
    <row r="22" spans="1:5" x14ac:dyDescent="0.35">
      <c r="B22" s="37" t="s">
        <v>106</v>
      </c>
      <c r="C22" s="37" t="s">
        <v>107</v>
      </c>
      <c r="D22" s="37">
        <v>132676.26734550574</v>
      </c>
      <c r="E22" s="37">
        <v>0</v>
      </c>
    </row>
    <row r="23" spans="1:5" x14ac:dyDescent="0.35">
      <c r="B23" s="37" t="s">
        <v>108</v>
      </c>
      <c r="C23" s="37" t="s">
        <v>109</v>
      </c>
      <c r="D23" s="37">
        <v>0</v>
      </c>
      <c r="E23" s="37">
        <v>150.2298068399939</v>
      </c>
    </row>
    <row r="24" spans="1:5" ht="15" thickBot="1" x14ac:dyDescent="0.4">
      <c r="B24" s="38" t="s">
        <v>110</v>
      </c>
      <c r="C24" s="38" t="s">
        <v>111</v>
      </c>
      <c r="D24" s="38">
        <v>0</v>
      </c>
      <c r="E24" s="38">
        <v>115.28252928501551</v>
      </c>
    </row>
    <row r="26" spans="1:5" ht="15" thickBot="1" x14ac:dyDescent="0.4">
      <c r="A26" t="s">
        <v>78</v>
      </c>
    </row>
    <row r="27" spans="1:5" x14ac:dyDescent="0.35">
      <c r="B27" s="46"/>
      <c r="C27" s="46"/>
      <c r="D27" s="46" t="s">
        <v>74</v>
      </c>
      <c r="E27" s="46" t="s">
        <v>79</v>
      </c>
    </row>
    <row r="28" spans="1:5" ht="15" thickBot="1" x14ac:dyDescent="0.4">
      <c r="B28" s="47" t="s">
        <v>72</v>
      </c>
      <c r="C28" s="47" t="s">
        <v>73</v>
      </c>
      <c r="D28" s="47" t="s">
        <v>75</v>
      </c>
      <c r="E28" s="47" t="s">
        <v>80</v>
      </c>
    </row>
    <row r="29" spans="1:5" x14ac:dyDescent="0.35">
      <c r="B29" s="37" t="s">
        <v>112</v>
      </c>
      <c r="C29" s="37" t="s">
        <v>113</v>
      </c>
      <c r="D29" s="37">
        <v>365093.0245160776</v>
      </c>
      <c r="E29" s="37">
        <v>0</v>
      </c>
    </row>
    <row r="30" spans="1:5" x14ac:dyDescent="0.35">
      <c r="B30" s="37" t="s">
        <v>114</v>
      </c>
      <c r="C30" s="37" t="s">
        <v>115</v>
      </c>
      <c r="D30" s="37">
        <v>365093.01937451737</v>
      </c>
      <c r="E30" s="37">
        <v>0</v>
      </c>
    </row>
    <row r="31" spans="1:5" x14ac:dyDescent="0.35">
      <c r="B31" s="37" t="s">
        <v>116</v>
      </c>
      <c r="C31" s="37" t="s">
        <v>117</v>
      </c>
      <c r="D31" s="37">
        <v>365093.02676397376</v>
      </c>
      <c r="E31" s="37">
        <v>0</v>
      </c>
    </row>
    <row r="32" spans="1:5" x14ac:dyDescent="0.35">
      <c r="B32" s="37" t="s">
        <v>118</v>
      </c>
      <c r="C32" s="37" t="s">
        <v>119</v>
      </c>
      <c r="D32" s="37">
        <v>333614.39181506366</v>
      </c>
      <c r="E32" s="37">
        <v>0</v>
      </c>
    </row>
    <row r="33" spans="2:5" x14ac:dyDescent="0.35">
      <c r="B33" s="37" t="s">
        <v>120</v>
      </c>
      <c r="C33" s="37" t="s">
        <v>121</v>
      </c>
      <c r="D33" s="37">
        <v>251041.08702365865</v>
      </c>
      <c r="E33" s="37">
        <v>0</v>
      </c>
    </row>
    <row r="34" spans="2:5" x14ac:dyDescent="0.35">
      <c r="B34" s="37" t="s">
        <v>122</v>
      </c>
      <c r="C34" s="37" t="s">
        <v>123</v>
      </c>
      <c r="D34" s="37">
        <v>1.5323166735470295E-8</v>
      </c>
      <c r="E34" s="48">
        <v>213.22818451534627</v>
      </c>
    </row>
    <row r="35" spans="2:5" x14ac:dyDescent="0.35">
      <c r="B35" s="37" t="s">
        <v>124</v>
      </c>
      <c r="C35" s="37" t="s">
        <v>125</v>
      </c>
      <c r="D35" s="37">
        <v>3.9726728573441505E-9</v>
      </c>
      <c r="E35" s="48">
        <v>213.22818451534621</v>
      </c>
    </row>
    <row r="36" spans="2:5" x14ac:dyDescent="0.35">
      <c r="B36" s="37" t="s">
        <v>126</v>
      </c>
      <c r="C36" s="37" t="s">
        <v>127</v>
      </c>
      <c r="D36" s="37">
        <v>-1.4711986295878887E-8</v>
      </c>
      <c r="E36" s="48">
        <v>213.22818451534619</v>
      </c>
    </row>
    <row r="37" spans="2:5" x14ac:dyDescent="0.35">
      <c r="B37" s="37" t="s">
        <v>128</v>
      </c>
      <c r="C37" s="37" t="s">
        <v>129</v>
      </c>
      <c r="D37" s="37">
        <v>1.4842953532934189E-9</v>
      </c>
      <c r="E37" s="48">
        <v>181.41247537181664</v>
      </c>
    </row>
    <row r="38" spans="2:5" x14ac:dyDescent="0.35">
      <c r="B38" s="37" t="s">
        <v>130</v>
      </c>
      <c r="C38" s="37" t="s">
        <v>131</v>
      </c>
      <c r="D38" s="37">
        <v>1.280568540096283E-9</v>
      </c>
      <c r="E38" s="48">
        <v>97.955010796586748</v>
      </c>
    </row>
    <row r="39" spans="2:5" x14ac:dyDescent="0.35">
      <c r="B39" s="37" t="s">
        <v>132</v>
      </c>
      <c r="C39" s="37" t="s">
        <v>7</v>
      </c>
      <c r="D39" s="37">
        <v>0</v>
      </c>
      <c r="E39" s="37">
        <v>5.9666406722519785E-3</v>
      </c>
    </row>
    <row r="40" spans="2:5" x14ac:dyDescent="0.35">
      <c r="B40" s="37" t="s">
        <v>133</v>
      </c>
      <c r="C40" s="37" t="s">
        <v>12</v>
      </c>
      <c r="D40" s="37">
        <v>0</v>
      </c>
      <c r="E40" s="37">
        <v>1.0662706199503194E-2</v>
      </c>
    </row>
    <row r="41" spans="2:5" x14ac:dyDescent="0.35">
      <c r="B41" s="37" t="s">
        <v>134</v>
      </c>
      <c r="C41" s="37" t="s">
        <v>14</v>
      </c>
      <c r="D41" s="37">
        <v>0</v>
      </c>
      <c r="E41" s="37">
        <v>5.0802632728333859E-2</v>
      </c>
    </row>
    <row r="42" spans="2:5" x14ac:dyDescent="0.35">
      <c r="B42" s="37" t="s">
        <v>135</v>
      </c>
      <c r="C42" s="37" t="s">
        <v>16</v>
      </c>
      <c r="D42" s="37">
        <v>0</v>
      </c>
      <c r="E42" s="37">
        <v>0</v>
      </c>
    </row>
    <row r="43" spans="2:5" x14ac:dyDescent="0.35">
      <c r="B43" s="37" t="s">
        <v>136</v>
      </c>
      <c r="C43" s="37" t="s">
        <v>18</v>
      </c>
      <c r="D43" s="37">
        <v>0</v>
      </c>
      <c r="E43" s="37">
        <v>0</v>
      </c>
    </row>
    <row r="44" spans="2:5" ht="15" thickBot="1" x14ac:dyDescent="0.4">
      <c r="B44" s="38" t="s">
        <v>137</v>
      </c>
      <c r="C44" s="38" t="s">
        <v>39</v>
      </c>
      <c r="D44" s="38">
        <v>2.5611370801925659E-9</v>
      </c>
      <c r="E44" s="49">
        <v>60.603895571881957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68333-E2D5-409A-BAD4-CA7E24269F81}">
  <dimension ref="A1:E44"/>
  <sheetViews>
    <sheetView showGridLines="0" topLeftCell="A13" workbookViewId="0">
      <selection activeCell="E44" sqref="E44"/>
    </sheetView>
  </sheetViews>
  <sheetFormatPr defaultRowHeight="14.5" x14ac:dyDescent="0.35"/>
  <cols>
    <col min="1" max="1" width="2.1796875" customWidth="1"/>
    <col min="2" max="2" width="6.08984375" bestFit="1" customWidth="1"/>
    <col min="3" max="3" width="31.36328125" bestFit="1" customWidth="1"/>
    <col min="4" max="5" width="11.81640625" bestFit="1" customWidth="1"/>
  </cols>
  <sheetData>
    <row r="1" spans="1:5" x14ac:dyDescent="0.35">
      <c r="A1" s="33" t="s">
        <v>70</v>
      </c>
    </row>
    <row r="2" spans="1:5" x14ac:dyDescent="0.35">
      <c r="A2" s="33" t="s">
        <v>143</v>
      </c>
    </row>
    <row r="3" spans="1:5" x14ac:dyDescent="0.35">
      <c r="A3" s="33" t="s">
        <v>147</v>
      </c>
    </row>
    <row r="6" spans="1:5" ht="15" thickBot="1" x14ac:dyDescent="0.4">
      <c r="A6" t="s">
        <v>71</v>
      </c>
    </row>
    <row r="7" spans="1:5" x14ac:dyDescent="0.35">
      <c r="B7" s="46"/>
      <c r="C7" s="46"/>
      <c r="D7" s="46" t="s">
        <v>74</v>
      </c>
      <c r="E7" s="46" t="s">
        <v>76</v>
      </c>
    </row>
    <row r="8" spans="1:5" ht="15" thickBot="1" x14ac:dyDescent="0.4">
      <c r="B8" s="47" t="s">
        <v>72</v>
      </c>
      <c r="C8" s="47" t="s">
        <v>73</v>
      </c>
      <c r="D8" s="47" t="s">
        <v>75</v>
      </c>
      <c r="E8" s="47" t="s">
        <v>77</v>
      </c>
    </row>
    <row r="9" spans="1:5" x14ac:dyDescent="0.35">
      <c r="B9" s="37" t="s">
        <v>81</v>
      </c>
      <c r="C9" s="37" t="s">
        <v>5</v>
      </c>
      <c r="D9" s="37">
        <v>122276.32421129168</v>
      </c>
      <c r="E9" s="37">
        <v>0</v>
      </c>
    </row>
    <row r="10" spans="1:5" x14ac:dyDescent="0.35">
      <c r="B10" s="37" t="s">
        <v>82</v>
      </c>
      <c r="C10" s="37" t="s">
        <v>83</v>
      </c>
      <c r="D10" s="37">
        <v>51837.900833736807</v>
      </c>
      <c r="E10" s="37">
        <v>0</v>
      </c>
    </row>
    <row r="11" spans="1:5" x14ac:dyDescent="0.35">
      <c r="B11" s="37" t="s">
        <v>84</v>
      </c>
      <c r="C11" s="37" t="s">
        <v>85</v>
      </c>
      <c r="D11" s="37">
        <v>0</v>
      </c>
      <c r="E11" s="37">
        <v>0</v>
      </c>
    </row>
    <row r="12" spans="1:5" x14ac:dyDescent="0.35">
      <c r="B12" s="37" t="s">
        <v>86</v>
      </c>
      <c r="C12" s="37" t="s">
        <v>87</v>
      </c>
      <c r="D12" s="37">
        <v>500118.45927967975</v>
      </c>
      <c r="E12" s="37">
        <v>0</v>
      </c>
    </row>
    <row r="13" spans="1:5" x14ac:dyDescent="0.35">
      <c r="B13" s="37" t="s">
        <v>88</v>
      </c>
      <c r="C13" s="37" t="s">
        <v>89</v>
      </c>
      <c r="D13" s="37">
        <v>51837.905975294641</v>
      </c>
      <c r="E13" s="37">
        <v>0</v>
      </c>
    </row>
    <row r="14" spans="1:5" x14ac:dyDescent="0.35">
      <c r="B14" s="37" t="s">
        <v>90</v>
      </c>
      <c r="C14" s="37" t="s">
        <v>91</v>
      </c>
      <c r="D14" s="37">
        <v>0</v>
      </c>
      <c r="E14" s="37">
        <v>0</v>
      </c>
    </row>
    <row r="15" spans="1:5" x14ac:dyDescent="0.35">
      <c r="B15" s="37" t="s">
        <v>92</v>
      </c>
      <c r="C15" s="37" t="s">
        <v>93</v>
      </c>
      <c r="D15" s="37">
        <v>361399.25276086974</v>
      </c>
      <c r="E15" s="37">
        <v>0</v>
      </c>
    </row>
    <row r="16" spans="1:5" x14ac:dyDescent="0.35">
      <c r="B16" s="37" t="s">
        <v>94</v>
      </c>
      <c r="C16" s="37" t="s">
        <v>95</v>
      </c>
      <c r="D16" s="37">
        <v>51837.902143475723</v>
      </c>
      <c r="E16" s="37">
        <v>0</v>
      </c>
    </row>
    <row r="17" spans="1:5" x14ac:dyDescent="0.35">
      <c r="B17" s="37" t="s">
        <v>96</v>
      </c>
      <c r="C17" s="37" t="s">
        <v>97</v>
      </c>
      <c r="D17" s="37">
        <v>0</v>
      </c>
      <c r="E17" s="37">
        <v>0</v>
      </c>
    </row>
    <row r="18" spans="1:5" x14ac:dyDescent="0.35">
      <c r="B18" s="37" t="s">
        <v>98</v>
      </c>
      <c r="C18" s="37" t="s">
        <v>99</v>
      </c>
      <c r="D18" s="37">
        <v>222140.4605009662</v>
      </c>
      <c r="E18" s="37">
        <v>0</v>
      </c>
    </row>
    <row r="19" spans="1:5" x14ac:dyDescent="0.35">
      <c r="B19" s="37" t="s">
        <v>100</v>
      </c>
      <c r="C19" s="37" t="s">
        <v>101</v>
      </c>
      <c r="D19" s="37">
        <v>51837.908622195893</v>
      </c>
      <c r="E19" s="37">
        <v>0</v>
      </c>
    </row>
    <row r="20" spans="1:5" x14ac:dyDescent="0.35">
      <c r="B20" s="37" t="s">
        <v>102</v>
      </c>
      <c r="C20" s="37" t="s">
        <v>103</v>
      </c>
      <c r="D20" s="37">
        <v>0</v>
      </c>
      <c r="E20" s="37">
        <v>0</v>
      </c>
    </row>
    <row r="21" spans="1:5" x14ac:dyDescent="0.35">
      <c r="B21" s="37" t="s">
        <v>104</v>
      </c>
      <c r="C21" s="37" t="s">
        <v>105</v>
      </c>
      <c r="D21" s="37">
        <v>32791.410792109702</v>
      </c>
      <c r="E21" s="37">
        <v>0</v>
      </c>
    </row>
    <row r="22" spans="1:5" x14ac:dyDescent="0.35">
      <c r="B22" s="37" t="s">
        <v>106</v>
      </c>
      <c r="C22" s="37" t="s">
        <v>107</v>
      </c>
      <c r="D22" s="37">
        <v>127636.12853920391</v>
      </c>
      <c r="E22" s="37">
        <v>0</v>
      </c>
    </row>
    <row r="23" spans="1:5" x14ac:dyDescent="0.35">
      <c r="B23" s="37" t="s">
        <v>108</v>
      </c>
      <c r="C23" s="37" t="s">
        <v>109</v>
      </c>
      <c r="D23" s="37">
        <v>0</v>
      </c>
      <c r="E23" s="37">
        <v>799.18530140272401</v>
      </c>
    </row>
    <row r="24" spans="1:5" ht="15" thickBot="1" x14ac:dyDescent="0.4">
      <c r="B24" s="38" t="s">
        <v>110</v>
      </c>
      <c r="C24" s="38" t="s">
        <v>111</v>
      </c>
      <c r="D24" s="38">
        <v>0</v>
      </c>
      <c r="E24" s="38">
        <v>76.547842496003298</v>
      </c>
    </row>
    <row r="26" spans="1:5" ht="15" thickBot="1" x14ac:dyDescent="0.4">
      <c r="A26" t="s">
        <v>78</v>
      </c>
    </row>
    <row r="27" spans="1:5" x14ac:dyDescent="0.35">
      <c r="B27" s="46"/>
      <c r="C27" s="46"/>
      <c r="D27" s="46" t="s">
        <v>74</v>
      </c>
      <c r="E27" s="46" t="s">
        <v>79</v>
      </c>
    </row>
    <row r="28" spans="1:5" ht="15" thickBot="1" x14ac:dyDescent="0.4">
      <c r="B28" s="47" t="s">
        <v>72</v>
      </c>
      <c r="C28" s="47" t="s">
        <v>73</v>
      </c>
      <c r="D28" s="47" t="s">
        <v>75</v>
      </c>
      <c r="E28" s="47" t="s">
        <v>80</v>
      </c>
    </row>
    <row r="29" spans="1:5" x14ac:dyDescent="0.35">
      <c r="B29" s="37" t="s">
        <v>112</v>
      </c>
      <c r="C29" s="37" t="s">
        <v>113</v>
      </c>
      <c r="D29" s="37">
        <v>325885.77495497151</v>
      </c>
      <c r="E29" s="37">
        <v>0</v>
      </c>
    </row>
    <row r="30" spans="1:5" x14ac:dyDescent="0.35">
      <c r="B30" s="37" t="s">
        <v>114</v>
      </c>
      <c r="C30" s="37" t="s">
        <v>115</v>
      </c>
      <c r="D30" s="37">
        <v>325885.76981341367</v>
      </c>
      <c r="E30" s="37">
        <v>0</v>
      </c>
    </row>
    <row r="31" spans="1:5" x14ac:dyDescent="0.35">
      <c r="B31" s="37" t="s">
        <v>116</v>
      </c>
      <c r="C31" s="37" t="s">
        <v>117</v>
      </c>
      <c r="D31" s="37">
        <v>325885.77364523261</v>
      </c>
      <c r="E31" s="37">
        <v>0</v>
      </c>
    </row>
    <row r="32" spans="1:5" x14ac:dyDescent="0.35">
      <c r="B32" s="37" t="s">
        <v>118</v>
      </c>
      <c r="C32" s="37" t="s">
        <v>119</v>
      </c>
      <c r="D32" s="37">
        <v>325885.76716651244</v>
      </c>
      <c r="E32" s="37">
        <v>0</v>
      </c>
    </row>
    <row r="33" spans="2:5" x14ac:dyDescent="0.35">
      <c r="B33" s="37" t="s">
        <v>120</v>
      </c>
      <c r="C33" s="37" t="s">
        <v>121</v>
      </c>
      <c r="D33" s="37">
        <v>250087.54724950442</v>
      </c>
      <c r="E33" s="37">
        <v>0</v>
      </c>
    </row>
    <row r="34" spans="2:5" x14ac:dyDescent="0.35">
      <c r="B34" s="37" t="s">
        <v>122</v>
      </c>
      <c r="C34" s="37" t="s">
        <v>123</v>
      </c>
      <c r="D34" s="37">
        <v>3.6437995731830597E-8</v>
      </c>
      <c r="E34" s="48">
        <v>172.92303870088574</v>
      </c>
    </row>
    <row r="35" spans="2:5" x14ac:dyDescent="0.35">
      <c r="B35" s="37" t="s">
        <v>124</v>
      </c>
      <c r="C35" s="37" t="s">
        <v>125</v>
      </c>
      <c r="D35" s="37">
        <v>3.6408891901373863E-8</v>
      </c>
      <c r="E35" s="48">
        <v>172.92302609031663</v>
      </c>
    </row>
    <row r="36" spans="2:5" x14ac:dyDescent="0.35">
      <c r="B36" s="37" t="s">
        <v>126</v>
      </c>
      <c r="C36" s="37" t="s">
        <v>127</v>
      </c>
      <c r="D36" s="37">
        <v>3.6467099562287331E-8</v>
      </c>
      <c r="E36" s="48">
        <v>172.92303870088568</v>
      </c>
    </row>
    <row r="37" spans="2:5" x14ac:dyDescent="0.35">
      <c r="B37" s="37" t="s">
        <v>128</v>
      </c>
      <c r="C37" s="37" t="s">
        <v>129</v>
      </c>
      <c r="D37" s="37">
        <v>7.4505805969238281E-8</v>
      </c>
      <c r="E37" s="48">
        <v>172.92304172161948</v>
      </c>
    </row>
    <row r="38" spans="2:5" x14ac:dyDescent="0.35">
      <c r="B38" s="37" t="s">
        <v>130</v>
      </c>
      <c r="C38" s="37" t="s">
        <v>131</v>
      </c>
      <c r="D38" s="37">
        <v>4.5984052121639252E-8</v>
      </c>
      <c r="E38" s="48">
        <v>96.313156901325996</v>
      </c>
    </row>
    <row r="39" spans="2:5" x14ac:dyDescent="0.35">
      <c r="B39" s="37" t="s">
        <v>132</v>
      </c>
      <c r="C39" s="37" t="s">
        <v>7</v>
      </c>
      <c r="D39" s="37">
        <v>0</v>
      </c>
      <c r="E39" s="37">
        <v>3.8957213103430477E-3</v>
      </c>
    </row>
    <row r="40" spans="2:5" x14ac:dyDescent="0.35">
      <c r="B40" s="37" t="s">
        <v>133</v>
      </c>
      <c r="C40" s="37" t="s">
        <v>12</v>
      </c>
      <c r="D40" s="37">
        <v>0</v>
      </c>
      <c r="E40" s="37">
        <v>5.3910515510117857E-3</v>
      </c>
    </row>
    <row r="41" spans="2:5" x14ac:dyDescent="0.35">
      <c r="B41" s="37" t="s">
        <v>134</v>
      </c>
      <c r="C41" s="37" t="s">
        <v>14</v>
      </c>
      <c r="D41" s="37">
        <v>0</v>
      </c>
      <c r="E41" s="37">
        <v>8.7706770603784359E-3</v>
      </c>
    </row>
    <row r="42" spans="2:5" x14ac:dyDescent="0.35">
      <c r="B42" s="37" t="s">
        <v>135</v>
      </c>
      <c r="C42" s="37" t="s">
        <v>16</v>
      </c>
      <c r="D42" s="37">
        <v>0</v>
      </c>
      <c r="E42" s="37">
        <v>5.9415627825482792E-2</v>
      </c>
    </row>
    <row r="43" spans="2:5" x14ac:dyDescent="0.35">
      <c r="B43" s="37" t="s">
        <v>136</v>
      </c>
      <c r="C43" s="37" t="s">
        <v>18</v>
      </c>
      <c r="D43" s="37">
        <v>0</v>
      </c>
      <c r="E43" s="37">
        <v>0</v>
      </c>
    </row>
    <row r="44" spans="2:5" ht="15" thickBot="1" x14ac:dyDescent="0.4">
      <c r="B44" s="38" t="s">
        <v>137</v>
      </c>
      <c r="C44" s="38" t="s">
        <v>39</v>
      </c>
      <c r="D44" s="38">
        <v>7.7299773693084717E-8</v>
      </c>
      <c r="E44" s="49">
        <v>38.150813768524586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5E84-5EF3-4A01-A83D-3009CD91C2F1}">
  <dimension ref="A1:E44"/>
  <sheetViews>
    <sheetView showGridLines="0" topLeftCell="A10" workbookViewId="0"/>
  </sheetViews>
  <sheetFormatPr defaultRowHeight="14.5" x14ac:dyDescent="0.35"/>
  <cols>
    <col min="1" max="1" width="2.1796875" customWidth="1"/>
    <col min="2" max="2" width="6.08984375" bestFit="1" customWidth="1"/>
    <col min="3" max="3" width="31.36328125" bestFit="1" customWidth="1"/>
    <col min="4" max="5" width="11.81640625" bestFit="1" customWidth="1"/>
  </cols>
  <sheetData>
    <row r="1" spans="1:5" x14ac:dyDescent="0.35">
      <c r="A1" s="33" t="s">
        <v>70</v>
      </c>
    </row>
    <row r="2" spans="1:5" x14ac:dyDescent="0.35">
      <c r="A2" s="33" t="s">
        <v>143</v>
      </c>
    </row>
    <row r="3" spans="1:5" x14ac:dyDescent="0.35">
      <c r="A3" s="33" t="s">
        <v>148</v>
      </c>
    </row>
    <row r="6" spans="1:5" ht="15" thickBot="1" x14ac:dyDescent="0.4">
      <c r="A6" t="s">
        <v>71</v>
      </c>
    </row>
    <row r="7" spans="1:5" x14ac:dyDescent="0.35">
      <c r="B7" s="46"/>
      <c r="C7" s="46"/>
      <c r="D7" s="46" t="s">
        <v>74</v>
      </c>
      <c r="E7" s="46" t="s">
        <v>76</v>
      </c>
    </row>
    <row r="8" spans="1:5" ht="15" thickBot="1" x14ac:dyDescent="0.4">
      <c r="B8" s="47" t="s">
        <v>72</v>
      </c>
      <c r="C8" s="47" t="s">
        <v>73</v>
      </c>
      <c r="D8" s="47" t="s">
        <v>75</v>
      </c>
      <c r="E8" s="47" t="s">
        <v>77</v>
      </c>
    </row>
    <row r="9" spans="1:5" x14ac:dyDescent="0.35">
      <c r="B9" s="37" t="s">
        <v>81</v>
      </c>
      <c r="C9" s="37" t="s">
        <v>5</v>
      </c>
      <c r="D9" s="37">
        <v>111501.95497603891</v>
      </c>
      <c r="E9" s="37">
        <v>0</v>
      </c>
    </row>
    <row r="10" spans="1:5" x14ac:dyDescent="0.35">
      <c r="B10" s="37" t="s">
        <v>82</v>
      </c>
      <c r="C10" s="37" t="s">
        <v>83</v>
      </c>
      <c r="D10" s="37">
        <v>10236.220329071819</v>
      </c>
      <c r="E10" s="37">
        <v>0</v>
      </c>
    </row>
    <row r="11" spans="1:5" x14ac:dyDescent="0.35">
      <c r="B11" s="37" t="s">
        <v>84</v>
      </c>
      <c r="C11" s="37" t="s">
        <v>85</v>
      </c>
      <c r="D11" s="37">
        <v>0</v>
      </c>
      <c r="E11" s="37">
        <v>0</v>
      </c>
    </row>
    <row r="12" spans="1:5" x14ac:dyDescent="0.35">
      <c r="B12" s="37" t="s">
        <v>86</v>
      </c>
      <c r="C12" s="37" t="s">
        <v>87</v>
      </c>
      <c r="D12" s="37">
        <v>254914.64284958882</v>
      </c>
      <c r="E12" s="37">
        <v>0</v>
      </c>
    </row>
    <row r="13" spans="1:5" x14ac:dyDescent="0.35">
      <c r="B13" s="37" t="s">
        <v>88</v>
      </c>
      <c r="C13" s="37" t="s">
        <v>89</v>
      </c>
      <c r="D13" s="37">
        <v>10236.222311028823</v>
      </c>
      <c r="E13" s="37">
        <v>0</v>
      </c>
    </row>
    <row r="14" spans="1:5" x14ac:dyDescent="0.35">
      <c r="B14" s="37" t="s">
        <v>90</v>
      </c>
      <c r="C14" s="37" t="s">
        <v>91</v>
      </c>
      <c r="D14" s="37">
        <v>0</v>
      </c>
      <c r="E14" s="37">
        <v>0</v>
      </c>
    </row>
    <row r="15" spans="1:5" x14ac:dyDescent="0.35">
      <c r="B15" s="37" t="s">
        <v>92</v>
      </c>
      <c r="C15" s="37" t="s">
        <v>93</v>
      </c>
      <c r="D15" s="37">
        <v>116195.42103831076</v>
      </c>
      <c r="E15" s="37">
        <v>0</v>
      </c>
    </row>
    <row r="16" spans="1:5" x14ac:dyDescent="0.35">
      <c r="B16" s="37" t="s">
        <v>94</v>
      </c>
      <c r="C16" s="37" t="s">
        <v>95</v>
      </c>
      <c r="D16" s="37">
        <v>15001.377822514176</v>
      </c>
      <c r="E16" s="37">
        <v>0</v>
      </c>
    </row>
    <row r="17" spans="1:5" x14ac:dyDescent="0.35">
      <c r="B17" s="37" t="s">
        <v>96</v>
      </c>
      <c r="C17" s="37" t="s">
        <v>97</v>
      </c>
      <c r="D17" s="37">
        <v>0</v>
      </c>
      <c r="E17" s="37">
        <v>1807.073274378653</v>
      </c>
    </row>
    <row r="18" spans="1:5" x14ac:dyDescent="0.35">
      <c r="B18" s="37" t="s">
        <v>98</v>
      </c>
      <c r="C18" s="37" t="s">
        <v>99</v>
      </c>
      <c r="D18" s="37">
        <v>0</v>
      </c>
      <c r="E18" s="37">
        <v>4.8246815573197068</v>
      </c>
    </row>
    <row r="19" spans="1:5" x14ac:dyDescent="0.35">
      <c r="B19" s="37" t="s">
        <v>100</v>
      </c>
      <c r="C19" s="37" t="s">
        <v>101</v>
      </c>
      <c r="D19" s="37">
        <v>54123.088786543136</v>
      </c>
      <c r="E19" s="37">
        <v>0</v>
      </c>
    </row>
    <row r="20" spans="1:5" x14ac:dyDescent="0.35">
      <c r="B20" s="37" t="s">
        <v>102</v>
      </c>
      <c r="C20" s="37" t="s">
        <v>103</v>
      </c>
      <c r="D20" s="37">
        <v>0</v>
      </c>
      <c r="E20" s="37">
        <v>1213.9639223714239</v>
      </c>
    </row>
    <row r="21" spans="1:5" x14ac:dyDescent="0.35">
      <c r="B21" s="37" t="s">
        <v>104</v>
      </c>
      <c r="C21" s="37" t="s">
        <v>105</v>
      </c>
      <c r="D21" s="37">
        <v>0</v>
      </c>
      <c r="E21" s="37">
        <v>44.36561172337403</v>
      </c>
    </row>
    <row r="22" spans="1:5" x14ac:dyDescent="0.35">
      <c r="B22" s="37" t="s">
        <v>106</v>
      </c>
      <c r="C22" s="37" t="s">
        <v>107</v>
      </c>
      <c r="D22" s="37">
        <v>134195.68041671583</v>
      </c>
      <c r="E22" s="37">
        <v>0</v>
      </c>
    </row>
    <row r="23" spans="1:5" x14ac:dyDescent="0.35">
      <c r="B23" s="37" t="s">
        <v>108</v>
      </c>
      <c r="C23" s="37" t="s">
        <v>109</v>
      </c>
      <c r="D23" s="37">
        <v>806.89678002422943</v>
      </c>
      <c r="E23" s="37">
        <v>0</v>
      </c>
    </row>
    <row r="24" spans="1:5" ht="15" thickBot="1" x14ac:dyDescent="0.4">
      <c r="B24" s="38" t="s">
        <v>110</v>
      </c>
      <c r="C24" s="38" t="s">
        <v>111</v>
      </c>
      <c r="D24" s="38">
        <v>0</v>
      </c>
      <c r="E24" s="38">
        <v>0</v>
      </c>
    </row>
    <row r="26" spans="1:5" ht="15" thickBot="1" x14ac:dyDescent="0.4">
      <c r="A26" t="s">
        <v>78</v>
      </c>
    </row>
    <row r="27" spans="1:5" x14ac:dyDescent="0.35">
      <c r="B27" s="46"/>
      <c r="C27" s="46"/>
      <c r="D27" s="46" t="s">
        <v>74</v>
      </c>
      <c r="E27" s="46" t="s">
        <v>79</v>
      </c>
    </row>
    <row r="28" spans="1:5" ht="15" thickBot="1" x14ac:dyDescent="0.4">
      <c r="B28" s="47" t="s">
        <v>72</v>
      </c>
      <c r="C28" s="47" t="s">
        <v>73</v>
      </c>
      <c r="D28" s="47" t="s">
        <v>75</v>
      </c>
      <c r="E28" s="47" t="s">
        <v>80</v>
      </c>
    </row>
    <row r="29" spans="1:5" x14ac:dyDescent="0.35">
      <c r="B29" s="37" t="s">
        <v>112</v>
      </c>
      <c r="C29" s="37" t="s">
        <v>113</v>
      </c>
      <c r="D29" s="37">
        <v>378261.82469488931</v>
      </c>
      <c r="E29" s="37">
        <v>0</v>
      </c>
    </row>
    <row r="30" spans="1:5" x14ac:dyDescent="0.35">
      <c r="B30" s="37" t="s">
        <v>114</v>
      </c>
      <c r="C30" s="37" t="s">
        <v>115</v>
      </c>
      <c r="D30" s="37">
        <v>378261.82271293231</v>
      </c>
      <c r="E30" s="37">
        <v>0</v>
      </c>
    </row>
    <row r="31" spans="1:5" x14ac:dyDescent="0.35">
      <c r="B31" s="37" t="s">
        <v>116</v>
      </c>
      <c r="C31" s="37" t="s">
        <v>117</v>
      </c>
      <c r="D31" s="37">
        <v>373496.66720144695</v>
      </c>
      <c r="E31" s="37">
        <v>0</v>
      </c>
    </row>
    <row r="32" spans="1:5" x14ac:dyDescent="0.35">
      <c r="B32" s="37" t="s">
        <v>118</v>
      </c>
      <c r="C32" s="37" t="s">
        <v>119</v>
      </c>
      <c r="D32" s="37">
        <v>334374.95623741799</v>
      </c>
      <c r="E32" s="37">
        <v>0</v>
      </c>
    </row>
    <row r="33" spans="2:5" x14ac:dyDescent="0.35">
      <c r="B33" s="37" t="s">
        <v>120</v>
      </c>
      <c r="C33" s="37" t="s">
        <v>121</v>
      </c>
      <c r="D33" s="37">
        <v>253495.46782722106</v>
      </c>
      <c r="E33" s="37">
        <v>0</v>
      </c>
    </row>
    <row r="34" spans="2:5" x14ac:dyDescent="0.35">
      <c r="B34" s="37" t="s">
        <v>122</v>
      </c>
      <c r="C34" s="37" t="s">
        <v>123</v>
      </c>
      <c r="D34" s="37">
        <v>2.8230715543031693E-9</v>
      </c>
      <c r="E34" s="37">
        <v>279.00276231954115</v>
      </c>
    </row>
    <row r="35" spans="2:5" x14ac:dyDescent="0.35">
      <c r="B35" s="37" t="s">
        <v>124</v>
      </c>
      <c r="C35" s="37" t="s">
        <v>125</v>
      </c>
      <c r="D35" s="37">
        <v>2.801243681460619E-9</v>
      </c>
      <c r="E35" s="37">
        <v>279.00276393504629</v>
      </c>
    </row>
    <row r="36" spans="2:5" x14ac:dyDescent="0.35">
      <c r="B36" s="37" t="s">
        <v>126</v>
      </c>
      <c r="C36" s="37" t="s">
        <v>127</v>
      </c>
      <c r="D36" s="37">
        <v>2.9540387913584709E-9</v>
      </c>
      <c r="E36" s="37">
        <v>218.38603020375513</v>
      </c>
    </row>
    <row r="37" spans="2:5" x14ac:dyDescent="0.35">
      <c r="B37" s="37" t="s">
        <v>128</v>
      </c>
      <c r="C37" s="37" t="s">
        <v>129</v>
      </c>
      <c r="D37" s="37">
        <v>2.9685907065868378E-9</v>
      </c>
      <c r="E37" s="37">
        <v>178.84540170875562</v>
      </c>
    </row>
    <row r="38" spans="2:5" x14ac:dyDescent="0.35">
      <c r="B38" s="37" t="s">
        <v>130</v>
      </c>
      <c r="C38" s="37" t="s">
        <v>131</v>
      </c>
      <c r="D38" s="37">
        <v>3.6088749766349792E-9</v>
      </c>
      <c r="E38" s="37">
        <v>48.957695577642809</v>
      </c>
    </row>
    <row r="39" spans="2:5" x14ac:dyDescent="0.35">
      <c r="B39" s="37" t="s">
        <v>132</v>
      </c>
      <c r="C39" s="37" t="s">
        <v>7</v>
      </c>
      <c r="D39" s="37">
        <v>0</v>
      </c>
      <c r="E39" s="37">
        <v>9.215169214834687E-3</v>
      </c>
    </row>
    <row r="40" spans="2:5" x14ac:dyDescent="0.35">
      <c r="B40" s="37" t="s">
        <v>133</v>
      </c>
      <c r="C40" s="37" t="s">
        <v>12</v>
      </c>
      <c r="D40" s="37">
        <v>0</v>
      </c>
      <c r="E40" s="37">
        <v>2.0216644812889449E-2</v>
      </c>
    </row>
    <row r="41" spans="2:5" x14ac:dyDescent="0.35">
      <c r="B41" s="37" t="s">
        <v>134</v>
      </c>
      <c r="C41" s="37" t="s">
        <v>14</v>
      </c>
      <c r="D41" s="37">
        <v>0</v>
      </c>
      <c r="E41" s="37">
        <v>0</v>
      </c>
    </row>
    <row r="42" spans="2:5" x14ac:dyDescent="0.35">
      <c r="B42" s="37" t="s">
        <v>135</v>
      </c>
      <c r="C42" s="37" t="s">
        <v>16</v>
      </c>
      <c r="D42" s="37">
        <v>0</v>
      </c>
      <c r="E42" s="37">
        <v>0</v>
      </c>
    </row>
    <row r="43" spans="2:5" x14ac:dyDescent="0.35">
      <c r="B43" s="37" t="s">
        <v>136</v>
      </c>
      <c r="C43" s="37" t="s">
        <v>18</v>
      </c>
      <c r="D43" s="37">
        <v>0</v>
      </c>
      <c r="E43" s="37">
        <v>7.7640809423457607E-2</v>
      </c>
    </row>
    <row r="44" spans="2:5" ht="15" thickBot="1" x14ac:dyDescent="0.4">
      <c r="B44" s="38" t="s">
        <v>137</v>
      </c>
      <c r="C44" s="38" t="s">
        <v>39</v>
      </c>
      <c r="D44" s="38">
        <v>1.7462298274040222E-9</v>
      </c>
      <c r="E44" s="38">
        <v>65.590902771653219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D488D-4F01-4586-912E-3C6196A68695}">
  <dimension ref="A1:E44"/>
  <sheetViews>
    <sheetView showGridLines="0" topLeftCell="A10" workbookViewId="0"/>
  </sheetViews>
  <sheetFormatPr defaultRowHeight="14.5" x14ac:dyDescent="0.35"/>
  <cols>
    <col min="1" max="1" width="2.1796875" customWidth="1"/>
    <col min="2" max="2" width="6.08984375" bestFit="1" customWidth="1"/>
    <col min="3" max="3" width="31.36328125" bestFit="1" customWidth="1"/>
    <col min="4" max="4" width="12.453125" bestFit="1" customWidth="1"/>
    <col min="5" max="5" width="11.81640625" bestFit="1" customWidth="1"/>
  </cols>
  <sheetData>
    <row r="1" spans="1:5" x14ac:dyDescent="0.35">
      <c r="A1" s="33" t="s">
        <v>70</v>
      </c>
    </row>
    <row r="2" spans="1:5" x14ac:dyDescent="0.35">
      <c r="A2" s="33" t="s">
        <v>143</v>
      </c>
    </row>
    <row r="3" spans="1:5" x14ac:dyDescent="0.35">
      <c r="A3" s="33" t="s">
        <v>149</v>
      </c>
    </row>
    <row r="6" spans="1:5" ht="15" thickBot="1" x14ac:dyDescent="0.4">
      <c r="A6" t="s">
        <v>71</v>
      </c>
    </row>
    <row r="7" spans="1:5" x14ac:dyDescent="0.35">
      <c r="B7" s="46"/>
      <c r="C7" s="46"/>
      <c r="D7" s="46" t="s">
        <v>74</v>
      </c>
      <c r="E7" s="46" t="s">
        <v>76</v>
      </c>
    </row>
    <row r="8" spans="1:5" ht="15" thickBot="1" x14ac:dyDescent="0.4">
      <c r="B8" s="47" t="s">
        <v>72</v>
      </c>
      <c r="C8" s="47" t="s">
        <v>73</v>
      </c>
      <c r="D8" s="47" t="s">
        <v>75</v>
      </c>
      <c r="E8" s="47" t="s">
        <v>77</v>
      </c>
    </row>
    <row r="9" spans="1:5" x14ac:dyDescent="0.35">
      <c r="B9" s="37" t="s">
        <v>81</v>
      </c>
      <c r="C9" s="37" t="s">
        <v>5</v>
      </c>
      <c r="D9" s="37">
        <v>109116.6662411662</v>
      </c>
      <c r="E9" s="37">
        <v>0</v>
      </c>
    </row>
    <row r="10" spans="1:5" x14ac:dyDescent="0.35">
      <c r="B10" s="37" t="s">
        <v>82</v>
      </c>
      <c r="C10" s="37" t="s">
        <v>83</v>
      </c>
      <c r="D10" s="37">
        <v>4692.310792993736</v>
      </c>
      <c r="E10" s="37">
        <v>0</v>
      </c>
    </row>
    <row r="11" spans="1:5" x14ac:dyDescent="0.35">
      <c r="B11" s="37" t="s">
        <v>84</v>
      </c>
      <c r="C11" s="37" t="s">
        <v>85</v>
      </c>
      <c r="D11" s="37">
        <v>0</v>
      </c>
      <c r="E11" s="37">
        <v>0</v>
      </c>
    </row>
    <row r="12" spans="1:5" x14ac:dyDescent="0.35">
      <c r="B12" s="37" t="s">
        <v>86</v>
      </c>
      <c r="C12" s="37" t="s">
        <v>87</v>
      </c>
      <c r="D12" s="37">
        <v>218373.99554403758</v>
      </c>
      <c r="E12" s="37">
        <v>0</v>
      </c>
    </row>
    <row r="13" spans="1:5" x14ac:dyDescent="0.35">
      <c r="B13" s="37" t="s">
        <v>88</v>
      </c>
      <c r="C13" s="37" t="s">
        <v>89</v>
      </c>
      <c r="D13" s="37">
        <v>4692.3124943905605</v>
      </c>
      <c r="E13" s="37">
        <v>0</v>
      </c>
    </row>
    <row r="14" spans="1:5" x14ac:dyDescent="0.35">
      <c r="B14" s="37" t="s">
        <v>90</v>
      </c>
      <c r="C14" s="37" t="s">
        <v>91</v>
      </c>
      <c r="D14" s="37">
        <v>0</v>
      </c>
      <c r="E14" s="37">
        <v>0</v>
      </c>
    </row>
    <row r="15" spans="1:5" x14ac:dyDescent="0.35">
      <c r="B15" s="37" t="s">
        <v>92</v>
      </c>
      <c r="C15" s="37" t="s">
        <v>93</v>
      </c>
      <c r="D15" s="37">
        <v>79654.772374848297</v>
      </c>
      <c r="E15" s="37">
        <v>0</v>
      </c>
    </row>
    <row r="16" spans="1:5" x14ac:dyDescent="0.35">
      <c r="B16" s="37" t="s">
        <v>94</v>
      </c>
      <c r="C16" s="37" t="s">
        <v>95</v>
      </c>
      <c r="D16" s="37">
        <v>17007.18880411168</v>
      </c>
      <c r="E16" s="37">
        <v>0</v>
      </c>
    </row>
    <row r="17" spans="1:5" x14ac:dyDescent="0.35">
      <c r="B17" s="37" t="s">
        <v>96</v>
      </c>
      <c r="C17" s="37" t="s">
        <v>97</v>
      </c>
      <c r="D17" s="37">
        <v>0</v>
      </c>
      <c r="E17" s="37">
        <v>1692.6065818181182</v>
      </c>
    </row>
    <row r="18" spans="1:5" x14ac:dyDescent="0.35">
      <c r="B18" s="37" t="s">
        <v>98</v>
      </c>
      <c r="C18" s="37" t="s">
        <v>99</v>
      </c>
      <c r="D18" s="37">
        <v>0</v>
      </c>
      <c r="E18" s="37">
        <v>12.45531925646776</v>
      </c>
    </row>
    <row r="19" spans="1:5" x14ac:dyDescent="0.35">
      <c r="B19" s="37" t="s">
        <v>100</v>
      </c>
      <c r="C19" s="37" t="s">
        <v>101</v>
      </c>
      <c r="D19" s="37">
        <v>56128.899768140647</v>
      </c>
      <c r="E19" s="37">
        <v>0</v>
      </c>
    </row>
    <row r="20" spans="1:5" x14ac:dyDescent="0.35">
      <c r="B20" s="37" t="s">
        <v>102</v>
      </c>
      <c r="C20" s="37" t="s">
        <v>103</v>
      </c>
      <c r="D20" s="37">
        <v>0</v>
      </c>
      <c r="E20" s="37">
        <v>549.62540580628365</v>
      </c>
    </row>
    <row r="21" spans="1:5" x14ac:dyDescent="0.35">
      <c r="B21" s="37" t="s">
        <v>104</v>
      </c>
      <c r="C21" s="37" t="s">
        <v>105</v>
      </c>
      <c r="D21" s="37">
        <v>0</v>
      </c>
      <c r="E21" s="37">
        <v>25.998124711261042</v>
      </c>
    </row>
    <row r="22" spans="1:5" x14ac:dyDescent="0.35">
      <c r="B22" s="37" t="s">
        <v>106</v>
      </c>
      <c r="C22" s="37" t="s">
        <v>107</v>
      </c>
      <c r="D22" s="37">
        <v>128651.76047861451</v>
      </c>
      <c r="E22" s="37">
        <v>0</v>
      </c>
    </row>
    <row r="23" spans="1:5" x14ac:dyDescent="0.35">
      <c r="B23" s="37" t="s">
        <v>108</v>
      </c>
      <c r="C23" s="37" t="s">
        <v>109</v>
      </c>
      <c r="D23" s="37">
        <v>3242.9432901131645</v>
      </c>
      <c r="E23" s="37">
        <v>0</v>
      </c>
    </row>
    <row r="24" spans="1:5" ht="15" thickBot="1" x14ac:dyDescent="0.4">
      <c r="B24" s="38" t="s">
        <v>110</v>
      </c>
      <c r="C24" s="38" t="s">
        <v>111</v>
      </c>
      <c r="D24" s="38">
        <v>0</v>
      </c>
      <c r="E24" s="38">
        <v>0</v>
      </c>
    </row>
    <row r="26" spans="1:5" ht="15" thickBot="1" x14ac:dyDescent="0.4">
      <c r="A26" t="s">
        <v>78</v>
      </c>
    </row>
    <row r="27" spans="1:5" x14ac:dyDescent="0.35">
      <c r="B27" s="46"/>
      <c r="C27" s="46"/>
      <c r="D27" s="46" t="s">
        <v>74</v>
      </c>
      <c r="E27" s="46" t="s">
        <v>79</v>
      </c>
    </row>
    <row r="28" spans="1:5" ht="15" thickBot="1" x14ac:dyDescent="0.4">
      <c r="B28" s="47" t="s">
        <v>72</v>
      </c>
      <c r="C28" s="47" t="s">
        <v>73</v>
      </c>
      <c r="D28" s="47" t="s">
        <v>75</v>
      </c>
      <c r="E28" s="47" t="s">
        <v>80</v>
      </c>
    </row>
    <row r="29" spans="1:5" x14ac:dyDescent="0.35">
      <c r="B29" s="37" t="s">
        <v>112</v>
      </c>
      <c r="C29" s="37" t="s">
        <v>113</v>
      </c>
      <c r="D29" s="37">
        <v>386191.02296584006</v>
      </c>
      <c r="E29" s="37">
        <v>0</v>
      </c>
    </row>
    <row r="30" spans="1:5" x14ac:dyDescent="0.35">
      <c r="B30" s="37" t="s">
        <v>114</v>
      </c>
      <c r="C30" s="37" t="s">
        <v>115</v>
      </c>
      <c r="D30" s="37">
        <v>386191.02126444323</v>
      </c>
      <c r="E30" s="37">
        <v>0</v>
      </c>
    </row>
    <row r="31" spans="1:5" x14ac:dyDescent="0.35">
      <c r="B31" s="37" t="s">
        <v>116</v>
      </c>
      <c r="C31" s="37" t="s">
        <v>117</v>
      </c>
      <c r="D31" s="37">
        <v>373876.14495472214</v>
      </c>
      <c r="E31" s="37">
        <v>0</v>
      </c>
    </row>
    <row r="32" spans="1:5" x14ac:dyDescent="0.35">
      <c r="B32" s="37" t="s">
        <v>118</v>
      </c>
      <c r="C32" s="37" t="s">
        <v>119</v>
      </c>
      <c r="D32" s="37">
        <v>334754.43399069319</v>
      </c>
      <c r="E32" s="37">
        <v>0</v>
      </c>
    </row>
    <row r="33" spans="2:5" x14ac:dyDescent="0.35">
      <c r="B33" s="37" t="s">
        <v>120</v>
      </c>
      <c r="C33" s="37" t="s">
        <v>121</v>
      </c>
      <c r="D33" s="37">
        <v>258988.62999010619</v>
      </c>
      <c r="E33" s="37">
        <v>0</v>
      </c>
    </row>
    <row r="34" spans="2:5" x14ac:dyDescent="0.35">
      <c r="B34" s="37" t="s">
        <v>122</v>
      </c>
      <c r="C34" s="37" t="s">
        <v>123</v>
      </c>
      <c r="D34" s="37">
        <v>1.4661054592579603E-9</v>
      </c>
      <c r="E34" s="37">
        <v>344.69147385745822</v>
      </c>
    </row>
    <row r="35" spans="2:5" x14ac:dyDescent="0.35">
      <c r="B35" s="37" t="s">
        <v>124</v>
      </c>
      <c r="C35" s="37" t="s">
        <v>125</v>
      </c>
      <c r="D35" s="37">
        <v>1.4988472685217857E-9</v>
      </c>
      <c r="E35" s="37">
        <v>344.6914486363201</v>
      </c>
    </row>
    <row r="36" spans="2:5" x14ac:dyDescent="0.35">
      <c r="B36" s="37" t="s">
        <v>126</v>
      </c>
      <c r="C36" s="37" t="s">
        <v>127</v>
      </c>
      <c r="D36" s="37">
        <v>2.9831426218152046E-9</v>
      </c>
      <c r="E36" s="37">
        <v>217.34755868725185</v>
      </c>
    </row>
    <row r="37" spans="2:5" x14ac:dyDescent="0.35">
      <c r="B37" s="37" t="s">
        <v>128</v>
      </c>
      <c r="C37" s="37" t="s">
        <v>129</v>
      </c>
      <c r="D37" s="37">
        <v>2.9685907065868378E-9</v>
      </c>
      <c r="E37" s="37">
        <v>88.903465096126169</v>
      </c>
    </row>
    <row r="38" spans="2:5" x14ac:dyDescent="0.35">
      <c r="B38" s="37" t="s">
        <v>130</v>
      </c>
      <c r="C38" s="37" t="s">
        <v>131</v>
      </c>
      <c r="D38" s="37">
        <v>1.2107193470001221E-8</v>
      </c>
      <c r="E38" s="37">
        <v>52.2537465088567</v>
      </c>
    </row>
    <row r="39" spans="2:5" x14ac:dyDescent="0.35">
      <c r="B39" s="37" t="s">
        <v>132</v>
      </c>
      <c r="C39" s="37" t="s">
        <v>7</v>
      </c>
      <c r="D39" s="37">
        <v>0</v>
      </c>
      <c r="E39" s="37">
        <v>1.2908343991555101E-2</v>
      </c>
    </row>
    <row r="40" spans="2:5" x14ac:dyDescent="0.35">
      <c r="B40" s="37" t="s">
        <v>133</v>
      </c>
      <c r="C40" s="37" t="s">
        <v>12</v>
      </c>
      <c r="D40" s="37">
        <v>0</v>
      </c>
      <c r="E40" s="37">
        <v>3.5388291383523895E-2</v>
      </c>
    </row>
    <row r="41" spans="2:5" x14ac:dyDescent="0.35">
      <c r="B41" s="37" t="s">
        <v>134</v>
      </c>
      <c r="C41" s="37" t="s">
        <v>14</v>
      </c>
      <c r="D41" s="37">
        <v>0</v>
      </c>
      <c r="E41" s="37">
        <v>0</v>
      </c>
    </row>
    <row r="42" spans="2:5" x14ac:dyDescent="0.35">
      <c r="B42" s="37" t="s">
        <v>135</v>
      </c>
      <c r="C42" s="37" t="s">
        <v>16</v>
      </c>
      <c r="D42" s="37">
        <v>0</v>
      </c>
      <c r="E42" s="37">
        <v>0</v>
      </c>
    </row>
    <row r="43" spans="2:5" x14ac:dyDescent="0.35">
      <c r="B43" s="37" t="s">
        <v>136</v>
      </c>
      <c r="C43" s="37" t="s">
        <v>18</v>
      </c>
      <c r="D43" s="37">
        <v>0</v>
      </c>
      <c r="E43" s="37">
        <v>1.9318290815220102E-2</v>
      </c>
    </row>
    <row r="44" spans="2:5" ht="15" thickBot="1" x14ac:dyDescent="0.4">
      <c r="B44" s="38" t="s">
        <v>137</v>
      </c>
      <c r="C44" s="38" t="s">
        <v>39</v>
      </c>
      <c r="D44" s="38">
        <v>-3.14321368932724E-9</v>
      </c>
      <c r="E44" s="38">
        <v>68.886956754624919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83469-69D1-4552-BCEB-9A55CDBFE1BE}">
  <dimension ref="A1:P71"/>
  <sheetViews>
    <sheetView tabSelected="1" workbookViewId="0">
      <selection activeCell="L29" sqref="L29"/>
    </sheetView>
  </sheetViews>
  <sheetFormatPr defaultRowHeight="14.5" x14ac:dyDescent="0.35"/>
  <cols>
    <col min="1" max="1" width="21.90625" bestFit="1" customWidth="1"/>
    <col min="2" max="2" width="10.81640625" style="7" bestFit="1" customWidth="1"/>
    <col min="3" max="3" width="12.453125" customWidth="1"/>
    <col min="4" max="4" width="11.81640625" customWidth="1"/>
    <col min="5" max="5" width="10.1796875" customWidth="1"/>
    <col min="6" max="6" width="16.453125" customWidth="1"/>
    <col min="7" max="7" width="15.81640625" bestFit="1" customWidth="1"/>
    <col min="8" max="9" width="11.81640625" bestFit="1" customWidth="1"/>
    <col min="10" max="10" width="12.54296875" bestFit="1" customWidth="1"/>
    <col min="11" max="11" width="12.453125" bestFit="1" customWidth="1"/>
    <col min="12" max="12" width="11.26953125" bestFit="1" customWidth="1"/>
    <col min="15" max="16" width="12.90625" bestFit="1" customWidth="1"/>
  </cols>
  <sheetData>
    <row r="1" spans="1:16" x14ac:dyDescent="0.35">
      <c r="A1" s="1" t="s">
        <v>0</v>
      </c>
      <c r="B1" s="2">
        <v>10000000</v>
      </c>
      <c r="C1" t="s">
        <v>1</v>
      </c>
      <c r="D1" t="s">
        <v>2</v>
      </c>
      <c r="E1" t="s">
        <v>3</v>
      </c>
      <c r="G1" s="3" t="s">
        <v>4</v>
      </c>
      <c r="H1" s="4" t="s">
        <v>5</v>
      </c>
      <c r="I1" s="4">
        <v>116282.64549405413</v>
      </c>
      <c r="J1" s="4"/>
    </row>
    <row r="2" spans="1:16" x14ac:dyDescent="0.35">
      <c r="A2" s="1" t="s">
        <v>6</v>
      </c>
      <c r="B2" s="2">
        <v>10000000</v>
      </c>
      <c r="C2" t="s">
        <v>7</v>
      </c>
      <c r="D2" s="5">
        <f>19875.329623648*2.5*5</f>
        <v>248441.62029559998</v>
      </c>
      <c r="E2" s="40">
        <v>0.2</v>
      </c>
      <c r="G2" s="3" t="s">
        <v>1</v>
      </c>
      <c r="H2" s="4" t="s">
        <v>8</v>
      </c>
      <c r="I2" s="4" t="s">
        <v>9</v>
      </c>
      <c r="J2" s="4" t="s">
        <v>10</v>
      </c>
    </row>
    <row r="3" spans="1:16" x14ac:dyDescent="0.35">
      <c r="A3" t="s">
        <v>11</v>
      </c>
      <c r="B3" s="6">
        <v>3.5000000000000003E-2</v>
      </c>
      <c r="C3" t="s">
        <v>12</v>
      </c>
      <c r="D3" s="5">
        <f>30972.868135964*2.5*5</f>
        <v>387160.85169954994</v>
      </c>
      <c r="E3" s="40">
        <v>0.2</v>
      </c>
      <c r="G3" s="3" t="s">
        <v>7</v>
      </c>
      <c r="H3" s="39">
        <v>18624.330931629727</v>
      </c>
      <c r="I3" s="39">
        <v>0</v>
      </c>
      <c r="J3" s="39">
        <v>314970.50857428828</v>
      </c>
      <c r="K3">
        <f>I3*J3</f>
        <v>0</v>
      </c>
      <c r="O3" s="41"/>
      <c r="P3" s="41"/>
    </row>
    <row r="4" spans="1:16" x14ac:dyDescent="0.35">
      <c r="A4" t="s">
        <v>13</v>
      </c>
      <c r="B4" s="5">
        <v>4226.68</v>
      </c>
      <c r="C4" t="s">
        <v>14</v>
      </c>
      <c r="D4" s="5">
        <f>42113.570033076*2.5*5</f>
        <v>526419.62541344995</v>
      </c>
      <c r="E4" s="40">
        <v>0.2</v>
      </c>
      <c r="G4" s="3" t="s">
        <v>12</v>
      </c>
      <c r="H4" s="39">
        <v>18624.330931629727</v>
      </c>
      <c r="I4" s="39">
        <v>0</v>
      </c>
      <c r="J4" s="39">
        <v>176251.27717033826</v>
      </c>
      <c r="K4">
        <f t="shared" ref="K4:K7" si="0">I4*J4</f>
        <v>0</v>
      </c>
      <c r="O4" s="41"/>
      <c r="P4" s="42"/>
    </row>
    <row r="5" spans="1:16" x14ac:dyDescent="0.35">
      <c r="A5" t="s">
        <v>15</v>
      </c>
      <c r="B5" s="7">
        <v>1</v>
      </c>
      <c r="C5" t="s">
        <v>16</v>
      </c>
      <c r="D5" s="5">
        <f>57261.496518348*2.5*5</f>
        <v>715768.7064793501</v>
      </c>
      <c r="E5" s="40">
        <v>0.2</v>
      </c>
      <c r="G5" s="3" t="s">
        <v>14</v>
      </c>
      <c r="H5" s="39">
        <v>18624.330931629727</v>
      </c>
      <c r="I5" s="39">
        <v>0</v>
      </c>
      <c r="J5" s="39">
        <v>36992.503456438222</v>
      </c>
      <c r="K5">
        <f t="shared" si="0"/>
        <v>0</v>
      </c>
      <c r="O5" s="41"/>
      <c r="P5" s="42"/>
    </row>
    <row r="6" spans="1:16" x14ac:dyDescent="0.35">
      <c r="A6" t="s">
        <v>17</v>
      </c>
      <c r="B6" s="5">
        <v>1502.85</v>
      </c>
      <c r="C6" t="s">
        <v>18</v>
      </c>
      <c r="D6" s="5">
        <f>89233.88013358*2.5*5</f>
        <v>1115423.5016697501</v>
      </c>
      <c r="E6" s="40">
        <v>0.2</v>
      </c>
      <c r="G6" s="3" t="s">
        <v>16</v>
      </c>
      <c r="H6" s="39">
        <v>50102.962669121858</v>
      </c>
      <c r="I6" s="39">
        <v>0</v>
      </c>
      <c r="J6" s="39">
        <v>0</v>
      </c>
      <c r="K6">
        <f t="shared" si="0"/>
        <v>0</v>
      </c>
      <c r="O6" s="41"/>
      <c r="P6" s="42"/>
    </row>
    <row r="7" spans="1:16" x14ac:dyDescent="0.35">
      <c r="A7" t="s">
        <v>19</v>
      </c>
      <c r="B7" s="8">
        <v>7.9500000000000005E-3</v>
      </c>
      <c r="C7" t="s">
        <v>142</v>
      </c>
      <c r="D7">
        <f>SUMPRODUCT(D2:D6,E2:E6)/1000</f>
        <v>598.64286111154001</v>
      </c>
      <c r="G7" s="3" t="s">
        <v>18</v>
      </c>
      <c r="H7" s="39">
        <v>132676.26746362602</v>
      </c>
      <c r="I7" s="39">
        <v>-9.9999988378840499E-7</v>
      </c>
      <c r="J7" s="39">
        <v>0</v>
      </c>
      <c r="K7">
        <f t="shared" si="0"/>
        <v>0</v>
      </c>
      <c r="O7" s="42"/>
      <c r="P7" s="42"/>
    </row>
    <row r="8" spans="1:16" x14ac:dyDescent="0.35">
      <c r="A8" t="s">
        <v>20</v>
      </c>
      <c r="B8" s="5">
        <v>4.07</v>
      </c>
      <c r="H8" s="7">
        <f>SUMPRODUCT($E$2:$E$6,H3:H7)*5</f>
        <v>238652.22292763708</v>
      </c>
      <c r="I8" s="7">
        <f t="shared" ref="I8:J8" si="1">SUMPRODUCT($E$2:$E$6,I3:I7)*5</f>
        <v>-9.9999988378840499E-7</v>
      </c>
      <c r="J8" s="7">
        <f t="shared" si="1"/>
        <v>528214.28920106473</v>
      </c>
      <c r="O8" s="43"/>
      <c r="P8" s="42"/>
    </row>
    <row r="9" spans="1:16" x14ac:dyDescent="0.35">
      <c r="A9" t="s">
        <v>21</v>
      </c>
      <c r="B9" s="7">
        <v>12000</v>
      </c>
      <c r="F9" s="9" t="s">
        <v>22</v>
      </c>
      <c r="G9" s="10">
        <f>-J21+G22-H29+K36</f>
        <v>-1663211430.1308885</v>
      </c>
      <c r="O9" s="42"/>
      <c r="P9" s="42"/>
    </row>
    <row r="10" spans="1:16" ht="14.5" customHeight="1" x14ac:dyDescent="0.35">
      <c r="A10" t="s">
        <v>23</v>
      </c>
      <c r="B10" s="5">
        <v>157.28</v>
      </c>
      <c r="F10" s="44" t="s">
        <v>24</v>
      </c>
      <c r="G10" s="11" t="s">
        <v>25</v>
      </c>
      <c r="H10" s="11" t="s">
        <v>26</v>
      </c>
      <c r="I10" s="11" t="s">
        <v>27</v>
      </c>
      <c r="J10" s="11" t="s">
        <v>28</v>
      </c>
      <c r="O10" s="42"/>
      <c r="P10" s="42"/>
    </row>
    <row r="11" spans="1:16" x14ac:dyDescent="0.35">
      <c r="A11" t="s">
        <v>29</v>
      </c>
      <c r="B11" s="7">
        <v>8</v>
      </c>
      <c r="F11" s="44"/>
      <c r="G11" s="11">
        <v>1</v>
      </c>
      <c r="H11" s="11">
        <f>1/(1+$B$3)^($B$23*$B$24+G11)</f>
        <v>0.96618357487922713</v>
      </c>
      <c r="I11" s="36">
        <f>$I$1</f>
        <v>116282.64549405413</v>
      </c>
      <c r="J11" s="12">
        <f>H11*($B$4*$B$5*I11-($B$6+0.5*$B$7*I11)*I11)</f>
        <v>254092352.70025456</v>
      </c>
      <c r="O11" s="43"/>
      <c r="P11" s="42"/>
    </row>
    <row r="12" spans="1:16" x14ac:dyDescent="0.35">
      <c r="A12" t="s">
        <v>30</v>
      </c>
      <c r="B12" s="7">
        <v>635.91</v>
      </c>
      <c r="F12" s="44"/>
      <c r="G12" s="11">
        <v>2</v>
      </c>
      <c r="H12" s="11">
        <f t="shared" ref="H12:H20" si="2">1/(1+$B$3)^($B$23*$B$24+G12)</f>
        <v>0.93351070036640305</v>
      </c>
      <c r="I12" s="36">
        <f t="shared" ref="I12:I19" si="3">$I$1</f>
        <v>116282.64549405413</v>
      </c>
      <c r="J12" s="12">
        <f t="shared" ref="J12:J20" si="4">H12*($B$4*$B$5*I12-($B$6+0.5*$B$7*I12)*I12)</f>
        <v>245499857.68140537</v>
      </c>
      <c r="O12" s="42"/>
      <c r="P12" s="42"/>
    </row>
    <row r="13" spans="1:16" x14ac:dyDescent="0.35">
      <c r="A13" t="s">
        <v>69</v>
      </c>
      <c r="B13" s="8">
        <v>2.941E-3</v>
      </c>
      <c r="F13" s="44"/>
      <c r="G13" s="11">
        <v>3</v>
      </c>
      <c r="H13" s="11">
        <f t="shared" si="2"/>
        <v>0.90194270566802237</v>
      </c>
      <c r="I13" s="36">
        <f t="shared" si="3"/>
        <v>116282.64549405413</v>
      </c>
      <c r="J13" s="12">
        <f t="shared" si="4"/>
        <v>237197930.12696174</v>
      </c>
      <c r="O13" s="41"/>
      <c r="P13" s="41"/>
    </row>
    <row r="14" spans="1:16" x14ac:dyDescent="0.35">
      <c r="A14" t="s">
        <v>31</v>
      </c>
      <c r="B14" s="5">
        <v>4.84</v>
      </c>
      <c r="F14" s="44"/>
      <c r="G14" s="11">
        <v>4</v>
      </c>
      <c r="H14" s="11">
        <f t="shared" si="2"/>
        <v>0.87144222769857238</v>
      </c>
      <c r="I14" s="36">
        <f t="shared" si="3"/>
        <v>116282.64549405413</v>
      </c>
      <c r="J14" s="12">
        <f t="shared" si="4"/>
        <v>229176744.08402103</v>
      </c>
    </row>
    <row r="15" spans="1:16" x14ac:dyDescent="0.35">
      <c r="A15" s="13" t="s">
        <v>32</v>
      </c>
      <c r="B15" s="14">
        <v>50</v>
      </c>
      <c r="F15" s="44"/>
      <c r="G15" s="11">
        <v>5</v>
      </c>
      <c r="H15" s="11">
        <f t="shared" si="2"/>
        <v>0.84197316685852419</v>
      </c>
      <c r="I15" s="36">
        <f t="shared" si="3"/>
        <v>116282.64549405413</v>
      </c>
      <c r="J15" s="12">
        <f t="shared" si="4"/>
        <v>221426805.87828121</v>
      </c>
    </row>
    <row r="16" spans="1:16" x14ac:dyDescent="0.35">
      <c r="A16" t="s">
        <v>33</v>
      </c>
      <c r="B16" s="7">
        <v>300</v>
      </c>
      <c r="F16" s="44"/>
      <c r="G16" s="11">
        <v>6</v>
      </c>
      <c r="H16" s="11">
        <f t="shared" si="2"/>
        <v>0.81350064430775282</v>
      </c>
      <c r="I16" s="36">
        <f t="shared" si="3"/>
        <v>116282.64549405413</v>
      </c>
      <c r="J16" s="12">
        <f t="shared" si="4"/>
        <v>213938942.8775664</v>
      </c>
    </row>
    <row r="17" spans="1:12" x14ac:dyDescent="0.35">
      <c r="A17" t="s">
        <v>34</v>
      </c>
      <c r="B17" s="7">
        <v>42</v>
      </c>
      <c r="F17" s="44"/>
      <c r="G17" s="11">
        <v>7</v>
      </c>
      <c r="H17" s="11">
        <f t="shared" si="2"/>
        <v>0.78599096068381913</v>
      </c>
      <c r="I17" s="36">
        <f t="shared" si="3"/>
        <v>116282.64549405413</v>
      </c>
      <c r="J17" s="12">
        <f t="shared" si="4"/>
        <v>206704292.63532984</v>
      </c>
    </row>
    <row r="18" spans="1:12" x14ac:dyDescent="0.35">
      <c r="A18" t="s">
        <v>35</v>
      </c>
      <c r="B18" s="7">
        <v>30</v>
      </c>
      <c r="F18" s="44"/>
      <c r="G18" s="11">
        <v>8</v>
      </c>
      <c r="H18" s="11">
        <f t="shared" si="2"/>
        <v>0.75941155621625056</v>
      </c>
      <c r="I18" s="36">
        <f t="shared" si="3"/>
        <v>116282.64549405413</v>
      </c>
      <c r="J18" s="12">
        <f t="shared" si="4"/>
        <v>199714292.40128493</v>
      </c>
    </row>
    <row r="19" spans="1:12" x14ac:dyDescent="0.35">
      <c r="A19" t="s">
        <v>36</v>
      </c>
      <c r="B19" s="15">
        <v>500000</v>
      </c>
      <c r="F19" s="44"/>
      <c r="G19" s="11">
        <v>9</v>
      </c>
      <c r="H19" s="11">
        <f t="shared" si="2"/>
        <v>0.73373097218961414</v>
      </c>
      <c r="I19" s="36">
        <f t="shared" si="3"/>
        <v>116282.64549405413</v>
      </c>
      <c r="J19" s="12">
        <f t="shared" si="4"/>
        <v>192960668.98674873</v>
      </c>
    </row>
    <row r="20" spans="1:12" x14ac:dyDescent="0.35">
      <c r="A20" t="s">
        <v>37</v>
      </c>
      <c r="B20" s="7">
        <v>15</v>
      </c>
      <c r="F20" s="44"/>
      <c r="G20" s="11">
        <v>10</v>
      </c>
      <c r="H20" s="11">
        <f t="shared" si="2"/>
        <v>0.70891881370977217</v>
      </c>
      <c r="I20" s="36">
        <f>$I$1</f>
        <v>116282.64549405413</v>
      </c>
      <c r="J20" s="12">
        <f t="shared" si="4"/>
        <v>186435428.97270411</v>
      </c>
    </row>
    <row r="21" spans="1:12" x14ac:dyDescent="0.35">
      <c r="A21" t="s">
        <v>38</v>
      </c>
      <c r="B21" s="5">
        <v>0.15</v>
      </c>
      <c r="F21" s="44"/>
      <c r="G21" s="11"/>
      <c r="H21" s="16"/>
      <c r="I21" s="17" t="s">
        <v>39</v>
      </c>
      <c r="J21" s="18">
        <f>SUM(J11:J20)</f>
        <v>2187147316.3445578</v>
      </c>
      <c r="K21">
        <f>B39*($B$4*$B$5*I1-($B$6+0.5*$B$7*I1)*I1)</f>
        <v>2187147316.3445525</v>
      </c>
      <c r="L21" s="7">
        <f>J21-K21</f>
        <v>5.245208740234375E-6</v>
      </c>
    </row>
    <row r="22" spans="1:12" x14ac:dyDescent="0.35">
      <c r="A22" t="s">
        <v>40</v>
      </c>
      <c r="B22" s="15">
        <f>40000*2.5*5</f>
        <v>500000</v>
      </c>
      <c r="F22" s="19" t="s">
        <v>41</v>
      </c>
      <c r="G22" s="20">
        <f>MAX(I1-$B$25,0)*$B$9/(1+$B$3)^(B23*B24+1)</f>
        <v>478639368.0470044</v>
      </c>
    </row>
    <row r="23" spans="1:12" x14ac:dyDescent="0.35">
      <c r="A23" s="1" t="s">
        <v>42</v>
      </c>
      <c r="B23" s="21">
        <v>0</v>
      </c>
      <c r="F23" s="44" t="s">
        <v>43</v>
      </c>
      <c r="G23" s="11" t="s">
        <v>1</v>
      </c>
      <c r="H23" s="11" t="s">
        <v>28</v>
      </c>
    </row>
    <row r="24" spans="1:12" x14ac:dyDescent="0.35">
      <c r="A24" t="s">
        <v>44</v>
      </c>
      <c r="B24" s="7">
        <v>10</v>
      </c>
      <c r="F24" s="44"/>
      <c r="G24" s="11" t="s">
        <v>7</v>
      </c>
      <c r="H24" s="22">
        <f>$B$10*$B$11*H3-($B$12+0.5*$B$13*H3)*H3</f>
        <v>11080413.852933038</v>
      </c>
    </row>
    <row r="25" spans="1:12" x14ac:dyDescent="0.35">
      <c r="A25" s="1" t="s">
        <v>141</v>
      </c>
      <c r="B25" s="21">
        <v>75000</v>
      </c>
      <c r="F25" s="44"/>
      <c r="G25" s="11" t="s">
        <v>12</v>
      </c>
      <c r="H25" s="22">
        <f>$B$10*$B$11*H4-($B$12+0.5*$B$13*H4)*H4</f>
        <v>11080413.852933038</v>
      </c>
    </row>
    <row r="26" spans="1:12" x14ac:dyDescent="0.35">
      <c r="A26" t="s">
        <v>45</v>
      </c>
      <c r="B26" s="5">
        <v>0.05</v>
      </c>
      <c r="F26" s="44"/>
      <c r="G26" s="11" t="s">
        <v>14</v>
      </c>
      <c r="H26" s="22">
        <f t="shared" ref="H26:H28" si="5">$B$10*$B$11*H5-($B$12+0.5*$B$13*H5)*H5</f>
        <v>11080413.852933038</v>
      </c>
    </row>
    <row r="27" spans="1:12" x14ac:dyDescent="0.35">
      <c r="A27" s="13" t="s">
        <v>46</v>
      </c>
      <c r="B27" s="23">
        <v>2.5</v>
      </c>
      <c r="F27" s="44"/>
      <c r="G27" s="11" t="s">
        <v>16</v>
      </c>
      <c r="H27" s="22">
        <f t="shared" si="5"/>
        <v>27489170.508152068</v>
      </c>
      <c r="K27" s="24"/>
    </row>
    <row r="28" spans="1:12" x14ac:dyDescent="0.35">
      <c r="A28" s="25" t="s">
        <v>47</v>
      </c>
      <c r="B28" s="26">
        <v>200</v>
      </c>
      <c r="F28" s="44"/>
      <c r="G28" s="11" t="s">
        <v>18</v>
      </c>
      <c r="H28" s="22">
        <f t="shared" si="5"/>
        <v>56683221.870987281</v>
      </c>
    </row>
    <row r="29" spans="1:12" x14ac:dyDescent="0.35">
      <c r="A29" s="25" t="s">
        <v>48</v>
      </c>
      <c r="B29" s="27">
        <f>0.1</f>
        <v>0.1</v>
      </c>
      <c r="F29" s="44"/>
      <c r="G29" s="17" t="s">
        <v>39</v>
      </c>
      <c r="H29" s="28">
        <f>SUMPRODUCT($E$2:$E$6,$H$24:$H$28)*$B$39</f>
        <v>195296570.59029531</v>
      </c>
    </row>
    <row r="30" spans="1:12" x14ac:dyDescent="0.35">
      <c r="A30" s="25" t="s">
        <v>140</v>
      </c>
      <c r="B30" s="26">
        <f>B19*B28*B29</f>
        <v>10000000</v>
      </c>
      <c r="F30" s="45" t="s">
        <v>49</v>
      </c>
      <c r="G30" s="29" t="s">
        <v>1</v>
      </c>
      <c r="H30" s="30" t="s">
        <v>50</v>
      </c>
      <c r="I30" s="29" t="s">
        <v>51</v>
      </c>
      <c r="J30" s="29" t="s">
        <v>52</v>
      </c>
      <c r="K30" s="29" t="s">
        <v>53</v>
      </c>
    </row>
    <row r="31" spans="1:12" x14ac:dyDescent="0.35">
      <c r="A31" t="s">
        <v>138</v>
      </c>
      <c r="B31" s="7">
        <v>200</v>
      </c>
      <c r="F31" s="45"/>
      <c r="G31" s="29" t="s">
        <v>7</v>
      </c>
      <c r="H31" s="31">
        <f>$B$34*J3*$B$35*($B$31+$B$32-0.5*($B$1+$B$2)/($B$19*$B$29))*$B$38*$B$36*$B$37/(3.6*10^6*$B$33)</f>
        <v>17425204.384149659</v>
      </c>
      <c r="I31" s="31">
        <f>I3*$B$16</f>
        <v>0</v>
      </c>
      <c r="J31" s="31">
        <f>$B$17*MIN(D2,$B$22)+$B$18*MAX(D2-$B$22,0)</f>
        <v>10434548.0524152</v>
      </c>
      <c r="K31" s="31">
        <f>SUM(H31:J31)</f>
        <v>27859752.436564859</v>
      </c>
    </row>
    <row r="32" spans="1:12" x14ac:dyDescent="0.35">
      <c r="A32" t="s">
        <v>139</v>
      </c>
      <c r="B32" s="7">
        <v>200</v>
      </c>
      <c r="F32" s="45"/>
      <c r="G32" s="29" t="s">
        <v>12</v>
      </c>
      <c r="H32" s="31">
        <f t="shared" ref="H32:H35" si="6">$B$34*J4*$B$35*($B$31+$B$32-0.5*($B$1+$B$2)/($B$19*$B$29))*$B$38*$B$36*$B$37/(3.6*10^6*$B$33)</f>
        <v>9750800.2941684462</v>
      </c>
      <c r="I32" s="31">
        <f t="shared" ref="I32:I35" si="7">I4*$B$16</f>
        <v>0</v>
      </c>
      <c r="J32" s="31">
        <f t="shared" ref="J32:J35" si="8">$B$17*MIN(D3,$B$22)+$B$18*MAX(D3-$B$22,0)</f>
        <v>16260755.771381097</v>
      </c>
      <c r="K32" s="31">
        <f t="shared" ref="K32:K35" si="9">SUM(H32:J32)</f>
        <v>26011556.065549545</v>
      </c>
    </row>
    <row r="33" spans="1:11" x14ac:dyDescent="0.35">
      <c r="A33" t="s">
        <v>54</v>
      </c>
      <c r="B33" s="32">
        <v>0.7</v>
      </c>
      <c r="F33" s="45"/>
      <c r="G33" s="29" t="s">
        <v>14</v>
      </c>
      <c r="H33" s="31">
        <f t="shared" si="6"/>
        <v>2046546.9491971955</v>
      </c>
      <c r="I33" s="31">
        <f t="shared" si="7"/>
        <v>0</v>
      </c>
      <c r="J33" s="31">
        <f t="shared" si="8"/>
        <v>21792588.762403499</v>
      </c>
      <c r="K33" s="31">
        <f t="shared" si="9"/>
        <v>23839135.711600695</v>
      </c>
    </row>
    <row r="34" spans="1:11" x14ac:dyDescent="0.35">
      <c r="A34" t="s">
        <v>55</v>
      </c>
      <c r="B34" s="6">
        <v>0.189</v>
      </c>
      <c r="F34" s="45"/>
      <c r="G34" s="29" t="s">
        <v>16</v>
      </c>
      <c r="H34" s="31">
        <f t="shared" si="6"/>
        <v>0</v>
      </c>
      <c r="I34" s="31">
        <f t="shared" si="7"/>
        <v>0</v>
      </c>
      <c r="J34" s="31">
        <f t="shared" si="8"/>
        <v>27473061.194380503</v>
      </c>
      <c r="K34" s="31">
        <f t="shared" si="9"/>
        <v>27473061.194380503</v>
      </c>
    </row>
    <row r="35" spans="1:11" x14ac:dyDescent="0.35">
      <c r="A35" t="s">
        <v>56</v>
      </c>
      <c r="B35" s="7">
        <v>1233.4818399999999</v>
      </c>
      <c r="F35" s="45"/>
      <c r="G35" s="29" t="s">
        <v>18</v>
      </c>
      <c r="H35" s="31">
        <f t="shared" si="6"/>
        <v>0</v>
      </c>
      <c r="I35" s="31">
        <f t="shared" si="7"/>
        <v>-2.999999651365215E-4</v>
      </c>
      <c r="J35" s="31">
        <f t="shared" si="8"/>
        <v>39462705.050092503</v>
      </c>
      <c r="K35" s="31">
        <f t="shared" si="9"/>
        <v>39462705.049792506</v>
      </c>
    </row>
    <row r="36" spans="1:11" x14ac:dyDescent="0.35">
      <c r="A36" t="s">
        <v>57</v>
      </c>
      <c r="B36" s="7">
        <v>1000</v>
      </c>
      <c r="F36" s="45"/>
      <c r="G36" s="20" t="s">
        <v>39</v>
      </c>
      <c r="H36" s="31">
        <f>SUM(H31:H35)</f>
        <v>29222551.627515301</v>
      </c>
      <c r="I36" s="31">
        <f>SUM(I31:I35)</f>
        <v>-2.999999651365215E-4</v>
      </c>
      <c r="J36" s="31">
        <f>SUM(J31:J35)</f>
        <v>115423658.8306728</v>
      </c>
      <c r="K36" s="20">
        <f>SUMPRODUCT($E$2:$E$6,$K$31:$K$35)*$B$39</f>
        <v>240593088.75696015</v>
      </c>
    </row>
    <row r="37" spans="1:11" x14ac:dyDescent="0.35">
      <c r="A37" t="s">
        <v>58</v>
      </c>
      <c r="B37" s="5">
        <v>9.81</v>
      </c>
    </row>
    <row r="38" spans="1:11" x14ac:dyDescent="0.35">
      <c r="A38" t="s">
        <v>59</v>
      </c>
      <c r="B38" s="8">
        <v>0.30480000000000002</v>
      </c>
      <c r="F38" t="s">
        <v>60</v>
      </c>
    </row>
    <row r="39" spans="1:11" x14ac:dyDescent="0.35">
      <c r="A39" t="s">
        <v>61</v>
      </c>
      <c r="B39" s="6">
        <f>(1-(1+B3)^(-B24))/(B3*(1+B3)^(B23*B24))</f>
        <v>8.3166053225779368</v>
      </c>
      <c r="F39" t="s">
        <v>62</v>
      </c>
      <c r="G39" t="s">
        <v>1</v>
      </c>
      <c r="H39" s="33" t="s">
        <v>63</v>
      </c>
      <c r="I39" t="s">
        <v>64</v>
      </c>
    </row>
    <row r="40" spans="1:11" x14ac:dyDescent="0.35">
      <c r="G40" t="s">
        <v>7</v>
      </c>
      <c r="H40" s="34">
        <f>$B$19-$I$1-H3-I3</f>
        <v>365093.02357431612</v>
      </c>
      <c r="I40">
        <v>0</v>
      </c>
    </row>
    <row r="41" spans="1:11" x14ac:dyDescent="0.35">
      <c r="G41" t="s">
        <v>12</v>
      </c>
      <c r="H41" s="34">
        <f t="shared" ref="H41:H44" si="10">$B$19-$I$1-H4-I4</f>
        <v>365093.02357431612</v>
      </c>
      <c r="I41">
        <v>0</v>
      </c>
    </row>
    <row r="42" spans="1:11" x14ac:dyDescent="0.35">
      <c r="G42" t="s">
        <v>14</v>
      </c>
      <c r="H42" s="34">
        <f t="shared" si="10"/>
        <v>365093.02357431612</v>
      </c>
      <c r="I42">
        <v>0</v>
      </c>
    </row>
    <row r="43" spans="1:11" x14ac:dyDescent="0.35">
      <c r="G43" t="s">
        <v>16</v>
      </c>
      <c r="H43" s="34">
        <f t="shared" si="10"/>
        <v>333614.39183682401</v>
      </c>
      <c r="I43">
        <v>0</v>
      </c>
    </row>
    <row r="44" spans="1:11" x14ac:dyDescent="0.35">
      <c r="G44" t="s">
        <v>18</v>
      </c>
      <c r="H44" s="34">
        <f t="shared" si="10"/>
        <v>251041.08704331986</v>
      </c>
      <c r="I44">
        <v>0</v>
      </c>
    </row>
    <row r="45" spans="1:11" x14ac:dyDescent="0.35">
      <c r="F45" t="s">
        <v>65</v>
      </c>
      <c r="G45" t="s">
        <v>1</v>
      </c>
      <c r="H45" s="33" t="s">
        <v>66</v>
      </c>
      <c r="I45" t="s">
        <v>64</v>
      </c>
    </row>
    <row r="46" spans="1:11" x14ac:dyDescent="0.35">
      <c r="G46" t="s">
        <v>7</v>
      </c>
      <c r="H46" s="34">
        <f>D2+J3-$B$20*I3-$B$8*$I$1-$B$14*H3</f>
        <v>0</v>
      </c>
      <c r="I46">
        <v>0</v>
      </c>
    </row>
    <row r="47" spans="1:11" x14ac:dyDescent="0.35">
      <c r="G47" t="s">
        <v>12</v>
      </c>
      <c r="H47" s="34">
        <f>D3+J4-$B$20*I4-$B$8*$I$1-$B$14*H4</f>
        <v>0</v>
      </c>
      <c r="I47">
        <v>0</v>
      </c>
    </row>
    <row r="48" spans="1:11" x14ac:dyDescent="0.35">
      <c r="G48" t="s">
        <v>14</v>
      </c>
      <c r="H48" s="34">
        <f t="shared" ref="H48:H50" si="11">D4+J5-$B$20*I5-$B$8*$I$1-$B$14*H5</f>
        <v>0</v>
      </c>
      <c r="I48">
        <v>0</v>
      </c>
    </row>
    <row r="49" spans="6:13" x14ac:dyDescent="0.35">
      <c r="G49" t="s">
        <v>16</v>
      </c>
      <c r="H49" s="34">
        <f t="shared" si="11"/>
        <v>0</v>
      </c>
      <c r="I49">
        <v>0</v>
      </c>
    </row>
    <row r="50" spans="6:13" x14ac:dyDescent="0.35">
      <c r="G50" t="s">
        <v>18</v>
      </c>
      <c r="H50" s="34">
        <f t="shared" si="11"/>
        <v>0</v>
      </c>
      <c r="I50">
        <v>0</v>
      </c>
    </row>
    <row r="51" spans="6:13" x14ac:dyDescent="0.35">
      <c r="F51" t="s">
        <v>67</v>
      </c>
      <c r="G51" t="s">
        <v>1</v>
      </c>
      <c r="H51" t="s">
        <v>5</v>
      </c>
      <c r="I51" t="s">
        <v>68</v>
      </c>
      <c r="J51" t="s">
        <v>51</v>
      </c>
      <c r="K51" t="s">
        <v>8</v>
      </c>
    </row>
    <row r="52" spans="6:13" x14ac:dyDescent="0.35">
      <c r="G52" t="s">
        <v>7</v>
      </c>
      <c r="H52" s="7">
        <f>$B$24*$B$21*$B$8*$I$1</f>
        <v>709905.55074120057</v>
      </c>
      <c r="I52" s="7">
        <f>J3*$B$24*E2</f>
        <v>629941.01714857668</v>
      </c>
      <c r="J52" s="7">
        <f>$B$20*I3*$B$24*E2</f>
        <v>0</v>
      </c>
      <c r="K52" s="7">
        <f>$B$21*$B$14*H3*$B$24*E2</f>
        <v>27042.528512726363</v>
      </c>
    </row>
    <row r="53" spans="6:13" x14ac:dyDescent="0.35">
      <c r="G53" t="s">
        <v>12</v>
      </c>
      <c r="H53" s="7">
        <f t="shared" ref="H53:H56" si="12">$B$24*$B$21*$B$8*$I$1</f>
        <v>709905.55074120057</v>
      </c>
      <c r="I53" s="7">
        <f t="shared" ref="I53:I56" si="13">J4*$B$24*E3</f>
        <v>352502.55434067652</v>
      </c>
      <c r="J53" s="7">
        <f t="shared" ref="J53:J56" si="14">$B$20*I4*$B$24*E3</f>
        <v>0</v>
      </c>
      <c r="K53" s="7">
        <f>$B$21*$B$14*H4*$B$24*E3</f>
        <v>27042.528512726363</v>
      </c>
    </row>
    <row r="54" spans="6:13" x14ac:dyDescent="0.35">
      <c r="G54" t="s">
        <v>14</v>
      </c>
      <c r="H54" s="7">
        <f t="shared" si="12"/>
        <v>709905.55074120057</v>
      </c>
      <c r="I54" s="7">
        <f t="shared" si="13"/>
        <v>73985.006912876444</v>
      </c>
      <c r="J54" s="7">
        <f t="shared" si="14"/>
        <v>0</v>
      </c>
      <c r="K54" s="7">
        <f t="shared" ref="K54:K56" si="15">$B$21*$B$14*H5*$B$24*E4</f>
        <v>27042.528512726363</v>
      </c>
    </row>
    <row r="55" spans="6:13" x14ac:dyDescent="0.35">
      <c r="G55" t="s">
        <v>16</v>
      </c>
      <c r="H55" s="7">
        <f t="shared" si="12"/>
        <v>709905.55074120057</v>
      </c>
      <c r="I55" s="7">
        <f t="shared" si="13"/>
        <v>0</v>
      </c>
      <c r="J55" s="7">
        <f t="shared" si="14"/>
        <v>0</v>
      </c>
      <c r="K55" s="7">
        <f t="shared" si="15"/>
        <v>72749.501795564938</v>
      </c>
    </row>
    <row r="56" spans="6:13" x14ac:dyDescent="0.35">
      <c r="G56" t="s">
        <v>18</v>
      </c>
      <c r="H56" s="7">
        <f t="shared" si="12"/>
        <v>709905.55074120057</v>
      </c>
      <c r="I56" s="7">
        <f t="shared" si="13"/>
        <v>0</v>
      </c>
      <c r="J56" s="7">
        <f t="shared" si="14"/>
        <v>-2.999999651365215E-5</v>
      </c>
      <c r="K56" s="7">
        <f t="shared" si="15"/>
        <v>192645.94035718497</v>
      </c>
    </row>
    <row r="57" spans="6:13" x14ac:dyDescent="0.35">
      <c r="G57" s="33" t="s">
        <v>39</v>
      </c>
      <c r="L57" s="34">
        <f>$B$1-$B$2+H52+SUM(K52:K56)+SUM(J52:J56)-SUM(I52:I56)</f>
        <v>0</v>
      </c>
    </row>
    <row r="58" spans="6:13" x14ac:dyDescent="0.35">
      <c r="H58" s="32">
        <f>H52/1000</f>
        <v>709.90555074120061</v>
      </c>
      <c r="J58" s="32">
        <f>J52/1000/E2</f>
        <v>0</v>
      </c>
      <c r="K58" s="32">
        <f>K52/1000/E2</f>
        <v>135.21264256363182</v>
      </c>
    </row>
    <row r="59" spans="6:13" x14ac:dyDescent="0.35">
      <c r="J59" s="32">
        <f t="shared" ref="J59:J62" si="16">J53/1000/E3</f>
        <v>0</v>
      </c>
      <c r="K59" s="32">
        <f t="shared" ref="K59:K62" si="17">K53/1000/E3</f>
        <v>135.21264256363182</v>
      </c>
    </row>
    <row r="60" spans="6:13" x14ac:dyDescent="0.35">
      <c r="J60" s="32">
        <f t="shared" si="16"/>
        <v>0</v>
      </c>
      <c r="K60" s="32">
        <f t="shared" si="17"/>
        <v>135.21264256363182</v>
      </c>
    </row>
    <row r="61" spans="6:13" x14ac:dyDescent="0.35">
      <c r="J61" s="32">
        <f t="shared" si="16"/>
        <v>0</v>
      </c>
      <c r="K61" s="32">
        <f t="shared" si="17"/>
        <v>363.74750897782468</v>
      </c>
    </row>
    <row r="62" spans="6:13" x14ac:dyDescent="0.35">
      <c r="J62" s="32">
        <f t="shared" si="16"/>
        <v>-1.4999998256826075E-7</v>
      </c>
      <c r="K62" s="32">
        <f t="shared" si="17"/>
        <v>963.22970178592482</v>
      </c>
    </row>
    <row r="64" spans="6:13" x14ac:dyDescent="0.35">
      <c r="H64" s="5">
        <f t="shared" ref="H64:H68" si="18">D2</f>
        <v>248441.62029559998</v>
      </c>
      <c r="I64" s="7">
        <f>I3</f>
        <v>0</v>
      </c>
      <c r="J64" s="32">
        <f>I64*$B$20</f>
        <v>0</v>
      </c>
      <c r="K64" s="7">
        <f t="shared" ref="K64:K68" si="19">J3</f>
        <v>314970.50857428828</v>
      </c>
      <c r="L64" s="5">
        <f>(H64-J64+K64)*$B$21*$B$24</f>
        <v>845118.19330483233</v>
      </c>
      <c r="M64">
        <f t="shared" ref="M64:M68" si="20">E2</f>
        <v>0.2</v>
      </c>
    </row>
    <row r="65" spans="8:13" x14ac:dyDescent="0.35">
      <c r="H65" s="5">
        <f t="shared" si="18"/>
        <v>387160.85169954994</v>
      </c>
      <c r="I65" s="7">
        <f t="shared" ref="I65:I68" si="21">I4</f>
        <v>0</v>
      </c>
      <c r="J65" s="32">
        <f t="shared" ref="J65:J68" si="22">I65*$B$20</f>
        <v>0</v>
      </c>
      <c r="K65" s="7">
        <f t="shared" si="19"/>
        <v>176251.27717033826</v>
      </c>
      <c r="L65" s="5">
        <f t="shared" ref="L65:L68" si="23">(H65-J65+K65)*$B$21*$B$24</f>
        <v>845118.19330483221</v>
      </c>
      <c r="M65">
        <f t="shared" si="20"/>
        <v>0.2</v>
      </c>
    </row>
    <row r="66" spans="8:13" x14ac:dyDescent="0.35">
      <c r="H66" s="5">
        <f t="shared" si="18"/>
        <v>526419.62541344995</v>
      </c>
      <c r="I66" s="7">
        <f t="shared" si="21"/>
        <v>0</v>
      </c>
      <c r="J66" s="32">
        <f t="shared" si="22"/>
        <v>0</v>
      </c>
      <c r="K66" s="7">
        <f t="shared" si="19"/>
        <v>36992.503456438222</v>
      </c>
      <c r="L66" s="5">
        <f t="shared" si="23"/>
        <v>845118.19330483221</v>
      </c>
      <c r="M66">
        <f t="shared" si="20"/>
        <v>0.2</v>
      </c>
    </row>
    <row r="67" spans="8:13" x14ac:dyDescent="0.35">
      <c r="H67" s="5">
        <f t="shared" si="18"/>
        <v>715768.7064793501</v>
      </c>
      <c r="I67" s="7">
        <f t="shared" si="21"/>
        <v>0</v>
      </c>
      <c r="J67" s="32">
        <f t="shared" si="22"/>
        <v>0</v>
      </c>
      <c r="K67" s="7">
        <f t="shared" si="19"/>
        <v>0</v>
      </c>
      <c r="L67" s="5">
        <f>(H67-J67+K67)*$B$21*$B$24</f>
        <v>1073653.0597190252</v>
      </c>
      <c r="M67">
        <f t="shared" si="20"/>
        <v>0.2</v>
      </c>
    </row>
    <row r="68" spans="8:13" x14ac:dyDescent="0.35">
      <c r="H68" s="5">
        <f t="shared" si="18"/>
        <v>1115423.5016697501</v>
      </c>
      <c r="I68" s="7">
        <f t="shared" si="21"/>
        <v>-9.9999988378840499E-7</v>
      </c>
      <c r="J68" s="32">
        <f t="shared" si="22"/>
        <v>-1.4999998256826075E-5</v>
      </c>
      <c r="K68" s="7">
        <f t="shared" si="19"/>
        <v>0</v>
      </c>
      <c r="L68" s="5">
        <f t="shared" si="23"/>
        <v>1673135.2525271252</v>
      </c>
      <c r="M68">
        <f t="shared" si="20"/>
        <v>0.2</v>
      </c>
    </row>
    <row r="69" spans="8:13" x14ac:dyDescent="0.35">
      <c r="L69" s="5">
        <f>SUMPRODUCT(L64:L68,M64:M68)</f>
        <v>1056428.5784321295</v>
      </c>
    </row>
    <row r="70" spans="8:13" x14ac:dyDescent="0.35">
      <c r="K70" s="5">
        <f>$B$24*$B$21*$B$8*$I$1</f>
        <v>709905.55074120057</v>
      </c>
      <c r="L70" s="7">
        <f>K70+SUM(K52:K56)</f>
        <v>1056428.5784321297</v>
      </c>
    </row>
    <row r="71" spans="8:13" x14ac:dyDescent="0.35">
      <c r="L71" s="35">
        <f>L69-L70</f>
        <v>0</v>
      </c>
    </row>
  </sheetData>
  <mergeCells count="3">
    <mergeCell ref="F10:F21"/>
    <mergeCell ref="F23:F29"/>
    <mergeCell ref="F30:F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Base_LM2</vt:lpstr>
      <vt:lpstr>Base_LM1</vt:lpstr>
      <vt:lpstr>Base_LM0</vt:lpstr>
      <vt:lpstr>Base_LM-1</vt:lpstr>
      <vt:lpstr>Drier_LM0</vt:lpstr>
      <vt:lpstr>EvenDrier_LM0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 Yao</dc:creator>
  <cp:lastModifiedBy>Gracie Yao</cp:lastModifiedBy>
  <cp:lastPrinted>2019-01-17T09:53:39Z</cp:lastPrinted>
  <dcterms:created xsi:type="dcterms:W3CDTF">2018-07-31T17:17:32Z</dcterms:created>
  <dcterms:modified xsi:type="dcterms:W3CDTF">2021-11-30T07:23:15Z</dcterms:modified>
</cp:coreProperties>
</file>