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shmd\Google Drive\Brazil_CAPES_2016\PMP_Lecture_2016\AgModelingWorkshop\"/>
    </mc:Choice>
  </mc:AlternateContent>
  <bookViews>
    <workbookView xWindow="14480" yWindow="2840" windowWidth="15720" windowHeight="17820" tabRatio="500" activeTab="3"/>
  </bookViews>
  <sheets>
    <sheet name="Input Data" sheetId="1" r:id="rId1"/>
    <sheet name="Sensitivity Report 1" sheetId="7" r:id="rId2"/>
    <sheet name="Step 1" sheetId="2" r:id="rId3"/>
    <sheet name="Steps 2&amp;3" sheetId="3" r:id="rId4"/>
  </sheets>
  <definedNames>
    <definedName name="solver_adj" localSheetId="2" hidden="1">'Step 1'!$B$5:$D$5</definedName>
    <definedName name="solver_adj" localSheetId="3" hidden="1">'Steps 2&amp;3'!$C$10:$E$10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'Step 1'!$B$5</definedName>
    <definedName name="solver_lhs1" localSheetId="3" hidden="1">'Steps 2&amp;3'!$F$10</definedName>
    <definedName name="solver_lhs2" localSheetId="2" hidden="1">'Step 1'!$C$5</definedName>
    <definedName name="solver_lhs2" localSheetId="3" hidden="1">'Steps 2&amp;3'!$F$12</definedName>
    <definedName name="solver_lhs3" localSheetId="2" hidden="1">'Step 1'!$D$5</definedName>
    <definedName name="solver_lhs4" localSheetId="2" hidden="1">'Step 1'!$E$5</definedName>
    <definedName name="solver_lhs5" localSheetId="2" hidden="1">'Step 1'!$E$7</definedName>
    <definedName name="solver_lin" localSheetId="2" hidden="1">1</definedName>
    <definedName name="solver_lin" localSheetId="3" hidden="1">2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5</definedName>
    <definedName name="solver_num" localSheetId="3" hidden="1">2</definedName>
    <definedName name="solver_nwt" localSheetId="2" hidden="1">1</definedName>
    <definedName name="solver_nwt" localSheetId="3" hidden="1">1</definedName>
    <definedName name="solver_opt" localSheetId="2" hidden="1">'Step 1'!$E$10</definedName>
    <definedName name="solver_opt" localSheetId="3" hidden="1">'Steps 2&amp;3'!$F$15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1</definedName>
    <definedName name="solver_rel2" localSheetId="2" hidden="1">1</definedName>
    <definedName name="solver_rel2" localSheetId="3" hidden="1">1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hs1" localSheetId="2" hidden="1">'Step 1'!$B$13</definedName>
    <definedName name="solver_rhs1" localSheetId="3" hidden="1">'Steps 2&amp;3'!$H$10</definedName>
    <definedName name="solver_rhs2" localSheetId="2" hidden="1">'Step 1'!$C$13</definedName>
    <definedName name="solver_rhs2" localSheetId="3" hidden="1">'Steps 2&amp;3'!$H$12</definedName>
    <definedName name="solver_rhs3" localSheetId="2" hidden="1">'Step 1'!$D$13</definedName>
    <definedName name="solver_rhs4" localSheetId="2" hidden="1">'Step 1'!$G$5</definedName>
    <definedName name="solver_rhs5" localSheetId="2" hidden="1">'Step 1'!$G$7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1</definedName>
    <definedName name="solver_typ" localSheetId="3" hidden="1">1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D4" i="3"/>
  <c r="C4" i="3"/>
  <c r="I13" i="1"/>
  <c r="J13" i="1"/>
  <c r="K13" i="1"/>
  <c r="M13" i="1"/>
  <c r="M11" i="1"/>
  <c r="B8" i="1"/>
  <c r="C8" i="1"/>
  <c r="D8" i="1"/>
  <c r="F11" i="1"/>
  <c r="B13" i="1"/>
  <c r="C13" i="1"/>
  <c r="D13" i="1"/>
  <c r="F13" i="1"/>
  <c r="D11" i="3"/>
  <c r="C14" i="1"/>
  <c r="C15" i="1"/>
  <c r="D14" i="1"/>
  <c r="D15" i="1"/>
  <c r="B14" i="1"/>
  <c r="B15" i="1"/>
  <c r="C5" i="3"/>
  <c r="C6" i="3"/>
  <c r="D5" i="3"/>
  <c r="D6" i="3"/>
  <c r="E5" i="3"/>
  <c r="E6" i="3"/>
  <c r="H10" i="3"/>
  <c r="J8" i="1"/>
  <c r="J15" i="1"/>
  <c r="K8" i="1"/>
  <c r="K15" i="1"/>
  <c r="I8" i="1"/>
  <c r="I15" i="1"/>
  <c r="K14" i="1"/>
  <c r="J14" i="1"/>
  <c r="I14" i="1"/>
  <c r="H12" i="3"/>
  <c r="E14" i="3"/>
  <c r="D14" i="3"/>
  <c r="C14" i="3"/>
  <c r="E13" i="3"/>
  <c r="D13" i="3"/>
  <c r="C13" i="3"/>
  <c r="D13" i="2"/>
  <c r="C13" i="2"/>
  <c r="B13" i="2"/>
  <c r="E11" i="3"/>
  <c r="E12" i="3"/>
  <c r="D12" i="3"/>
  <c r="C11" i="3"/>
  <c r="C12" i="3"/>
  <c r="D17" i="3"/>
  <c r="E17" i="3"/>
  <c r="C17" i="3"/>
  <c r="D15" i="2"/>
  <c r="C15" i="2"/>
  <c r="B15" i="2"/>
  <c r="D10" i="2"/>
  <c r="C10" i="2"/>
  <c r="B10" i="2"/>
  <c r="G7" i="2"/>
  <c r="G5" i="2"/>
  <c r="D6" i="2"/>
  <c r="C6" i="2"/>
  <c r="B6" i="2"/>
  <c r="F10" i="3"/>
  <c r="F12" i="3"/>
  <c r="F13" i="3"/>
  <c r="F14" i="3"/>
  <c r="C15" i="3"/>
  <c r="D15" i="3"/>
  <c r="E15" i="3"/>
  <c r="F15" i="3"/>
  <c r="E10" i="2"/>
  <c r="B7" i="2"/>
  <c r="C7" i="2"/>
  <c r="D7" i="2"/>
  <c r="E7" i="2"/>
  <c r="E5" i="2"/>
  <c r="F14" i="1"/>
  <c r="M14" i="1"/>
</calcChain>
</file>

<file path=xl/sharedStrings.xml><?xml version="1.0" encoding="utf-8"?>
<sst xmlns="http://schemas.openxmlformats.org/spreadsheetml/2006/main" count="118" uniqueCount="69">
  <si>
    <t>Alfalfa</t>
  </si>
  <si>
    <t>Corn</t>
  </si>
  <si>
    <t>Vine</t>
  </si>
  <si>
    <t>Observed Resource Use</t>
  </si>
  <si>
    <t>Total</t>
  </si>
  <si>
    <t>&lt;=</t>
  </si>
  <si>
    <t>Applied Water (Acre-ft)</t>
  </si>
  <si>
    <t>Data set</t>
  </si>
  <si>
    <t>Objective Function Net Revenues</t>
  </si>
  <si>
    <t>AGRICULTURAL PRODUCTION MODELING WORKSHOP</t>
  </si>
  <si>
    <t>Yield (Ton/acre)</t>
  </si>
  <si>
    <t>Revenues ($/acre)</t>
  </si>
  <si>
    <t>Price ($/Ton)</t>
  </si>
  <si>
    <t>Cost ($/acre)</t>
  </si>
  <si>
    <t>Irrigated Crop Area (acres)</t>
  </si>
  <si>
    <t>Applied Water per unit area (ft)</t>
  </si>
  <si>
    <t>Observed Net Returns ($)</t>
  </si>
  <si>
    <t>Gross Revenues ($)</t>
  </si>
  <si>
    <t>PMP Cost ($)</t>
  </si>
  <si>
    <t>Calibration Check Up (% difference to base)</t>
  </si>
  <si>
    <t>RICHARD HOWITT AND JOSUE MEDELLIN</t>
  </si>
  <si>
    <t>January 31, 2014</t>
  </si>
  <si>
    <t>Totals</t>
  </si>
  <si>
    <t>Step 1: Solve the linear program with a calibration constaint</t>
  </si>
  <si>
    <t>Objective Function</t>
  </si>
  <si>
    <t>Upper  Bound</t>
  </si>
  <si>
    <t>Calibration Constraint</t>
  </si>
  <si>
    <t>Percent Difference From Observed</t>
  </si>
  <si>
    <t>Step 2: Obtain parameters of a quadratic PMP cost function</t>
  </si>
  <si>
    <t>Alpha</t>
  </si>
  <si>
    <t>Gamma</t>
  </si>
  <si>
    <t>Step 3: Solve the Base Calibrated Model</t>
  </si>
  <si>
    <t>Applied Water</t>
  </si>
  <si>
    <t>Upper Bound</t>
  </si>
  <si>
    <t>REGION 1</t>
  </si>
  <si>
    <t>REGION 2</t>
  </si>
  <si>
    <t>Almonds</t>
  </si>
  <si>
    <t>Vegetables</t>
  </si>
  <si>
    <t>Lagrange multiplier on land</t>
  </si>
  <si>
    <t>Worksheet: [Simple_PMP_Model_1_Rev3.xlsx]Step 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</si>
  <si>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</si>
  <si>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</si>
  <si>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</si>
  <si>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</si>
  <si>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</si>
  <si>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</si>
  <si>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</si>
  <si>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</si>
  <si>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</si>
  <si>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</si>
  <si>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</si>
  <si>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</si>
  <si>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</si>
  <si>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</si>
  <si>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</si>
  <si>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</si>
  <si>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</si>
  <si>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$B$5</t>
  </si>
  <si>
    <t>Irrigated Crop Area (acres) Alfalfa</t>
  </si>
  <si>
    <t>$C$5</t>
  </si>
  <si>
    <t>Irrigated Crop Area (acres) Vine</t>
  </si>
  <si>
    <t>$D$5</t>
  </si>
  <si>
    <t>Irrigated Crop Area (acres) Corn</t>
  </si>
  <si>
    <t>$E$5</t>
  </si>
  <si>
    <t>Irrigated Crop Area (acres) Totals</t>
  </si>
  <si>
    <t>$E$7</t>
  </si>
  <si>
    <t>Applied Water (Acre-ft) Totals</t>
  </si>
  <si>
    <t>Microsoft Excel 16.0 Sensitivity Report</t>
  </si>
  <si>
    <t>Report Created: 10/20/2016 6:10:49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</si>
</sst>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0" fontId="0" fillId="0" borderId="0" xfId="3" applyNumberFormat="1" applyFont="1"/>
    <xf numFmtId="0" fontId="2" fillId="0" borderId="0" xfId="0" applyFont="1" applyAlignment="1">
      <alignment horizontal="center"/>
    </xf>
    <xf numFmtId="0" fontId="0" fillId="4" borderId="1" xfId="0" applyFill="1" applyBorder="1"/>
    <xf numFmtId="17" fontId="0" fillId="0" borderId="0" xfId="0" applyNumberFormat="1"/>
    <xf numFmtId="17" fontId="2" fillId="0" borderId="0" xfId="0" quotePrefix="1" applyNumberFormat="1" applyFont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0" fillId="4" borderId="5" xfId="0" applyFill="1" applyBorder="1"/>
    <xf numFmtId="0" fontId="0" fillId="5" borderId="15" xfId="0" applyFill="1" applyBorder="1"/>
    <xf numFmtId="0" fontId="0" fillId="5" borderId="0" xfId="0" applyFill="1" applyBorder="1"/>
    <xf numFmtId="0" fontId="0" fillId="5" borderId="16" xfId="0" applyFill="1" applyBorder="1"/>
    <xf numFmtId="0" fontId="7" fillId="5" borderId="9" xfId="0" applyFont="1" applyFill="1" applyBorder="1"/>
    <xf numFmtId="0" fontId="7" fillId="5" borderId="10" xfId="0" applyFont="1" applyFill="1" applyBorder="1"/>
    <xf numFmtId="0" fontId="6" fillId="3" borderId="5" xfId="0" applyFont="1" applyFill="1" applyBorder="1"/>
    <xf numFmtId="0" fontId="8" fillId="3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0" borderId="0" xfId="0" applyFont="1" applyFill="1" applyBorder="1"/>
    <xf numFmtId="164" fontId="2" fillId="6" borderId="1" xfId="4" applyNumberFormat="1" applyFont="1" applyFill="1" applyBorder="1"/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164" fontId="7" fillId="5" borderId="6" xfId="4" applyNumberFormat="1" applyFont="1" applyFill="1" applyBorder="1"/>
    <xf numFmtId="164" fontId="7" fillId="5" borderId="5" xfId="4" applyNumberFormat="1" applyFont="1" applyFill="1" applyBorder="1"/>
    <xf numFmtId="2" fontId="0" fillId="3" borderId="0" xfId="0" applyNumberFormat="1" applyFill="1"/>
    <xf numFmtId="2" fontId="0" fillId="3" borderId="5" xfId="0" applyNumberFormat="1" applyFill="1" applyBorder="1"/>
    <xf numFmtId="2" fontId="6" fillId="3" borderId="0" xfId="0" applyNumberFormat="1" applyFont="1" applyFill="1" applyBorder="1"/>
    <xf numFmtId="2" fontId="0" fillId="3" borderId="9" xfId="0" applyNumberFormat="1" applyFill="1" applyBorder="1"/>
    <xf numFmtId="2" fontId="0" fillId="3" borderId="10" xfId="0" applyNumberFormat="1" applyFill="1" applyBorder="1"/>
    <xf numFmtId="2" fontId="0" fillId="3" borderId="11" xfId="0" applyNumberFormat="1" applyFill="1" applyBorder="1"/>
    <xf numFmtId="2" fontId="0" fillId="3" borderId="12" xfId="0" applyNumberForma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1" fontId="0" fillId="3" borderId="5" xfId="0" applyNumberFormat="1" applyFill="1" applyBorder="1"/>
    <xf numFmtId="1" fontId="0" fillId="7" borderId="4" xfId="0" applyNumberFormat="1" applyFill="1" applyBorder="1"/>
    <xf numFmtId="2" fontId="6" fillId="2" borderId="2" xfId="0" applyNumberFormat="1" applyFont="1" applyFill="1" applyBorder="1"/>
    <xf numFmtId="2" fontId="6" fillId="2" borderId="3" xfId="0" applyNumberFormat="1" applyFont="1" applyFill="1" applyBorder="1"/>
    <xf numFmtId="2" fontId="9" fillId="3" borderId="0" xfId="0" applyNumberFormat="1" applyFont="1" applyFill="1" applyBorder="1"/>
    <xf numFmtId="0" fontId="0" fillId="0" borderId="19" xfId="0" applyFill="1" applyBorder="1" applyAlignment="1"/>
    <xf numFmtId="0" fontId="0" fillId="0" borderId="20" xfId="0" applyFill="1" applyBorder="1" applyAlignment="1"/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</cellXfs>
  <cellStyles count="57">
    <cellStyle name="Comma" xfId="4" builtinId="3"/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1041400</xdr:colOff>
          <xdr:row>16</xdr:row>
          <xdr:rowOff>101600</xdr:rowOff>
        </xdr:from>
        <xdr:to>
          <xdr:col>3</xdr:col>
          <xdr:colOff>558800</xdr:colOff>
          <xdr:row>26</xdr:row>
          <xdr:rowOff>25400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</xdr:row>
          <xdr:rowOff>152400</xdr:rowOff>
        </xdr:from>
        <xdr:to>
          <xdr:col>9</xdr:col>
          <xdr:colOff>533400</xdr:colOff>
          <xdr:row>5</xdr:row>
          <xdr:rowOff>25400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863600</xdr:colOff>
          <xdr:row>18</xdr:row>
          <xdr:rowOff>38100</xdr:rowOff>
        </xdr:from>
        <xdr:to>
          <xdr:col>4</xdr:col>
          <xdr:colOff>431800</xdr:colOff>
          <xdr:row>25</xdr:row>
          <xdr:rowOff>114300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F1" zoomScale="130" zoomScaleNormal="130" zoomScalePageLayoutView="130" workbookViewId="0">
      <selection activeCell="H10" sqref="H10"/>
    </sheetView>
  </sheetViews>
  <sheetFormatPr defaultColWidth="11" defaultRowHeight="15.5" x14ac:dyDescent="0.35"/>
  <cols>
    <col min="1" max="1" width="46.1640625" bestFit="1" customWidth="1"/>
    <col min="2" max="2" width="9.6640625" customWidth="1"/>
    <col min="3" max="3" width="11.1640625" bestFit="1" customWidth="1"/>
    <col min="4" max="5" width="11.5" bestFit="1" customWidth="1"/>
    <col min="8" max="8" width="26.83203125" bestFit="1" customWidth="1"/>
  </cols>
  <sheetData>
    <row r="1" spans="1:13" x14ac:dyDescent="0.35">
      <c r="A1" s="1" t="s">
        <v>9</v>
      </c>
    </row>
    <row r="2" spans="1:13" x14ac:dyDescent="0.35">
      <c r="A2" s="1" t="s">
        <v>20</v>
      </c>
    </row>
    <row r="3" spans="1:13" x14ac:dyDescent="0.35">
      <c r="A3" s="6" t="s">
        <v>21</v>
      </c>
    </row>
    <row r="4" spans="1:13" x14ac:dyDescent="0.35">
      <c r="A4" s="5"/>
      <c r="B4" t="s">
        <v>34</v>
      </c>
      <c r="H4" s="1" t="s">
        <v>35</v>
      </c>
    </row>
    <row r="5" spans="1:13" x14ac:dyDescent="0.35">
      <c r="A5" s="1" t="s">
        <v>7</v>
      </c>
      <c r="B5" s="3" t="s">
        <v>0</v>
      </c>
      <c r="C5" s="3" t="s">
        <v>2</v>
      </c>
      <c r="D5" s="3" t="s">
        <v>1</v>
      </c>
      <c r="H5" s="1" t="s">
        <v>7</v>
      </c>
      <c r="I5" s="3" t="s">
        <v>36</v>
      </c>
      <c r="J5" s="3" t="s">
        <v>2</v>
      </c>
      <c r="K5" s="3" t="s">
        <v>37</v>
      </c>
    </row>
    <row r="6" spans="1:13" x14ac:dyDescent="0.35">
      <c r="A6" t="s">
        <v>12</v>
      </c>
      <c r="B6">
        <v>132</v>
      </c>
      <c r="C6">
        <v>700</v>
      </c>
      <c r="D6">
        <v>250</v>
      </c>
      <c r="H6" t="s">
        <v>12</v>
      </c>
      <c r="I6">
        <v>4234</v>
      </c>
      <c r="J6">
        <v>700</v>
      </c>
      <c r="K6">
        <v>582</v>
      </c>
    </row>
    <row r="7" spans="1:13" x14ac:dyDescent="0.35">
      <c r="A7" t="s">
        <v>10</v>
      </c>
      <c r="B7">
        <v>7</v>
      </c>
      <c r="C7">
        <v>6.5</v>
      </c>
      <c r="D7">
        <v>6</v>
      </c>
      <c r="H7" t="s">
        <v>10</v>
      </c>
      <c r="I7">
        <v>1.1000000000000001</v>
      </c>
      <c r="J7">
        <v>6.5</v>
      </c>
      <c r="K7">
        <v>6.5</v>
      </c>
    </row>
    <row r="8" spans="1:13" x14ac:dyDescent="0.35">
      <c r="A8" t="s">
        <v>11</v>
      </c>
      <c r="B8">
        <f>B6*B7</f>
        <v>924</v>
      </c>
      <c r="C8">
        <f>C6*C7</f>
        <v>4550</v>
      </c>
      <c r="D8">
        <f>D6*D7</f>
        <v>1500</v>
      </c>
      <c r="H8" t="s">
        <v>11</v>
      </c>
      <c r="I8">
        <f>I6*I7</f>
        <v>4657.4000000000005</v>
      </c>
      <c r="J8">
        <f>J6*J7</f>
        <v>4550</v>
      </c>
      <c r="K8">
        <f>K6*K7</f>
        <v>3783</v>
      </c>
    </row>
    <row r="9" spans="1:13" x14ac:dyDescent="0.35">
      <c r="A9" t="s">
        <v>13</v>
      </c>
      <c r="B9">
        <v>681</v>
      </c>
      <c r="C9">
        <v>3478</v>
      </c>
      <c r="D9">
        <v>1000</v>
      </c>
      <c r="H9" t="s">
        <v>13</v>
      </c>
      <c r="I9">
        <v>2627</v>
      </c>
      <c r="J9">
        <v>3478</v>
      </c>
      <c r="K9">
        <v>3200</v>
      </c>
    </row>
    <row r="10" spans="1:13" x14ac:dyDescent="0.35">
      <c r="A10" s="1" t="s">
        <v>3</v>
      </c>
      <c r="B10" s="3" t="s">
        <v>0</v>
      </c>
      <c r="C10" s="3" t="s">
        <v>2</v>
      </c>
      <c r="D10" s="3" t="s">
        <v>1</v>
      </c>
      <c r="F10" t="s">
        <v>4</v>
      </c>
      <c r="H10" s="1" t="s">
        <v>3</v>
      </c>
      <c r="I10" s="3" t="s">
        <v>36</v>
      </c>
      <c r="J10" s="3" t="s">
        <v>2</v>
      </c>
      <c r="K10" s="3" t="s">
        <v>37</v>
      </c>
      <c r="M10" t="s">
        <v>4</v>
      </c>
    </row>
    <row r="11" spans="1:13" x14ac:dyDescent="0.35">
      <c r="A11" t="s">
        <v>14</v>
      </c>
      <c r="B11">
        <v>100</v>
      </c>
      <c r="C11">
        <v>30</v>
      </c>
      <c r="D11">
        <v>200</v>
      </c>
      <c r="E11" t="s">
        <v>5</v>
      </c>
      <c r="F11">
        <f>SUM(B11:D11)</f>
        <v>330</v>
      </c>
      <c r="H11" t="s">
        <v>14</v>
      </c>
      <c r="I11">
        <v>150</v>
      </c>
      <c r="J11">
        <v>200</v>
      </c>
      <c r="K11">
        <v>200</v>
      </c>
      <c r="L11" t="s">
        <v>5</v>
      </c>
      <c r="M11">
        <f>SUM(I11:K11)</f>
        <v>550</v>
      </c>
    </row>
    <row r="12" spans="1:13" x14ac:dyDescent="0.35">
      <c r="A12" t="s">
        <v>15</v>
      </c>
      <c r="B12">
        <v>4</v>
      </c>
      <c r="C12">
        <v>1.5</v>
      </c>
      <c r="D12">
        <v>2.5</v>
      </c>
      <c r="H12" t="s">
        <v>15</v>
      </c>
      <c r="I12">
        <v>3.1</v>
      </c>
      <c r="J12">
        <v>1.5</v>
      </c>
      <c r="K12">
        <v>2.1</v>
      </c>
    </row>
    <row r="13" spans="1:13" x14ac:dyDescent="0.35">
      <c r="A13" t="s">
        <v>6</v>
      </c>
      <c r="B13">
        <f>B11*B12</f>
        <v>400</v>
      </c>
      <c r="C13">
        <f t="shared" ref="C13:D13" si="0">C11*C12</f>
        <v>45</v>
      </c>
      <c r="D13">
        <f t="shared" si="0"/>
        <v>500</v>
      </c>
      <c r="E13" t="s">
        <v>5</v>
      </c>
      <c r="F13">
        <f>SUM(B13:D13)</f>
        <v>945</v>
      </c>
      <c r="H13" t="s">
        <v>6</v>
      </c>
      <c r="I13">
        <f>I11*I12</f>
        <v>465</v>
      </c>
      <c r="J13">
        <f t="shared" ref="J13:K13" si="1">J11*J12</f>
        <v>300</v>
      </c>
      <c r="K13">
        <f t="shared" si="1"/>
        <v>420</v>
      </c>
      <c r="L13" t="s">
        <v>5</v>
      </c>
      <c r="M13">
        <f>SUM(I13:K13)</f>
        <v>1185</v>
      </c>
    </row>
    <row r="14" spans="1:13" x14ac:dyDescent="0.35">
      <c r="A14" t="s">
        <v>16</v>
      </c>
      <c r="B14">
        <f>+B11*(B8-B9)</f>
        <v>24300</v>
      </c>
      <c r="C14">
        <f>+C11*(C8-C9)</f>
        <v>32160</v>
      </c>
      <c r="D14">
        <f>+D11*(D8-D9)</f>
        <v>100000</v>
      </c>
      <c r="F14" s="1">
        <f>SUMPRODUCT(B8:D8,B11:D11)- SUMPRODUCT(B9:D9,B11:D11)</f>
        <v>156460</v>
      </c>
      <c r="G14" s="1"/>
      <c r="H14" t="s">
        <v>16</v>
      </c>
      <c r="I14">
        <f>+I11*(I8-I9)</f>
        <v>304560.00000000006</v>
      </c>
      <c r="J14">
        <f>+J11*(J8-J9)</f>
        <v>214400</v>
      </c>
      <c r="K14">
        <f>+K11*(K8-K9)</f>
        <v>116600</v>
      </c>
      <c r="M14" s="1">
        <f>SUMPRODUCT(I8:K8,I11:K11)- SUMPRODUCT(I9:K9,I11:K11)</f>
        <v>635560</v>
      </c>
    </row>
    <row r="15" spans="1:13" x14ac:dyDescent="0.35">
      <c r="B15">
        <f>B14/B11</f>
        <v>243</v>
      </c>
      <c r="C15">
        <f t="shared" ref="C15:D15" si="2">C14/C11</f>
        <v>1072</v>
      </c>
      <c r="D15">
        <f t="shared" si="2"/>
        <v>500</v>
      </c>
      <c r="I15">
        <f>I8*I11</f>
        <v>698610.00000000012</v>
      </c>
      <c r="J15">
        <f t="shared" ref="J15:K15" si="3">J8*J11</f>
        <v>910000</v>
      </c>
      <c r="K15">
        <f t="shared" si="3"/>
        <v>756600</v>
      </c>
    </row>
    <row r="20" spans="1:1" x14ac:dyDescent="0.35">
      <c r="A2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.5" x14ac:dyDescent="0.35"/>
  <cols>
    <col min="1" max="1" width="2.08203125" customWidth="1"/>
    <col min="2" max="2" width="5" bestFit="1" customWidth="1"/>
    <col min="3" max="3" width="28.25" bestFit="1" customWidth="1"/>
    <col min="4" max="4" width="7.75" bestFit="1" customWidth="1"/>
    <col min="5" max="5" width="8" bestFit="1" customWidth="1"/>
    <col min="6" max="6" width="9.83203125" bestFit="1" customWidth="1"/>
    <col min="7" max="8" width="9.1640625" bestFit="1" customWidth="1"/>
  </cols>
  <sheetData>
    <row r="1" spans="1:8" x14ac:dyDescent="0.35">
      <c r="A1" s="1" t="s">
        <v>67</v>
      </c>
    </row>
    <row r="2" spans="1:8" x14ac:dyDescent="0.35">
      <c r="A2" s="1" t="s">
        <v>39</v>
      </c>
    </row>
    <row r="3" spans="1:8" x14ac:dyDescent="0.35">
      <c r="A3" s="1" t="s">
        <v>68</v>
      </c>
    </row>
    <row r="6" spans="1:8" ht="16" thickBot="1" x14ac:dyDescent="0.4">
      <c r="A6" t="s">
        <v>40</v>
      </c>
    </row>
    <row r="7" spans="1:8" x14ac:dyDescent="0.35">
      <c r="B7" s="44"/>
      <c r="C7" s="44"/>
      <c r="D7" s="44" t="s">
        <v>43</v>
      </c>
      <c r="E7" s="44" t="s">
        <v>45</v>
      </c>
      <c r="F7" s="44" t="s">
        <v>47</v>
      </c>
      <c r="G7" s="44" t="s">
        <v>49</v>
      </c>
      <c r="H7" s="44" t="s">
        <v>49</v>
      </c>
    </row>
    <row r="8" spans="1:8" ht="16" thickBot="1" x14ac:dyDescent="0.4">
      <c r="B8" s="45" t="s">
        <v>41</v>
      </c>
      <c r="C8" s="45" t="s">
        <v>42</v>
      </c>
      <c r="D8" s="45" t="s">
        <v>44</v>
      </c>
      <c r="E8" s="45" t="s">
        <v>46</v>
      </c>
      <c r="F8" s="45" t="s">
        <v>48</v>
      </c>
      <c r="G8" s="45" t="s">
        <v>50</v>
      </c>
      <c r="H8" s="45" t="s">
        <v>51</v>
      </c>
    </row>
    <row r="9" spans="1:8" x14ac:dyDescent="0.35">
      <c r="B9" s="42" t="s">
        <v>57</v>
      </c>
      <c r="C9" s="42" t="s">
        <v>58</v>
      </c>
      <c r="D9" s="42">
        <v>99.770000000000039</v>
      </c>
      <c r="E9" s="42">
        <v>0</v>
      </c>
      <c r="F9" s="42">
        <v>243</v>
      </c>
      <c r="G9" s="42">
        <v>257</v>
      </c>
      <c r="H9" s="42">
        <v>243</v>
      </c>
    </row>
    <row r="10" spans="1:8" x14ac:dyDescent="0.35">
      <c r="B10" s="42" t="s">
        <v>59</v>
      </c>
      <c r="C10" s="42" t="s">
        <v>60</v>
      </c>
      <c r="D10" s="42">
        <v>30.029999999999998</v>
      </c>
      <c r="E10" s="42">
        <v>829</v>
      </c>
      <c r="F10" s="42">
        <v>1072</v>
      </c>
      <c r="G10" s="42">
        <v>1E+30</v>
      </c>
      <c r="H10" s="42">
        <v>829</v>
      </c>
    </row>
    <row r="11" spans="1:8" ht="16" thickBot="1" x14ac:dyDescent="0.4">
      <c r="B11" s="43" t="s">
        <v>61</v>
      </c>
      <c r="C11" s="43" t="s">
        <v>62</v>
      </c>
      <c r="D11" s="43">
        <v>200.2</v>
      </c>
      <c r="E11" s="43">
        <v>257</v>
      </c>
      <c r="F11" s="43">
        <v>500</v>
      </c>
      <c r="G11" s="43">
        <v>1E+30</v>
      </c>
      <c r="H11" s="43">
        <v>257</v>
      </c>
    </row>
    <row r="13" spans="1:8" ht="16" thickBot="1" x14ac:dyDescent="0.4">
      <c r="A13" t="s">
        <v>52</v>
      </c>
    </row>
    <row r="14" spans="1:8" x14ac:dyDescent="0.35">
      <c r="B14" s="44"/>
      <c r="C14" s="44"/>
      <c r="D14" s="44" t="s">
        <v>43</v>
      </c>
      <c r="E14" s="44" t="s">
        <v>53</v>
      </c>
      <c r="F14" s="44" t="s">
        <v>55</v>
      </c>
      <c r="G14" s="44" t="s">
        <v>49</v>
      </c>
      <c r="H14" s="44" t="s">
        <v>49</v>
      </c>
    </row>
    <row r="15" spans="1:8" ht="16" thickBot="1" x14ac:dyDescent="0.4">
      <c r="B15" s="45" t="s">
        <v>41</v>
      </c>
      <c r="C15" s="45" t="s">
        <v>42</v>
      </c>
      <c r="D15" s="45" t="s">
        <v>44</v>
      </c>
      <c r="E15" s="45" t="s">
        <v>54</v>
      </c>
      <c r="F15" s="45" t="s">
        <v>56</v>
      </c>
      <c r="G15" s="45" t="s">
        <v>50</v>
      </c>
      <c r="H15" s="45" t="s">
        <v>51</v>
      </c>
    </row>
    <row r="16" spans="1:8" x14ac:dyDescent="0.35">
      <c r="B16" s="42" t="s">
        <v>63</v>
      </c>
      <c r="C16" s="42" t="s">
        <v>64</v>
      </c>
      <c r="D16" s="42">
        <v>330</v>
      </c>
      <c r="E16" s="42">
        <v>243</v>
      </c>
      <c r="F16" s="42">
        <v>330</v>
      </c>
      <c r="G16" s="42">
        <v>9.3749999999971578E-2</v>
      </c>
      <c r="H16" s="42">
        <v>99.770000000000039</v>
      </c>
    </row>
    <row r="17" spans="2:8" ht="16" thickBot="1" x14ac:dyDescent="0.4">
      <c r="B17" s="43" t="s">
        <v>65</v>
      </c>
      <c r="C17" s="43" t="s">
        <v>66</v>
      </c>
      <c r="D17" s="43">
        <v>944.62500000000023</v>
      </c>
      <c r="E17" s="43">
        <v>0</v>
      </c>
      <c r="F17" s="43">
        <v>945</v>
      </c>
      <c r="G17" s="43">
        <v>1E+30</v>
      </c>
      <c r="H17" s="43">
        <v>0.37499999999988631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5"/>
  <sheetViews>
    <sheetView zoomScale="125" zoomScaleNormal="125" zoomScalePageLayoutView="125" workbookViewId="0">
      <selection activeCell="G5" sqref="G5"/>
    </sheetView>
  </sheetViews>
  <sheetFormatPr defaultColWidth="11" defaultRowHeight="15.5" x14ac:dyDescent="0.35"/>
  <cols>
    <col min="1" max="1" width="29.33203125" customWidth="1"/>
    <col min="6" max="6" width="4" customWidth="1"/>
  </cols>
  <sheetData>
    <row r="2" spans="1:7" x14ac:dyDescent="0.35">
      <c r="A2" s="1" t="s">
        <v>23</v>
      </c>
    </row>
    <row r="4" spans="1:7" x14ac:dyDescent="0.35">
      <c r="A4" s="1" t="s">
        <v>3</v>
      </c>
      <c r="B4" s="3" t="s">
        <v>0</v>
      </c>
      <c r="C4" s="3" t="s">
        <v>2</v>
      </c>
      <c r="D4" s="3" t="s">
        <v>1</v>
      </c>
      <c r="E4" s="3" t="s">
        <v>22</v>
      </c>
      <c r="G4" s="3" t="s">
        <v>25</v>
      </c>
    </row>
    <row r="5" spans="1:7" x14ac:dyDescent="0.35">
      <c r="A5" t="s">
        <v>14</v>
      </c>
      <c r="B5" s="7">
        <v>99.770000000000039</v>
      </c>
      <c r="C5" s="8">
        <v>30.029999999999998</v>
      </c>
      <c r="D5" s="9">
        <v>200.2</v>
      </c>
      <c r="E5" s="16">
        <f>SUM(B5:D5)</f>
        <v>330</v>
      </c>
      <c r="F5" t="s">
        <v>5</v>
      </c>
      <c r="G5" s="10">
        <f>+'Input Data'!F11</f>
        <v>330</v>
      </c>
    </row>
    <row r="6" spans="1:7" x14ac:dyDescent="0.35">
      <c r="A6" t="s">
        <v>15</v>
      </c>
      <c r="B6">
        <f>+'Input Data'!B12</f>
        <v>4</v>
      </c>
      <c r="C6">
        <f>+'Input Data'!C12</f>
        <v>1.5</v>
      </c>
      <c r="D6">
        <f>+'Input Data'!D12</f>
        <v>2.5</v>
      </c>
    </row>
    <row r="7" spans="1:7" x14ac:dyDescent="0.35">
      <c r="A7" t="s">
        <v>6</v>
      </c>
      <c r="B7" s="14">
        <f>B5*B6</f>
        <v>399.08000000000015</v>
      </c>
      <c r="C7" s="15">
        <f>C5*C6</f>
        <v>45.044999999999995</v>
      </c>
      <c r="D7" s="15">
        <f>D5*D6</f>
        <v>500.5</v>
      </c>
      <c r="E7" s="17">
        <f>SUM(B7:D7)</f>
        <v>944.62500000000023</v>
      </c>
      <c r="F7" t="s">
        <v>5</v>
      </c>
      <c r="G7" s="10">
        <f>+'Input Data'!F13</f>
        <v>945</v>
      </c>
    </row>
    <row r="8" spans="1:7" x14ac:dyDescent="0.35">
      <c r="B8" s="11"/>
      <c r="C8" s="12"/>
      <c r="D8" s="12"/>
      <c r="E8" s="13"/>
    </row>
    <row r="9" spans="1:7" ht="16" thickBot="1" x14ac:dyDescent="0.4">
      <c r="A9" s="1" t="s">
        <v>24</v>
      </c>
      <c r="B9" s="11"/>
      <c r="C9" s="12"/>
      <c r="D9" s="12"/>
      <c r="E9" s="13"/>
    </row>
    <row r="10" spans="1:7" ht="16" thickBot="1" x14ac:dyDescent="0.4">
      <c r="A10" t="s">
        <v>16</v>
      </c>
      <c r="B10" s="26">
        <f>+('Input Data'!B8-'Input Data'!B9)*'Step 1'!B5</f>
        <v>24244.110000000008</v>
      </c>
      <c r="C10" s="26">
        <f>+('Input Data'!C8-'Input Data'!C9)*'Step 1'!C5</f>
        <v>32192.159999999996</v>
      </c>
      <c r="D10" s="27">
        <f>+('Input Data'!D8-'Input Data'!D9)*'Step 1'!D5</f>
        <v>100100</v>
      </c>
      <c r="E10" s="22">
        <f>SUM(B10:D10)</f>
        <v>156536.27000000002</v>
      </c>
    </row>
    <row r="13" spans="1:7" x14ac:dyDescent="0.35">
      <c r="A13" t="s">
        <v>26</v>
      </c>
      <c r="B13" s="18">
        <f>1.001*'Input Data'!B11</f>
        <v>100.1</v>
      </c>
      <c r="C13" s="19">
        <f>1.001*'Input Data'!C11</f>
        <v>30.029999999999998</v>
      </c>
      <c r="D13" s="20">
        <f>1.001*'Input Data'!D11</f>
        <v>200.2</v>
      </c>
      <c r="E13" s="21"/>
    </row>
    <row r="15" spans="1:7" x14ac:dyDescent="0.35">
      <c r="A15" t="s">
        <v>27</v>
      </c>
      <c r="B15" s="2">
        <f>+B5/'Input Data'!B11-1</f>
        <v>-2.2999999999996357E-3</v>
      </c>
      <c r="C15" s="2">
        <f>+C5/'Input Data'!C11-1</f>
        <v>9.9999999999988987E-4</v>
      </c>
      <c r="D15" s="2">
        <f>+D5/'Input Data'!D11-1</f>
        <v>9.9999999999988987E-4</v>
      </c>
    </row>
  </sheetData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DSMT4" shapeId="4098" r:id="rId3">
          <objectPr defaultSize="0" autoPict="0" r:id="rId4">
            <anchor moveWithCells="1" sizeWithCells="1">
              <from>
                <xdr:col>0</xdr:col>
                <xdr:colOff>1041400</xdr:colOff>
                <xdr:row>16</xdr:row>
                <xdr:rowOff>101600</xdr:rowOff>
              </from>
              <to>
                <xdr:col>3</xdr:col>
                <xdr:colOff>558800</xdr:colOff>
                <xdr:row>26</xdr:row>
                <xdr:rowOff>25400</xdr:rowOff>
              </to>
            </anchor>
          </objectPr>
        </oleObject>
      </mc:Choice>
      <mc:Fallback>
        <oleObject progId="Equation.DSMT4" shapeId="4098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topLeftCell="A7" workbookViewId="0">
      <selection activeCell="H25" sqref="H25"/>
    </sheetView>
  </sheetViews>
  <sheetFormatPr defaultColWidth="11" defaultRowHeight="15.5" x14ac:dyDescent="0.35"/>
  <cols>
    <col min="1" max="1" width="11" customWidth="1"/>
    <col min="2" max="2" width="37.1640625" bestFit="1" customWidth="1"/>
  </cols>
  <sheetData>
    <row r="1" spans="1:8" x14ac:dyDescent="0.35">
      <c r="A1" s="1" t="s">
        <v>28</v>
      </c>
    </row>
    <row r="3" spans="1:8" x14ac:dyDescent="0.35">
      <c r="B3" s="1" t="s">
        <v>34</v>
      </c>
      <c r="C3" s="3" t="s">
        <v>0</v>
      </c>
      <c r="D3" s="3" t="s">
        <v>2</v>
      </c>
      <c r="E3" s="3" t="s">
        <v>1</v>
      </c>
    </row>
    <row r="4" spans="1:8" x14ac:dyDescent="0.35">
      <c r="B4" t="s">
        <v>38</v>
      </c>
      <c r="C4" s="23">
        <f>'Sensitivity Report 1'!E9</f>
        <v>0</v>
      </c>
      <c r="D4" s="24">
        <f>'Sensitivity Report 1'!E10</f>
        <v>829</v>
      </c>
      <c r="E4" s="25">
        <f>'Sensitivity Report 1'!E11</f>
        <v>257</v>
      </c>
    </row>
    <row r="5" spans="1:8" x14ac:dyDescent="0.35">
      <c r="B5" t="s">
        <v>29</v>
      </c>
      <c r="C5" s="31">
        <f>+'Input Data'!B9-'Steps 2&amp;3'!C4</f>
        <v>681</v>
      </c>
      <c r="D5" s="32">
        <f>+'Input Data'!C9-'Steps 2&amp;3'!D4</f>
        <v>2649</v>
      </c>
      <c r="E5" s="33">
        <f>+'Input Data'!D9-'Steps 2&amp;3'!E4</f>
        <v>743</v>
      </c>
    </row>
    <row r="6" spans="1:8" x14ac:dyDescent="0.35">
      <c r="B6" t="s">
        <v>30</v>
      </c>
      <c r="C6" s="34">
        <f>2*C4/'Input Data'!B11</f>
        <v>0</v>
      </c>
      <c r="D6" s="35">
        <f>2*D4/'Input Data'!C11</f>
        <v>55.266666666666666</v>
      </c>
      <c r="E6" s="36">
        <f>2*E4/'Input Data'!D11</f>
        <v>2.57</v>
      </c>
    </row>
    <row r="8" spans="1:8" x14ac:dyDescent="0.35">
      <c r="A8" s="1" t="s">
        <v>31</v>
      </c>
    </row>
    <row r="9" spans="1:8" ht="16" thickBot="1" x14ac:dyDescent="0.4">
      <c r="F9" t="s">
        <v>22</v>
      </c>
      <c r="H9" t="s">
        <v>33</v>
      </c>
    </row>
    <row r="10" spans="1:8" ht="16" thickBot="1" x14ac:dyDescent="0.4">
      <c r="B10" t="s">
        <v>14</v>
      </c>
      <c r="C10" s="39">
        <v>100.00000143546372</v>
      </c>
      <c r="D10" s="40">
        <v>29.999999511982882</v>
      </c>
      <c r="E10" s="40">
        <v>199.99999799606962</v>
      </c>
      <c r="F10" s="29">
        <f>SUM(C10:E10)</f>
        <v>329.99999894351623</v>
      </c>
      <c r="G10" t="s">
        <v>5</v>
      </c>
      <c r="H10" s="4">
        <f>+'Input Data'!F11</f>
        <v>330</v>
      </c>
    </row>
    <row r="11" spans="1:8" ht="16" thickBot="1" x14ac:dyDescent="0.4">
      <c r="B11" t="s">
        <v>15</v>
      </c>
      <c r="C11" s="41">
        <f>+'Input Data'!B12</f>
        <v>4</v>
      </c>
      <c r="D11" s="41">
        <f>+'Input Data'!C12</f>
        <v>1.5</v>
      </c>
      <c r="E11" s="41">
        <f>+'Input Data'!D12</f>
        <v>2.5</v>
      </c>
      <c r="F11" s="29"/>
    </row>
    <row r="12" spans="1:8" ht="16" thickBot="1" x14ac:dyDescent="0.4">
      <c r="B12" t="s">
        <v>32</v>
      </c>
      <c r="C12" s="30">
        <f>+C11*C10</f>
        <v>400.00000574185486</v>
      </c>
      <c r="D12" s="30">
        <f t="shared" ref="D12:E12" si="0">+D11*D10</f>
        <v>44.999999267974324</v>
      </c>
      <c r="E12" s="30">
        <f t="shared" si="0"/>
        <v>499.99999499017406</v>
      </c>
      <c r="F12" s="29">
        <f>SUM(C12:E12)</f>
        <v>945.00000000000318</v>
      </c>
      <c r="G12" t="s">
        <v>5</v>
      </c>
      <c r="H12" s="4">
        <f>+'Input Data'!F13</f>
        <v>945</v>
      </c>
    </row>
    <row r="13" spans="1:8" x14ac:dyDescent="0.35">
      <c r="B13" t="s">
        <v>17</v>
      </c>
      <c r="C13" s="28">
        <f>+C10*'Input Data'!B8</f>
        <v>92400.001326368467</v>
      </c>
      <c r="D13" s="28">
        <f>+D10*'Input Data'!C8</f>
        <v>136499.99777952212</v>
      </c>
      <c r="E13" s="28">
        <f>+E10*'Input Data'!D8</f>
        <v>299999.99699410441</v>
      </c>
      <c r="F13" s="28">
        <f>SUM(C13:E13)</f>
        <v>528899.99609999498</v>
      </c>
    </row>
    <row r="14" spans="1:8" ht="16" thickBot="1" x14ac:dyDescent="0.4">
      <c r="B14" t="s">
        <v>18</v>
      </c>
      <c r="C14" s="28">
        <f>C5*C10+0.5*C6*C10^2</f>
        <v>68100.000977550793</v>
      </c>
      <c r="D14" s="28">
        <f t="shared" ref="D14:E14" si="1">D5*D10+0.5*D6*D10^2</f>
        <v>104339.99789811028</v>
      </c>
      <c r="E14" s="28">
        <f t="shared" si="1"/>
        <v>199999.99748105952</v>
      </c>
      <c r="F14" s="28">
        <f>SUM(C14:E14)</f>
        <v>372439.99635672057</v>
      </c>
    </row>
    <row r="15" spans="1:8" ht="16" thickBot="1" x14ac:dyDescent="0.4">
      <c r="B15" t="s">
        <v>8</v>
      </c>
      <c r="C15" s="37">
        <f>C13-C14</f>
        <v>24300.000348817674</v>
      </c>
      <c r="D15" s="37">
        <f t="shared" ref="D15:E15" si="2">D13-D14</f>
        <v>32159.999881411844</v>
      </c>
      <c r="E15" s="37">
        <f t="shared" si="2"/>
        <v>99999.999513044895</v>
      </c>
      <c r="F15" s="38">
        <f>F13-F14</f>
        <v>156459.99974327441</v>
      </c>
    </row>
    <row r="17" spans="2:5" x14ac:dyDescent="0.35">
      <c r="B17" s="1" t="s">
        <v>19</v>
      </c>
      <c r="C17" s="2">
        <f>+C10/'Input Data'!B11-1</f>
        <v>1.4354637256630554E-8</v>
      </c>
      <c r="D17" s="2">
        <f>+D10/'Input Data'!C11-1</f>
        <v>-1.6267237223921427E-8</v>
      </c>
      <c r="E17" s="2">
        <f>+E10/'Input Data'!D11-1</f>
        <v>-1.0019651885961878E-8</v>
      </c>
    </row>
  </sheetData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DSMT4" shapeId="7169" r:id="rId3">
          <objectPr defaultSize="0" autoPict="0" r:id="rId4">
            <anchor moveWithCells="1" sizeWithCells="1">
              <from>
                <xdr:col>5</xdr:col>
                <xdr:colOff>228600</xdr:colOff>
                <xdr:row>2</xdr:row>
                <xdr:rowOff>152400</xdr:rowOff>
              </from>
              <to>
                <xdr:col>9</xdr:col>
                <xdr:colOff>533400</xdr:colOff>
                <xdr:row>5</xdr:row>
                <xdr:rowOff>25400</xdr:rowOff>
              </to>
            </anchor>
          </objectPr>
        </oleObject>
      </mc:Choice>
      <mc:Fallback>
        <oleObject progId="Equation.DSMT4" shapeId="7169" r:id="rId3"/>
      </mc:Fallback>
    </mc:AlternateContent>
    <mc:AlternateContent xmlns:mc="http://schemas.openxmlformats.org/markup-compatibility/2006">
      <mc:Choice Requires="x14">
        <oleObject progId="Equation.DSMT4" shapeId="7174" r:id="rId5">
          <objectPr defaultSize="0" autoPict="0" r:id="rId6">
            <anchor moveWithCells="1" sizeWithCells="1">
              <from>
                <xdr:col>1</xdr:col>
                <xdr:colOff>863600</xdr:colOff>
                <xdr:row>18</xdr:row>
                <xdr:rowOff>38100</xdr:rowOff>
              </from>
              <to>
                <xdr:col>4</xdr:col>
                <xdr:colOff>431800</xdr:colOff>
                <xdr:row>25</xdr:row>
                <xdr:rowOff>114300</xdr:rowOff>
              </to>
            </anchor>
          </objectPr>
        </oleObject>
      </mc:Choice>
      <mc:Fallback>
        <oleObject progId="Equation.DSMT4" shapeId="7174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Data</vt:lpstr>
      <vt:lpstr>Sensitivity Report 1</vt:lpstr>
      <vt:lpstr>Step 1</vt:lpstr>
      <vt:lpstr>Steps 2&amp;3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Medellin-Azuara</dc:creator>
  <cp:lastModifiedBy>Josue Medellin-Azuara</cp:lastModifiedBy>
  <dcterms:created xsi:type="dcterms:W3CDTF">2014-01-26T15:25:22Z</dcterms:created>
  <dcterms:modified xsi:type="dcterms:W3CDTF">2016-10-20T13:15:27Z</dcterms:modified>
</cp:coreProperties>
</file>