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1\"/>
    </mc:Choice>
  </mc:AlternateContent>
  <xr:revisionPtr revIDLastSave="0" documentId="13_ncr:1_{10C431D1-D959-4751-9B94-4679281F6D58}" xr6:coauthVersionLast="47" xr6:coauthVersionMax="47" xr10:uidLastSave="{00000000-0000-0000-0000-000000000000}"/>
  <bookViews>
    <workbookView xWindow="28680" yWindow="-120" windowWidth="29040" windowHeight="15840" tabRatio="647" activeTab="8" xr2:uid="{1E8D25FD-4424-4222-95ED-BEC3D41C5D56}"/>
  </bookViews>
  <sheets>
    <sheet name="Figure 3" sheetId="30" r:id="rId1"/>
    <sheet name="Figure 4" sheetId="14" r:id="rId2"/>
    <sheet name="Figure 5" sheetId="25" r:id="rId3"/>
    <sheet name="Figure 6a" sheetId="24" r:id="rId4"/>
    <sheet name="Figure 6b" sheetId="23" r:id="rId5"/>
    <sheet name="Figure 7" sheetId="32" r:id="rId6"/>
    <sheet name="Figure 8" sheetId="26" r:id="rId7"/>
    <sheet name="Figure 9" sheetId="27" r:id="rId8"/>
    <sheet name="base" sheetId="31" r:id="rId9"/>
  </sheets>
  <externalReferences>
    <externalReference r:id="rId10"/>
  </externalReferences>
  <definedNames>
    <definedName name="solver_adj" localSheetId="8" hidden="1">base!$I$1,base!$H$3:$J$7</definedName>
    <definedName name="solver_cvg" localSheetId="8" hidden="1">0.00001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base!$H$3:$H$6</definedName>
    <definedName name="solver_lhs10" localSheetId="8" hidden="1">base!$L$57</definedName>
    <definedName name="solver_lhs11" localSheetId="8" hidden="1">base!$L$57</definedName>
    <definedName name="solver_lhs12" localSheetId="8" hidden="1">base!$L$57</definedName>
    <definedName name="solver_lhs2" localSheetId="8" hidden="1">base!$H$3:$J$7</definedName>
    <definedName name="solver_lhs3" localSheetId="8" hidden="1">base!$H$40:$H$44</definedName>
    <definedName name="solver_lhs4" localSheetId="8" hidden="1">base!$H$46:$H$50</definedName>
    <definedName name="solver_lhs5" localSheetId="8" hidden="1">base!$I$1</definedName>
    <definedName name="solver_lhs6" localSheetId="8" hidden="1">base!$K$3:$K$7</definedName>
    <definedName name="solver_lhs7" localSheetId="8" hidden="1">base!$L$57</definedName>
    <definedName name="solver_lhs8" localSheetId="8" hidden="1">base!$L$57</definedName>
    <definedName name="solver_lhs9" localSheetId="8" hidden="1">base!$L$57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7</definedName>
    <definedName name="solver_nwt" localSheetId="8" hidden="1">1</definedName>
    <definedName name="solver_opt" localSheetId="8" hidden="1">base!$G$9</definedName>
    <definedName name="solver_pre" localSheetId="8" hidden="1">0.000001</definedName>
    <definedName name="solver_rbv" localSheetId="8" hidden="1">2</definedName>
    <definedName name="solver_rel1" localSheetId="8" hidden="1">1</definedName>
    <definedName name="solver_rel10" localSheetId="8" hidden="1">2</definedName>
    <definedName name="solver_rel11" localSheetId="8" hidden="1">2</definedName>
    <definedName name="solver_rel12" localSheetId="8" hidden="1">2</definedName>
    <definedName name="solver_rel2" localSheetId="8" hidden="1">3</definedName>
    <definedName name="solver_rel3" localSheetId="8" hidden="1">3</definedName>
    <definedName name="solver_rel4" localSheetId="8" hidden="1">3</definedName>
    <definedName name="solver_rel5" localSheetId="8" hidden="1">3</definedName>
    <definedName name="solver_rel6" localSheetId="8" hidden="1">2</definedName>
    <definedName name="solver_rel7" localSheetId="8" hidden="1">2</definedName>
    <definedName name="solver_rel8" localSheetId="8" hidden="1">2</definedName>
    <definedName name="solver_rel9" localSheetId="8" hidden="1">2</definedName>
    <definedName name="solver_rhs1" localSheetId="8" hidden="1">base!$H$4:$H$7</definedName>
    <definedName name="solver_rhs10" localSheetId="8" hidden="1">0</definedName>
    <definedName name="solver_rhs11" localSheetId="8" hidden="1">0</definedName>
    <definedName name="solver_rhs12" localSheetId="8" hidden="1">0</definedName>
    <definedName name="solver_rhs2" localSheetId="8" hidden="1">0</definedName>
    <definedName name="solver_rhs3" localSheetId="8" hidden="1">0</definedName>
    <definedName name="solver_rhs4" localSheetId="8" hidden="1">0</definedName>
    <definedName name="solver_rhs5" localSheetId="8" hidden="1">0</definedName>
    <definedName name="solver_rhs6" localSheetId="8" hidden="1">0</definedName>
    <definedName name="solver_rhs7" localSheetId="8" hidden="1">0</definedName>
    <definedName name="solver_rhs8" localSheetId="8" hidden="1">0</definedName>
    <definedName name="solver_rhs9" localSheetId="8" hidden="1">0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32" l="1"/>
  <c r="D69" i="32"/>
  <c r="C69" i="32"/>
  <c r="B69" i="32"/>
  <c r="E68" i="32"/>
  <c r="D68" i="32"/>
  <c r="C68" i="32"/>
  <c r="B68" i="32"/>
  <c r="E67" i="32"/>
  <c r="D67" i="32"/>
  <c r="C67" i="32"/>
  <c r="B67" i="32"/>
  <c r="E66" i="32"/>
  <c r="D66" i="32"/>
  <c r="C66" i="32"/>
  <c r="B66" i="32"/>
  <c r="E65" i="32"/>
  <c r="D65" i="32"/>
  <c r="C65" i="32"/>
  <c r="B65" i="32"/>
  <c r="E64" i="32"/>
  <c r="D64" i="32"/>
  <c r="C64" i="32"/>
  <c r="B64" i="32"/>
  <c r="E63" i="32"/>
  <c r="D63" i="32"/>
  <c r="C63" i="32"/>
  <c r="B63" i="32"/>
  <c r="E62" i="32"/>
  <c r="D62" i="32"/>
  <c r="C62" i="32"/>
  <c r="B62" i="32"/>
  <c r="E61" i="32"/>
  <c r="D61" i="32"/>
  <c r="C61" i="32"/>
  <c r="B61" i="32"/>
  <c r="E60" i="32"/>
  <c r="D60" i="32"/>
  <c r="C60" i="32"/>
  <c r="B60" i="32"/>
  <c r="E59" i="32"/>
  <c r="D59" i="32"/>
  <c r="C59" i="32"/>
  <c r="B59" i="32"/>
  <c r="E55" i="32"/>
  <c r="D55" i="32"/>
  <c r="C55" i="32"/>
  <c r="B55" i="32"/>
  <c r="E54" i="32"/>
  <c r="D54" i="32"/>
  <c r="C54" i="32"/>
  <c r="B54" i="32"/>
  <c r="E53" i="32"/>
  <c r="D53" i="32"/>
  <c r="C53" i="32"/>
  <c r="B53" i="32"/>
  <c r="E52" i="32"/>
  <c r="D52" i="32"/>
  <c r="C52" i="32"/>
  <c r="B52" i="32"/>
  <c r="E51" i="32"/>
  <c r="D51" i="32"/>
  <c r="C51" i="32"/>
  <c r="B51" i="32"/>
  <c r="E50" i="32"/>
  <c r="D50" i="32"/>
  <c r="C50" i="32"/>
  <c r="B50" i="32"/>
  <c r="E49" i="32"/>
  <c r="D49" i="32"/>
  <c r="C49" i="32"/>
  <c r="B49" i="32"/>
  <c r="E48" i="32"/>
  <c r="D48" i="32"/>
  <c r="C48" i="32"/>
  <c r="B48" i="32"/>
  <c r="E47" i="32"/>
  <c r="D47" i="32"/>
  <c r="C47" i="32"/>
  <c r="B47" i="32"/>
  <c r="E46" i="32"/>
  <c r="D46" i="32"/>
  <c r="C46" i="32"/>
  <c r="B46" i="32"/>
  <c r="E45" i="32"/>
  <c r="D45" i="32"/>
  <c r="C45" i="32"/>
  <c r="B45" i="32"/>
  <c r="E41" i="32"/>
  <c r="D41" i="32"/>
  <c r="C41" i="32"/>
  <c r="B41" i="32"/>
  <c r="E40" i="32"/>
  <c r="D40" i="32"/>
  <c r="C40" i="32"/>
  <c r="B40" i="32"/>
  <c r="E39" i="32"/>
  <c r="D39" i="32"/>
  <c r="C39" i="32"/>
  <c r="B39" i="32"/>
  <c r="E38" i="32"/>
  <c r="D38" i="32"/>
  <c r="C38" i="32"/>
  <c r="B38" i="32"/>
  <c r="E37" i="32"/>
  <c r="D37" i="32"/>
  <c r="C37" i="32"/>
  <c r="B37" i="32"/>
  <c r="E36" i="32"/>
  <c r="D36" i="32"/>
  <c r="C36" i="32"/>
  <c r="B36" i="32"/>
  <c r="E35" i="32"/>
  <c r="D35" i="32"/>
  <c r="C35" i="32"/>
  <c r="B35" i="32"/>
  <c r="E34" i="32"/>
  <c r="D34" i="32"/>
  <c r="C34" i="32"/>
  <c r="B34" i="32"/>
  <c r="E33" i="32"/>
  <c r="D33" i="32"/>
  <c r="C33" i="32"/>
  <c r="B33" i="32"/>
  <c r="E32" i="32"/>
  <c r="D32" i="32"/>
  <c r="C32" i="32"/>
  <c r="B32" i="32"/>
  <c r="E31" i="32"/>
  <c r="D31" i="32"/>
  <c r="C31" i="32"/>
  <c r="B31" i="32"/>
  <c r="E27" i="32"/>
  <c r="D27" i="32"/>
  <c r="C27" i="32"/>
  <c r="B27" i="32"/>
  <c r="E26" i="32"/>
  <c r="D26" i="32"/>
  <c r="C26" i="32"/>
  <c r="B26" i="32"/>
  <c r="E25" i="32"/>
  <c r="D25" i="32"/>
  <c r="C25" i="32"/>
  <c r="B25" i="32"/>
  <c r="E24" i="32"/>
  <c r="D24" i="32"/>
  <c r="C24" i="32"/>
  <c r="B24" i="32"/>
  <c r="E23" i="32"/>
  <c r="D23" i="32"/>
  <c r="C23" i="32"/>
  <c r="B23" i="32"/>
  <c r="E22" i="32"/>
  <c r="D22" i="32"/>
  <c r="C22" i="32"/>
  <c r="B22" i="32"/>
  <c r="E21" i="32"/>
  <c r="D21" i="32"/>
  <c r="C21" i="32"/>
  <c r="B21" i="32"/>
  <c r="E20" i="32"/>
  <c r="D20" i="32"/>
  <c r="C20" i="32"/>
  <c r="B20" i="32"/>
  <c r="E19" i="32"/>
  <c r="D19" i="32"/>
  <c r="C19" i="32"/>
  <c r="B19" i="32"/>
  <c r="E18" i="32"/>
  <c r="D18" i="32"/>
  <c r="C18" i="32"/>
  <c r="B18" i="32"/>
  <c r="E17" i="32"/>
  <c r="D17" i="32"/>
  <c r="C17" i="32"/>
  <c r="B17" i="32"/>
  <c r="E13" i="32"/>
  <c r="D13" i="32"/>
  <c r="C13" i="32"/>
  <c r="B13" i="32"/>
  <c r="E12" i="32"/>
  <c r="D12" i="32"/>
  <c r="C12" i="32"/>
  <c r="B12" i="32"/>
  <c r="E11" i="32"/>
  <c r="D11" i="32"/>
  <c r="C11" i="32"/>
  <c r="B11" i="32"/>
  <c r="E10" i="32"/>
  <c r="D10" i="32"/>
  <c r="C10" i="32"/>
  <c r="B10" i="32"/>
  <c r="E9" i="32"/>
  <c r="D9" i="32"/>
  <c r="C9" i="32"/>
  <c r="B9" i="32"/>
  <c r="E8" i="32"/>
  <c r="D8" i="32"/>
  <c r="C8" i="32"/>
  <c r="B8" i="32"/>
  <c r="E7" i="32"/>
  <c r="D7" i="32"/>
  <c r="C7" i="32"/>
  <c r="B7" i="32"/>
  <c r="E6" i="32"/>
  <c r="D6" i="32"/>
  <c r="C6" i="32"/>
  <c r="B6" i="32"/>
  <c r="E5" i="32"/>
  <c r="D5" i="32"/>
  <c r="C5" i="32"/>
  <c r="B5" i="32"/>
  <c r="E4" i="32"/>
  <c r="D4" i="32"/>
  <c r="C4" i="32"/>
  <c r="B4" i="32"/>
  <c r="E3" i="32"/>
  <c r="D3" i="32"/>
  <c r="C3" i="32"/>
  <c r="B3" i="32"/>
  <c r="L12" i="26" l="1"/>
  <c r="K70" i="31"/>
  <c r="L70" i="31" s="1"/>
  <c r="M68" i="31"/>
  <c r="K68" i="31"/>
  <c r="J68" i="31"/>
  <c r="I68" i="31"/>
  <c r="M67" i="31"/>
  <c r="K67" i="31"/>
  <c r="I67" i="31"/>
  <c r="J67" i="31" s="1"/>
  <c r="M66" i="31"/>
  <c r="K66" i="31"/>
  <c r="J66" i="31"/>
  <c r="I66" i="31"/>
  <c r="M65" i="31"/>
  <c r="K65" i="31"/>
  <c r="I65" i="31"/>
  <c r="J65" i="31" s="1"/>
  <c r="M64" i="31"/>
  <c r="K64" i="31"/>
  <c r="J64" i="31"/>
  <c r="I64" i="31"/>
  <c r="H64" i="31"/>
  <c r="L64" i="31" s="1"/>
  <c r="K56" i="31"/>
  <c r="K62" i="31" s="1"/>
  <c r="J56" i="31"/>
  <c r="J62" i="31" s="1"/>
  <c r="I56" i="31"/>
  <c r="H56" i="31"/>
  <c r="K55" i="31"/>
  <c r="K61" i="31" s="1"/>
  <c r="J55" i="31"/>
  <c r="J61" i="31" s="1"/>
  <c r="I55" i="31"/>
  <c r="H55" i="31"/>
  <c r="K54" i="31"/>
  <c r="K60" i="31" s="1"/>
  <c r="J54" i="31"/>
  <c r="J60" i="31" s="1"/>
  <c r="I54" i="31"/>
  <c r="H54" i="31"/>
  <c r="K53" i="31"/>
  <c r="K59" i="31" s="1"/>
  <c r="J53" i="31"/>
  <c r="J59" i="31" s="1"/>
  <c r="I53" i="31"/>
  <c r="H53" i="31"/>
  <c r="K52" i="31"/>
  <c r="K58" i="31" s="1"/>
  <c r="J52" i="31"/>
  <c r="J58" i="31" s="1"/>
  <c r="I52" i="31"/>
  <c r="H52" i="31"/>
  <c r="H58" i="31" s="1"/>
  <c r="H50" i="31"/>
  <c r="H46" i="31"/>
  <c r="H44" i="31"/>
  <c r="H43" i="31"/>
  <c r="H42" i="31"/>
  <c r="H41" i="31"/>
  <c r="H40" i="31"/>
  <c r="B39" i="31"/>
  <c r="I35" i="31"/>
  <c r="I34" i="31"/>
  <c r="I33" i="31"/>
  <c r="I32" i="31"/>
  <c r="I31" i="31"/>
  <c r="I36" i="31" s="1"/>
  <c r="B29" i="31"/>
  <c r="H35" i="31" s="1"/>
  <c r="K35" i="31" s="1"/>
  <c r="H28" i="31"/>
  <c r="H27" i="31"/>
  <c r="H26" i="31"/>
  <c r="H25" i="31"/>
  <c r="H29" i="31" s="1"/>
  <c r="H24" i="31"/>
  <c r="G22" i="31"/>
  <c r="B22" i="31"/>
  <c r="J35" i="31" s="1"/>
  <c r="K21" i="31"/>
  <c r="I20" i="31"/>
  <c r="J20" i="31" s="1"/>
  <c r="H20" i="31"/>
  <c r="I19" i="31"/>
  <c r="H19" i="31"/>
  <c r="J19" i="31" s="1"/>
  <c r="I18" i="31"/>
  <c r="H18" i="31"/>
  <c r="J18" i="31" s="1"/>
  <c r="J17" i="31"/>
  <c r="I17" i="31"/>
  <c r="H17" i="31"/>
  <c r="I16" i="31"/>
  <c r="J16" i="31" s="1"/>
  <c r="H16" i="31"/>
  <c r="I15" i="31"/>
  <c r="H15" i="31"/>
  <c r="J15" i="31" s="1"/>
  <c r="I14" i="31"/>
  <c r="H14" i="31"/>
  <c r="J14" i="31" s="1"/>
  <c r="J13" i="31"/>
  <c r="I13" i="31"/>
  <c r="H13" i="31"/>
  <c r="I12" i="31"/>
  <c r="J12" i="31" s="1"/>
  <c r="H12" i="31"/>
  <c r="I11" i="31"/>
  <c r="H11" i="31"/>
  <c r="J11" i="31" s="1"/>
  <c r="J21" i="31" s="1"/>
  <c r="J8" i="31"/>
  <c r="I8" i="31"/>
  <c r="H8" i="31"/>
  <c r="K7" i="31"/>
  <c r="K6" i="31"/>
  <c r="D6" i="31"/>
  <c r="H68" i="31" s="1"/>
  <c r="L68" i="31" s="1"/>
  <c r="K5" i="31"/>
  <c r="D5" i="31"/>
  <c r="J34" i="31" s="1"/>
  <c r="K4" i="31"/>
  <c r="D4" i="31"/>
  <c r="H48" i="31" s="1"/>
  <c r="K3" i="31"/>
  <c r="D3" i="31"/>
  <c r="D7" i="31" s="1"/>
  <c r="D2" i="3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J6" i="30" s="1"/>
  <c r="Q7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J5" i="30" s="1"/>
  <c r="Q6" i="30" s="1"/>
  <c r="E70" i="30"/>
  <c r="F70" i="30" s="1"/>
  <c r="E69" i="30"/>
  <c r="F69" i="30" s="1"/>
  <c r="E68" i="30"/>
  <c r="F68" i="30" s="1"/>
  <c r="E67" i="30"/>
  <c r="F67" i="30" s="1"/>
  <c r="E66" i="30"/>
  <c r="F66" i="30" s="1"/>
  <c r="E65" i="30"/>
  <c r="F65" i="30" s="1"/>
  <c r="E64" i="30"/>
  <c r="F64" i="30" s="1"/>
  <c r="E63" i="30"/>
  <c r="F63" i="30" s="1"/>
  <c r="E62" i="30"/>
  <c r="F62" i="30" s="1"/>
  <c r="E61" i="30"/>
  <c r="F61" i="30" s="1"/>
  <c r="E60" i="30"/>
  <c r="F60" i="30" s="1"/>
  <c r="E59" i="30"/>
  <c r="F59" i="30" s="1"/>
  <c r="E58" i="30"/>
  <c r="F58" i="30" s="1"/>
  <c r="E57" i="30"/>
  <c r="F57" i="30" s="1"/>
  <c r="E56" i="30"/>
  <c r="F56" i="30" s="1"/>
  <c r="E55" i="30"/>
  <c r="F55" i="30" s="1"/>
  <c r="E54" i="30"/>
  <c r="F54" i="30" s="1"/>
  <c r="E53" i="30"/>
  <c r="F53" i="30" s="1"/>
  <c r="E52" i="30"/>
  <c r="F52" i="30" s="1"/>
  <c r="E51" i="30"/>
  <c r="F51" i="30" s="1"/>
  <c r="J4" i="30" s="1"/>
  <c r="Q5" i="30" s="1"/>
  <c r="E50" i="30"/>
  <c r="F50" i="30" s="1"/>
  <c r="E49" i="30"/>
  <c r="F49" i="30" s="1"/>
  <c r="E48" i="30"/>
  <c r="F48" i="30" s="1"/>
  <c r="E47" i="30"/>
  <c r="F47" i="30" s="1"/>
  <c r="E46" i="30"/>
  <c r="F46" i="30" s="1"/>
  <c r="E45" i="30"/>
  <c r="F45" i="30" s="1"/>
  <c r="E44" i="30"/>
  <c r="F44" i="30" s="1"/>
  <c r="E43" i="30"/>
  <c r="F43" i="30" s="1"/>
  <c r="E42" i="30"/>
  <c r="F42" i="30" s="1"/>
  <c r="E41" i="30"/>
  <c r="F41" i="30" s="1"/>
  <c r="E40" i="30"/>
  <c r="F40" i="30" s="1"/>
  <c r="E39" i="30"/>
  <c r="F39" i="30" s="1"/>
  <c r="E38" i="30"/>
  <c r="F38" i="30" s="1"/>
  <c r="E37" i="30"/>
  <c r="F37" i="30" s="1"/>
  <c r="E36" i="30"/>
  <c r="F36" i="30" s="1"/>
  <c r="E35" i="30"/>
  <c r="F35" i="30" s="1"/>
  <c r="E34" i="30"/>
  <c r="F34" i="30" s="1"/>
  <c r="E33" i="30"/>
  <c r="F33" i="30" s="1"/>
  <c r="E32" i="30"/>
  <c r="F32" i="30" s="1"/>
  <c r="E31" i="30"/>
  <c r="F31" i="30" s="1"/>
  <c r="J3" i="30" s="1"/>
  <c r="Q4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J2" i="30" s="1"/>
  <c r="Q3" i="30" s="1"/>
  <c r="E10" i="30"/>
  <c r="F10" i="30" s="1"/>
  <c r="E9" i="30"/>
  <c r="F9" i="30" s="1"/>
  <c r="E8" i="30"/>
  <c r="F8" i="30" s="1"/>
  <c r="F7" i="30"/>
  <c r="E7" i="30"/>
  <c r="F6" i="30"/>
  <c r="E6" i="30"/>
  <c r="F5" i="30"/>
  <c r="E5" i="30"/>
  <c r="F4" i="30"/>
  <c r="E4" i="30"/>
  <c r="F3" i="30"/>
  <c r="E3" i="30"/>
  <c r="E2" i="30"/>
  <c r="F2" i="30" s="1"/>
  <c r="B2" i="30"/>
  <c r="B1" i="30"/>
  <c r="L21" i="31" l="1"/>
  <c r="H65" i="31"/>
  <c r="L65" i="31" s="1"/>
  <c r="L69" i="31" s="1"/>
  <c r="L71" i="31" s="1"/>
  <c r="H47" i="31"/>
  <c r="L57" i="31"/>
  <c r="H49" i="31"/>
  <c r="H67" i="31"/>
  <c r="L67" i="31" s="1"/>
  <c r="J31" i="31"/>
  <c r="J32" i="31"/>
  <c r="J33" i="31"/>
  <c r="B30" i="31"/>
  <c r="H66" i="31"/>
  <c r="L66" i="31" s="1"/>
  <c r="H31" i="31"/>
  <c r="H32" i="31"/>
  <c r="K32" i="31" s="1"/>
  <c r="H33" i="31"/>
  <c r="K33" i="31" s="1"/>
  <c r="H34" i="31"/>
  <c r="K34" i="31" s="1"/>
  <c r="H36" i="31" l="1"/>
  <c r="K31" i="31"/>
  <c r="K36" i="31" s="1"/>
  <c r="G9" i="31" s="1"/>
  <c r="J36" i="31"/>
  <c r="D79" i="27" l="1"/>
  <c r="C79" i="27"/>
  <c r="B79" i="27"/>
  <c r="D78" i="27"/>
  <c r="D85" i="27" s="1"/>
  <c r="C78" i="27"/>
  <c r="B78" i="27"/>
  <c r="D77" i="27"/>
  <c r="C77" i="27"/>
  <c r="B77" i="27"/>
  <c r="D76" i="27"/>
  <c r="C76" i="27"/>
  <c r="B76" i="27"/>
  <c r="H75" i="27"/>
  <c r="G75" i="27"/>
  <c r="D75" i="27"/>
  <c r="C75" i="27"/>
  <c r="B75" i="27"/>
  <c r="H80" i="27" l="1"/>
  <c r="H87" i="27" s="1"/>
  <c r="G76" i="27"/>
  <c r="B84" i="27"/>
  <c r="B83" i="27"/>
  <c r="G80" i="27"/>
  <c r="H79" i="27"/>
  <c r="H86" i="27" s="1"/>
  <c r="B85" i="27"/>
  <c r="C86" i="27"/>
  <c r="H76" i="27"/>
  <c r="H83" i="27" s="1"/>
  <c r="G77" i="27"/>
  <c r="G84" i="27" s="1"/>
  <c r="C83" i="27"/>
  <c r="D86" i="27"/>
  <c r="H77" i="27"/>
  <c r="H84" i="27" s="1"/>
  <c r="D83" i="27"/>
  <c r="B86" i="27"/>
  <c r="G83" i="27"/>
  <c r="G87" i="27"/>
  <c r="G78" i="27"/>
  <c r="G85" i="27" s="1"/>
  <c r="C84" i="27"/>
  <c r="D84" i="27"/>
  <c r="H78" i="27"/>
  <c r="H85" i="27" s="1"/>
  <c r="G79" i="27"/>
  <c r="G86" i="27" s="1"/>
  <c r="C85" i="27"/>
  <c r="C20" i="27" l="1"/>
  <c r="C45" i="27"/>
  <c r="C60" i="27"/>
  <c r="C34" i="27"/>
  <c r="C51" i="27"/>
  <c r="C10" i="27"/>
  <c r="C39" i="27"/>
  <c r="C68" i="27"/>
  <c r="C55" i="27"/>
  <c r="F4" i="27"/>
  <c r="F60" i="27"/>
  <c r="F33" i="27"/>
  <c r="F6" i="27"/>
  <c r="F62" i="27"/>
  <c r="F49" i="27"/>
  <c r="F36" i="27"/>
  <c r="F23" i="27"/>
  <c r="F10" i="27"/>
  <c r="F66" i="27"/>
  <c r="F25" i="27"/>
  <c r="C25" i="27"/>
  <c r="F54" i="27"/>
  <c r="F41" i="27"/>
  <c r="B18" i="27"/>
  <c r="B32" i="27"/>
  <c r="B60" i="27"/>
  <c r="B5" i="27"/>
  <c r="B33" i="27"/>
  <c r="B62" i="27"/>
  <c r="B21" i="27"/>
  <c r="B49" i="27"/>
  <c r="B17" i="27"/>
  <c r="B36" i="27"/>
  <c r="B19" i="27"/>
  <c r="B22" i="27"/>
  <c r="B66" i="27"/>
  <c r="B53" i="27"/>
  <c r="B40" i="27"/>
  <c r="B13" i="27"/>
  <c r="B69" i="27"/>
  <c r="E18" i="27"/>
  <c r="B38" i="27"/>
  <c r="E33" i="27"/>
  <c r="E48" i="27"/>
  <c r="E7" i="27"/>
  <c r="E63" i="27"/>
  <c r="E50" i="27"/>
  <c r="E37" i="27"/>
  <c r="E24" i="27"/>
  <c r="B11" i="27"/>
  <c r="E39" i="27"/>
  <c r="E54" i="27"/>
  <c r="E13" i="27"/>
  <c r="E69" i="27"/>
  <c r="C47" i="27"/>
  <c r="C48" i="27"/>
  <c r="C7" i="27"/>
  <c r="C35" i="27"/>
  <c r="C63" i="27"/>
  <c r="C3" i="27"/>
  <c r="C59" i="27"/>
  <c r="C50" i="27"/>
  <c r="C8" i="27"/>
  <c r="C65" i="27"/>
  <c r="C24" i="27"/>
  <c r="C53" i="27"/>
  <c r="C13" i="27"/>
  <c r="C69" i="27"/>
  <c r="F18" i="27"/>
  <c r="C38" i="27"/>
  <c r="F47" i="27"/>
  <c r="F20" i="27"/>
  <c r="F7" i="27"/>
  <c r="F63" i="27"/>
  <c r="F50" i="27"/>
  <c r="F37" i="27"/>
  <c r="F24" i="27"/>
  <c r="C11" i="27"/>
  <c r="F39" i="27"/>
  <c r="F12" i="27"/>
  <c r="F68" i="27"/>
  <c r="F55" i="27"/>
  <c r="C40" i="27"/>
  <c r="B61" i="27"/>
  <c r="B31" i="27"/>
  <c r="B4" i="27"/>
  <c r="B64" i="27"/>
  <c r="B9" i="27"/>
  <c r="B23" i="27"/>
  <c r="B37" i="27"/>
  <c r="B68" i="27"/>
  <c r="B27" i="27"/>
  <c r="E32" i="27"/>
  <c r="E47" i="27"/>
  <c r="E6" i="27"/>
  <c r="E62" i="27"/>
  <c r="E21" i="27"/>
  <c r="E8" i="27"/>
  <c r="E64" i="27"/>
  <c r="E51" i="27"/>
  <c r="E38" i="27"/>
  <c r="E53" i="27"/>
  <c r="E12" i="27"/>
  <c r="E68" i="27"/>
  <c r="E27" i="27"/>
  <c r="C18" i="27"/>
  <c r="C32" i="27"/>
  <c r="C46" i="27"/>
  <c r="C5" i="27"/>
  <c r="C33" i="27"/>
  <c r="C6" i="27"/>
  <c r="C17" i="27"/>
  <c r="C36" i="27"/>
  <c r="C19" i="27"/>
  <c r="C22" i="27"/>
  <c r="C66" i="27"/>
  <c r="C37" i="27"/>
  <c r="C27" i="27"/>
  <c r="F32" i="27"/>
  <c r="F5" i="27"/>
  <c r="F61" i="27"/>
  <c r="F34" i="27"/>
  <c r="F21" i="27"/>
  <c r="F8" i="27"/>
  <c r="F64" i="27"/>
  <c r="F51" i="27"/>
  <c r="F38" i="27"/>
  <c r="F53" i="27"/>
  <c r="F26" i="27"/>
  <c r="F13" i="27"/>
  <c r="F69" i="27"/>
  <c r="C26" i="27"/>
  <c r="B47" i="27"/>
  <c r="B20" i="27"/>
  <c r="B48" i="27"/>
  <c r="B7" i="27"/>
  <c r="B35" i="27"/>
  <c r="B63" i="27"/>
  <c r="B45" i="27"/>
  <c r="B46" i="27"/>
  <c r="B34" i="27"/>
  <c r="B51" i="27"/>
  <c r="B10" i="27"/>
  <c r="B41" i="27"/>
  <c r="E46" i="27"/>
  <c r="E5" i="27"/>
  <c r="E61" i="27"/>
  <c r="E20" i="27"/>
  <c r="E35" i="27"/>
  <c r="E22" i="27"/>
  <c r="E9" i="27"/>
  <c r="E65" i="27"/>
  <c r="E52" i="27"/>
  <c r="E11" i="27"/>
  <c r="E67" i="27"/>
  <c r="E26" i="27"/>
  <c r="E41" i="27"/>
  <c r="C61" i="27"/>
  <c r="C62" i="27"/>
  <c r="C21" i="27"/>
  <c r="C49" i="27"/>
  <c r="C31" i="27"/>
  <c r="C4" i="27"/>
  <c r="C64" i="27"/>
  <c r="C9" i="27"/>
  <c r="C23" i="27"/>
  <c r="C12" i="27"/>
  <c r="C41" i="27"/>
  <c r="F46" i="27"/>
  <c r="F19" i="27"/>
  <c r="C52" i="27"/>
  <c r="F48" i="27"/>
  <c r="F35" i="27"/>
  <c r="F22" i="27"/>
  <c r="F9" i="27"/>
  <c r="F65" i="27"/>
  <c r="F52" i="27"/>
  <c r="F11" i="27"/>
  <c r="F67" i="27"/>
  <c r="F40" i="27"/>
  <c r="F27" i="27"/>
  <c r="C67" i="27"/>
  <c r="C54" i="27"/>
  <c r="B6" i="27"/>
  <c r="B3" i="27"/>
  <c r="B59" i="27"/>
  <c r="B50" i="27"/>
  <c r="B8" i="27"/>
  <c r="B65" i="27"/>
  <c r="B24" i="27"/>
  <c r="B39" i="27"/>
  <c r="B12" i="27"/>
  <c r="B55" i="27"/>
  <c r="E4" i="27"/>
  <c r="E60" i="27"/>
  <c r="E19" i="27"/>
  <c r="B52" i="27"/>
  <c r="E34" i="27"/>
  <c r="E49" i="27"/>
  <c r="E36" i="27"/>
  <c r="E23" i="27"/>
  <c r="E10" i="27"/>
  <c r="E66" i="27"/>
  <c r="E25" i="27"/>
  <c r="B25" i="27"/>
  <c r="E40" i="27"/>
  <c r="E55" i="27"/>
  <c r="B67" i="27"/>
  <c r="B26" i="27"/>
  <c r="B54" i="27"/>
  <c r="G69" i="27" l="1"/>
  <c r="G68" i="27"/>
  <c r="G67" i="27"/>
  <c r="G66" i="27"/>
  <c r="G65" i="27"/>
  <c r="G64" i="27"/>
  <c r="G63" i="27"/>
  <c r="G62" i="27"/>
  <c r="G61" i="27"/>
  <c r="G60" i="27"/>
  <c r="G11" i="27" l="1"/>
  <c r="G25" i="27"/>
  <c r="G40" i="27"/>
  <c r="G55" i="27"/>
  <c r="D45" i="27"/>
  <c r="D5" i="27"/>
  <c r="D7" i="27"/>
  <c r="D22" i="27"/>
  <c r="D52" i="27"/>
  <c r="D12" i="27"/>
  <c r="D41" i="27"/>
  <c r="G46" i="27"/>
  <c r="G6" i="27"/>
  <c r="G35" i="27"/>
  <c r="G50" i="27"/>
  <c r="G24" i="27"/>
  <c r="D31" i="27"/>
  <c r="D61" i="27"/>
  <c r="D63" i="27"/>
  <c r="D9" i="27"/>
  <c r="D38" i="27"/>
  <c r="D68" i="27"/>
  <c r="D27" i="27"/>
  <c r="G21" i="27"/>
  <c r="G51" i="27"/>
  <c r="D3" i="27"/>
  <c r="D17" i="27"/>
  <c r="D32" i="27"/>
  <c r="D33" i="27"/>
  <c r="D34" i="27"/>
  <c r="D35" i="27"/>
  <c r="D50" i="27"/>
  <c r="D65" i="27"/>
  <c r="D10" i="27"/>
  <c r="D24" i="27"/>
  <c r="D39" i="27"/>
  <c r="D54" i="27"/>
  <c r="D69" i="27"/>
  <c r="G4" i="27"/>
  <c r="G18" i="27"/>
  <c r="G33" i="27"/>
  <c r="G48" i="27"/>
  <c r="G8" i="27"/>
  <c r="G22" i="27"/>
  <c r="G37" i="27"/>
  <c r="G52" i="27"/>
  <c r="G12" i="27"/>
  <c r="G26" i="27"/>
  <c r="G41" i="27"/>
  <c r="D60" i="27"/>
  <c r="D6" i="27"/>
  <c r="D8" i="27"/>
  <c r="D37" i="27"/>
  <c r="D67" i="27"/>
  <c r="D26" i="27"/>
  <c r="G20" i="27"/>
  <c r="G10" i="27"/>
  <c r="G39" i="27"/>
  <c r="G54" i="27"/>
  <c r="D46" i="27"/>
  <c r="D62" i="27"/>
  <c r="D64" i="27"/>
  <c r="D23" i="27"/>
  <c r="D53" i="27"/>
  <c r="D13" i="27"/>
  <c r="G32" i="27"/>
  <c r="G47" i="27"/>
  <c r="G7" i="27"/>
  <c r="G36" i="27"/>
  <c r="D59" i="27"/>
  <c r="D4" i="27"/>
  <c r="D18" i="27"/>
  <c r="D19" i="27"/>
  <c r="D20" i="27"/>
  <c r="D21" i="27"/>
  <c r="D36" i="27"/>
  <c r="D51" i="27"/>
  <c r="D66" i="27"/>
  <c r="D11" i="27"/>
  <c r="D25" i="27"/>
  <c r="D40" i="27"/>
  <c r="D55" i="27"/>
  <c r="G5" i="27"/>
  <c r="G19" i="27"/>
  <c r="G34" i="27"/>
  <c r="G49" i="27"/>
  <c r="G9" i="27"/>
  <c r="G23" i="27"/>
  <c r="G38" i="27"/>
  <c r="G53" i="27"/>
  <c r="G13" i="27"/>
  <c r="G27" i="27"/>
  <c r="D48" i="27" l="1"/>
  <c r="D47" i="27"/>
  <c r="D49" i="27"/>
  <c r="L14" i="26" l="1"/>
  <c r="L15" i="26"/>
  <c r="L16" i="26"/>
  <c r="L17" i="26"/>
  <c r="L18" i="26"/>
  <c r="K14" i="26"/>
  <c r="K15" i="26"/>
  <c r="K16" i="26"/>
  <c r="K17" i="26"/>
  <c r="K18" i="26"/>
  <c r="I14" i="26"/>
  <c r="I15" i="26"/>
  <c r="I16" i="26"/>
  <c r="I17" i="26"/>
  <c r="I18" i="26"/>
  <c r="H14" i="26"/>
  <c r="H15" i="26"/>
  <c r="H16" i="26"/>
  <c r="H17" i="26"/>
  <c r="H18" i="26"/>
  <c r="K12" i="26"/>
  <c r="I12" i="26"/>
  <c r="H12" i="26"/>
  <c r="L11" i="26"/>
  <c r="K11" i="26"/>
  <c r="I11" i="26"/>
  <c r="H11" i="26"/>
  <c r="L10" i="26"/>
  <c r="K10" i="26"/>
  <c r="I10" i="26"/>
  <c r="H10" i="26"/>
  <c r="L9" i="26"/>
  <c r="K9" i="26"/>
  <c r="I9" i="26"/>
  <c r="H9" i="26"/>
  <c r="L8" i="26"/>
  <c r="K8" i="26"/>
  <c r="I8" i="26"/>
  <c r="H8" i="26"/>
  <c r="L6" i="26"/>
  <c r="K6" i="26"/>
  <c r="I6" i="26"/>
  <c r="H6" i="26"/>
  <c r="L5" i="26"/>
  <c r="K5" i="26"/>
  <c r="I5" i="26"/>
  <c r="H5" i="26"/>
  <c r="L4" i="26"/>
  <c r="K4" i="26"/>
  <c r="I4" i="26"/>
  <c r="H4" i="26"/>
  <c r="L3" i="26"/>
  <c r="K3" i="26"/>
  <c r="I3" i="26"/>
  <c r="H3" i="26"/>
  <c r="L2" i="26"/>
  <c r="K2" i="26"/>
  <c r="I2" i="26"/>
  <c r="H2" i="26"/>
  <c r="K12" i="25"/>
  <c r="J12" i="25"/>
  <c r="H12" i="25"/>
  <c r="G12" i="25"/>
  <c r="K11" i="25"/>
  <c r="J11" i="25"/>
  <c r="H11" i="25"/>
  <c r="G11" i="25"/>
  <c r="K10" i="25"/>
  <c r="J10" i="25"/>
  <c r="H10" i="25"/>
  <c r="G10" i="25"/>
  <c r="K9" i="25"/>
  <c r="J9" i="25"/>
  <c r="H9" i="25"/>
  <c r="G9" i="25"/>
  <c r="K8" i="25"/>
  <c r="J8" i="25"/>
  <c r="H8" i="25"/>
  <c r="G8" i="25"/>
  <c r="K6" i="25"/>
  <c r="J6" i="25"/>
  <c r="H6" i="25"/>
  <c r="G6" i="25"/>
  <c r="K5" i="25"/>
  <c r="J5" i="25"/>
  <c r="H5" i="25"/>
  <c r="G5" i="25"/>
  <c r="K4" i="25"/>
  <c r="J4" i="25"/>
  <c r="H4" i="25"/>
  <c r="G4" i="25"/>
  <c r="K3" i="25"/>
  <c r="J3" i="25"/>
  <c r="H3" i="25"/>
  <c r="G3" i="25"/>
  <c r="K2" i="25"/>
  <c r="J2" i="25"/>
  <c r="H2" i="25"/>
  <c r="G2" i="25"/>
  <c r="K12" i="24"/>
  <c r="J12" i="24"/>
  <c r="H12" i="24"/>
  <c r="G12" i="24"/>
  <c r="K11" i="24"/>
  <c r="J11" i="24"/>
  <c r="H11" i="24"/>
  <c r="G11" i="24"/>
  <c r="K10" i="24"/>
  <c r="J10" i="24"/>
  <c r="H10" i="24"/>
  <c r="G10" i="24"/>
  <c r="K9" i="24"/>
  <c r="J9" i="24"/>
  <c r="H9" i="24"/>
  <c r="G9" i="24"/>
  <c r="K8" i="24"/>
  <c r="J8" i="24"/>
  <c r="H8" i="24"/>
  <c r="G8" i="24"/>
  <c r="K6" i="24"/>
  <c r="J6" i="24"/>
  <c r="H6" i="24"/>
  <c r="G6" i="24"/>
  <c r="K5" i="24"/>
  <c r="J5" i="24"/>
  <c r="H5" i="24"/>
  <c r="G5" i="24"/>
  <c r="K4" i="24"/>
  <c r="J4" i="24"/>
  <c r="H4" i="24"/>
  <c r="G4" i="24"/>
  <c r="K3" i="24"/>
  <c r="J3" i="24"/>
  <c r="H3" i="24"/>
  <c r="G3" i="24"/>
  <c r="K2" i="24"/>
  <c r="J2" i="24"/>
  <c r="H2" i="24"/>
  <c r="G2" i="24"/>
  <c r="K12" i="23"/>
  <c r="J12" i="23"/>
  <c r="H12" i="23"/>
  <c r="G12" i="23"/>
  <c r="K11" i="23"/>
  <c r="J11" i="23"/>
  <c r="H11" i="23"/>
  <c r="G11" i="23"/>
  <c r="K10" i="23"/>
  <c r="J10" i="23"/>
  <c r="H10" i="23"/>
  <c r="G10" i="23"/>
  <c r="K9" i="23"/>
  <c r="J9" i="23"/>
  <c r="H9" i="23"/>
  <c r="G9" i="23"/>
  <c r="K8" i="23"/>
  <c r="J8" i="23"/>
  <c r="H8" i="23"/>
  <c r="G8" i="23"/>
  <c r="K6" i="23"/>
  <c r="J6" i="23"/>
  <c r="H6" i="23"/>
  <c r="G6" i="23"/>
  <c r="K5" i="23"/>
  <c r="J5" i="23"/>
  <c r="H5" i="23"/>
  <c r="G5" i="23"/>
  <c r="K4" i="23"/>
  <c r="J4" i="23"/>
  <c r="H4" i="23"/>
  <c r="G4" i="23"/>
  <c r="K3" i="23"/>
  <c r="J3" i="23"/>
  <c r="H3" i="23"/>
  <c r="G3" i="23"/>
  <c r="K2" i="23"/>
  <c r="J2" i="23"/>
  <c r="H2" i="23"/>
  <c r="G2" i="23"/>
  <c r="L2" i="14"/>
  <c r="L3" i="14"/>
  <c r="L4" i="14"/>
  <c r="L5" i="14"/>
  <c r="L6" i="14"/>
  <c r="K2" i="14"/>
  <c r="K3" i="14"/>
  <c r="K4" i="14"/>
  <c r="K5" i="14"/>
  <c r="K6" i="14"/>
  <c r="I2" i="14"/>
  <c r="I3" i="14"/>
  <c r="I4" i="14"/>
  <c r="I5" i="14"/>
  <c r="I6" i="14"/>
  <c r="H2" i="14"/>
  <c r="H3" i="14"/>
  <c r="H4" i="14"/>
  <c r="H5" i="14"/>
  <c r="H6" i="14"/>
  <c r="L8" i="14"/>
  <c r="K9" i="14"/>
  <c r="K10" i="14"/>
  <c r="K11" i="14"/>
  <c r="K12" i="14"/>
  <c r="K14" i="14"/>
  <c r="K15" i="14"/>
  <c r="K16" i="14"/>
  <c r="K17" i="14"/>
  <c r="K18" i="14"/>
  <c r="K20" i="14"/>
  <c r="K21" i="14"/>
  <c r="K22" i="14"/>
  <c r="K23" i="14"/>
  <c r="K24" i="14"/>
  <c r="K8" i="14"/>
  <c r="I9" i="14"/>
  <c r="I10" i="14"/>
  <c r="I11" i="14"/>
  <c r="I12" i="14"/>
  <c r="I14" i="14"/>
  <c r="I15" i="14"/>
  <c r="I16" i="14"/>
  <c r="I17" i="14"/>
  <c r="I18" i="14"/>
  <c r="I20" i="14"/>
  <c r="I21" i="14"/>
  <c r="I22" i="14"/>
  <c r="I23" i="14"/>
  <c r="I24" i="14"/>
  <c r="I8" i="14"/>
  <c r="H9" i="14"/>
  <c r="H10" i="14"/>
  <c r="H11" i="14"/>
  <c r="H12" i="14"/>
  <c r="H14" i="14"/>
  <c r="H15" i="14"/>
  <c r="H16" i="14"/>
  <c r="H17" i="14"/>
  <c r="H18" i="14"/>
  <c r="H20" i="14"/>
  <c r="H21" i="14"/>
  <c r="H22" i="14"/>
  <c r="H23" i="14"/>
  <c r="H24" i="14"/>
  <c r="H8" i="14"/>
  <c r="L9" i="14"/>
  <c r="L10" i="14"/>
  <c r="L11" i="14"/>
  <c r="L12" i="14"/>
  <c r="L14" i="14"/>
  <c r="L15" i="14"/>
  <c r="L16" i="14"/>
  <c r="L17" i="14"/>
  <c r="L18" i="14"/>
  <c r="L20" i="14"/>
  <c r="L21" i="14"/>
  <c r="L22" i="14"/>
  <c r="L23" i="14"/>
  <c r="L24" i="14"/>
</calcChain>
</file>

<file path=xl/sharedStrings.xml><?xml version="1.0" encoding="utf-8"?>
<sst xmlns="http://schemas.openxmlformats.org/spreadsheetml/2006/main" count="253" uniqueCount="116">
  <si>
    <t>Xp</t>
  </si>
  <si>
    <t>Xa</t>
  </si>
  <si>
    <t>Xr</t>
  </si>
  <si>
    <t>sw</t>
  </si>
  <si>
    <t>irr</t>
  </si>
  <si>
    <t>Wpump</t>
  </si>
  <si>
    <t>awP</t>
  </si>
  <si>
    <t>awA</t>
  </si>
  <si>
    <t>Profit</t>
  </si>
  <si>
    <t>drier</t>
  </si>
  <si>
    <t>normal</t>
  </si>
  <si>
    <t>GW</t>
  </si>
  <si>
    <t>AR</t>
  </si>
  <si>
    <t>No-overdraft</t>
  </si>
  <si>
    <t>Restoring 1 MAF</t>
  </si>
  <si>
    <t>Restoring 2 MAF</t>
  </si>
  <si>
    <t>Pumping 1 MAF</t>
  </si>
  <si>
    <t>Decadal optimum (pumps 3 MAF)</t>
  </si>
  <si>
    <t>Optimal decade 1 of long term (pumps 2 MAF)</t>
  </si>
  <si>
    <t>Decadal optimum (no overdraft)</t>
  </si>
  <si>
    <t>Optimal decade 1 of long term (no overdraft)</t>
  </si>
  <si>
    <t>GWo = 10 MAF</t>
  </si>
  <si>
    <t>GWo = 15 MAF</t>
  </si>
  <si>
    <t>Base</t>
  </si>
  <si>
    <t>Drier</t>
  </si>
  <si>
    <t>Even drier</t>
  </si>
  <si>
    <t>t\climate</t>
  </si>
  <si>
    <t>driest</t>
  </si>
  <si>
    <t>base</t>
  </si>
  <si>
    <t>Gwo\climate</t>
  </si>
  <si>
    <t>Value of GW</t>
  </si>
  <si>
    <t>value of SW</t>
  </si>
  <si>
    <t>from drier to driest</t>
  </si>
  <si>
    <t>from normal to drier</t>
  </si>
  <si>
    <t>t\r</t>
  </si>
  <si>
    <t>logmu</t>
  </si>
  <si>
    <t>logsigma</t>
  </si>
  <si>
    <t>WYT</t>
  </si>
  <si>
    <t>j</t>
  </si>
  <si>
    <t>SWj (AF)</t>
  </si>
  <si>
    <t>Pj</t>
  </si>
  <si>
    <t>C</t>
  </si>
  <si>
    <t>D</t>
  </si>
  <si>
    <t>BN</t>
  </si>
  <si>
    <t>AN</t>
  </si>
  <si>
    <t>W</t>
  </si>
  <si>
    <t>beginning GW</t>
  </si>
  <si>
    <t>averaged SW inflow</t>
  </si>
  <si>
    <t>Prob</t>
  </si>
  <si>
    <t>DV</t>
  </si>
  <si>
    <t>ending GW</t>
  </si>
  <si>
    <t>C (10 percentile)</t>
  </si>
  <si>
    <t>R</t>
  </si>
  <si>
    <t>D (30 percentile)</t>
  </si>
  <si>
    <t>Vp</t>
  </si>
  <si>
    <t>BN (50 percentile)</t>
  </si>
  <si>
    <t>Yldp</t>
  </si>
  <si>
    <t>AN (70 percentile)</t>
  </si>
  <si>
    <t>alphap</t>
  </si>
  <si>
    <t>W (90 percentile)</t>
  </si>
  <si>
    <t>gammap</t>
  </si>
  <si>
    <t>expected sw</t>
  </si>
  <si>
    <t>Awp</t>
  </si>
  <si>
    <t>INIp</t>
  </si>
  <si>
    <t>Obj</t>
  </si>
  <si>
    <t>Va</t>
  </si>
  <si>
    <t>Permanent benefit</t>
  </si>
  <si>
    <t>year</t>
  </si>
  <si>
    <t>discount rate</t>
  </si>
  <si>
    <t>acre</t>
  </si>
  <si>
    <t>yearly benefit</t>
  </si>
  <si>
    <t>ylda</t>
  </si>
  <si>
    <t>alphaa</t>
  </si>
  <si>
    <t>gammaa</t>
  </si>
  <si>
    <t>Awa</t>
  </si>
  <si>
    <t>Cpu</t>
  </si>
  <si>
    <t>Cre($/acre)</t>
  </si>
  <si>
    <t>Cc1($/AF)</t>
  </si>
  <si>
    <t>Cc2($/AF)</t>
  </si>
  <si>
    <t>L(acre)</t>
  </si>
  <si>
    <t>cap(AF/acre/yr)</t>
  </si>
  <si>
    <t>phi</t>
  </si>
  <si>
    <t>sum</t>
  </si>
  <si>
    <t>SWc1</t>
  </si>
  <si>
    <t>Permanent cost</t>
  </si>
  <si>
    <t>stage</t>
  </si>
  <si>
    <t>Annual benefit</t>
  </si>
  <si>
    <t>T</t>
  </si>
  <si>
    <t>Xp,t,0</t>
  </si>
  <si>
    <t>retiring rate</t>
  </si>
  <si>
    <t xml:space="preserve">ratio </t>
  </si>
  <si>
    <t>max depth</t>
  </si>
  <si>
    <t>Sy</t>
  </si>
  <si>
    <t>original storage</t>
  </si>
  <si>
    <t>Annual cost</t>
  </si>
  <si>
    <t>pump</t>
  </si>
  <si>
    <t>recharge</t>
  </si>
  <si>
    <t>SW</t>
  </si>
  <si>
    <t>yearly cost</t>
  </si>
  <si>
    <t>starting Ho (ft)</t>
  </si>
  <si>
    <t>starting thickness Bo (ft)</t>
  </si>
  <si>
    <t>pump efficiency</t>
  </si>
  <si>
    <t>Cpump($/kWh)</t>
  </si>
  <si>
    <t>AF to m^3</t>
  </si>
  <si>
    <t>density (kg/m^3)</t>
  </si>
  <si>
    <t>g(m/s^2)</t>
  </si>
  <si>
    <t>ft to meter</t>
  </si>
  <si>
    <t>s.t.</t>
  </si>
  <si>
    <t>FtoP</t>
  </si>
  <si>
    <t>Land</t>
  </si>
  <si>
    <t>remaining land</t>
  </si>
  <si>
    <t>&gt;=</t>
  </si>
  <si>
    <t>Surface water</t>
  </si>
  <si>
    <t>remaining water</t>
  </si>
  <si>
    <t>GW mass balance</t>
  </si>
  <si>
    <t>pumping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</si>
</sst>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#,##0.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/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 wrapText="1"/>
    </xf>
    <xf numFmtId="3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1" applyNumberFormat="1" applyFont="1" applyFill="1"/>
    <xf numFmtId="0" fontId="0" fillId="4" borderId="0" xfId="0" applyFill="1"/>
    <xf numFmtId="3" fontId="0" fillId="4" borderId="0" xfId="0" applyNumberFormat="1" applyFill="1"/>
    <xf numFmtId="4" fontId="0" fillId="0" borderId="0" xfId="0" applyNumberFormat="1"/>
    <xf numFmtId="165" fontId="0" fillId="0" borderId="0" xfId="0" applyNumberFormat="1"/>
    <xf numFmtId="3" fontId="1" fillId="4" borderId="0" xfId="0" applyNumberFormat="1" applyFont="1" applyFill="1" applyAlignment="1">
      <alignment vertical="center" wrapText="1"/>
    </xf>
    <xf numFmtId="166" fontId="0" fillId="0" borderId="0" xfId="0" applyNumberFormat="1"/>
    <xf numFmtId="3" fontId="5" fillId="0" borderId="0" xfId="1" applyNumberFormat="1" applyFont="1" applyFill="1"/>
    <xf numFmtId="0" fontId="4" fillId="2" borderId="0" xfId="0" applyFont="1" applyFill="1"/>
    <xf numFmtId="3" fontId="5" fillId="2" borderId="0" xfId="1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1" applyNumberFormat="1" applyFont="1" applyFill="1"/>
    <xf numFmtId="0" fontId="0" fillId="6" borderId="0" xfId="0" applyFill="1"/>
    <xf numFmtId="3" fontId="0" fillId="6" borderId="0" xfId="0" applyNumberFormat="1" applyFill="1"/>
    <xf numFmtId="3" fontId="0" fillId="0" borderId="0" xfId="1" applyNumberFormat="1" applyFont="1"/>
    <xf numFmtId="43" fontId="0" fillId="5" borderId="0" xfId="0" applyNumberFormat="1" applyFill="1"/>
    <xf numFmtId="0" fontId="4" fillId="5" borderId="0" xfId="0" applyFont="1" applyFill="1"/>
    <xf numFmtId="3" fontId="4" fillId="5" borderId="0" xfId="1" applyNumberFormat="1" applyFont="1" applyFill="1"/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/>
    <xf numFmtId="3" fontId="0" fillId="3" borderId="0" xfId="0" applyNumberFormat="1" applyFill="1"/>
    <xf numFmtId="3" fontId="2" fillId="5" borderId="0" xfId="0" applyNumberFormat="1" applyFont="1" applyFill="1"/>
    <xf numFmtId="164" fontId="0" fillId="6" borderId="0" xfId="0" applyNumberFormat="1" applyFill="1"/>
    <xf numFmtId="43" fontId="0" fillId="0" borderId="0" xfId="0" applyNumberFormat="1"/>
    <xf numFmtId="0" fontId="0" fillId="8" borderId="0" xfId="0" applyFill="1"/>
    <xf numFmtId="3" fontId="0" fillId="8" borderId="0" xfId="0" applyNumberFormat="1" applyFill="1"/>
    <xf numFmtId="4" fontId="0" fillId="8" borderId="0" xfId="0" applyNumberFormat="1" applyFill="1"/>
    <xf numFmtId="3" fontId="4" fillId="5" borderId="0" xfId="0" applyNumberFormat="1" applyFon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0" fontId="4" fillId="0" borderId="0" xfId="0" applyFont="1"/>
    <xf numFmtId="3" fontId="4" fillId="0" borderId="0" xfId="0" applyNumberFormat="1" applyFont="1"/>
    <xf numFmtId="4" fontId="0" fillId="2" borderId="0" xfId="0" applyNumberFormat="1" applyFill="1"/>
    <xf numFmtId="3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  <color rgb="FF0066FF"/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'Figure 3'!$F$2:$F$101</c:f>
              <c:numCache>
                <c:formatCode>General</c:formatCode>
                <c:ptCount val="100"/>
                <c:pt idx="0">
                  <c:v>134.69830648794903</c:v>
                </c:pt>
                <c:pt idx="1">
                  <c:v>158.02599789757252</c:v>
                </c:pt>
                <c:pt idx="2">
                  <c:v>174.87966073985282</c:v>
                </c:pt>
                <c:pt idx="3">
                  <c:v>188.73258266488943</c:v>
                </c:pt>
                <c:pt idx="4">
                  <c:v>200.80630549911319</c:v>
                </c:pt>
                <c:pt idx="5">
                  <c:v>211.68954023340569</c:v>
                </c:pt>
                <c:pt idx="6">
                  <c:v>221.71626640727868</c:v>
                </c:pt>
                <c:pt idx="7">
                  <c:v>231.09633561711377</c:v>
                </c:pt>
                <c:pt idx="8">
                  <c:v>239.97126928801046</c:v>
                </c:pt>
                <c:pt idx="9">
                  <c:v>248.44162025060172</c:v>
                </c:pt>
                <c:pt idx="10">
                  <c:v>256.58176909179139</c:v>
                </c:pt>
                <c:pt idx="11">
                  <c:v>264.44853577395531</c:v>
                </c:pt>
                <c:pt idx="12">
                  <c:v>272.08648795511647</c:v>
                </c:pt>
                <c:pt idx="13">
                  <c:v>279.53136791466454</c:v>
                </c:pt>
                <c:pt idx="14">
                  <c:v>286.81239075267825</c:v>
                </c:pt>
                <c:pt idx="15">
                  <c:v>293.95383567534509</c:v>
                </c:pt>
                <c:pt idx="16">
                  <c:v>300.97617823762084</c:v>
                </c:pt>
                <c:pt idx="17">
                  <c:v>307.89691515563572</c:v>
                </c:pt>
                <c:pt idx="18">
                  <c:v>314.7311776643752</c:v>
                </c:pt>
                <c:pt idx="19">
                  <c:v>321.49219601354986</c:v>
                </c:pt>
                <c:pt idx="20">
                  <c:v>328.19165700296861</c:v>
                </c:pt>
                <c:pt idx="21">
                  <c:v>334.83998326232137</c:v>
                </c:pt>
                <c:pt idx="22">
                  <c:v>341.44655434878337</c:v>
                </c:pt>
                <c:pt idx="23">
                  <c:v>348.01988396161983</c:v>
                </c:pt>
                <c:pt idx="24">
                  <c:v>354.56776363138255</c:v>
                </c:pt>
                <c:pt idx="25">
                  <c:v>361.09738050129619</c:v>
                </c:pt>
                <c:pt idx="26">
                  <c:v>367.61541488199748</c:v>
                </c:pt>
                <c:pt idx="27">
                  <c:v>374.12812187172079</c:v>
                </c:pt>
                <c:pt idx="28">
                  <c:v>380.64140032379356</c:v>
                </c:pt>
                <c:pt idx="29">
                  <c:v>387.16085169956153</c:v>
                </c:pt>
                <c:pt idx="30">
                  <c:v>393.6918307909653</c:v>
                </c:pt>
                <c:pt idx="31">
                  <c:v>400.2394898803505</c:v>
                </c:pt>
                <c:pt idx="32">
                  <c:v>406.80881758877166</c:v>
                </c:pt>
                <c:pt idx="33">
                  <c:v>413.40467342193898</c:v>
                </c:pt>
                <c:pt idx="34">
                  <c:v>420.03181883642009</c:v>
                </c:pt>
                <c:pt idx="35">
                  <c:v>426.69494550415789</c:v>
                </c:pt>
                <c:pt idx="36">
                  <c:v>433.39870134092206</c:v>
                </c:pt>
                <c:pt idx="37">
                  <c:v>440.14771477671457</c:v>
                </c:pt>
                <c:pt idx="38">
                  <c:v>446.94661767796384</c:v>
                </c:pt>
                <c:pt idx="39">
                  <c:v>453.80006727853043</c:v>
                </c:pt>
                <c:pt idx="40">
                  <c:v>460.71276743612657</c:v>
                </c:pt>
                <c:pt idx="41">
                  <c:v>467.68948950041749</c:v>
                </c:pt>
                <c:pt idx="42">
                  <c:v>474.73509305716908</c:v>
                </c:pt>
                <c:pt idx="43">
                  <c:v>481.85454679811414</c:v>
                </c:pt>
                <c:pt idx="44">
                  <c:v>489.05294975779282</c:v>
                </c:pt>
                <c:pt idx="45">
                  <c:v>496.33555315596391</c:v>
                </c:pt>
                <c:pt idx="46">
                  <c:v>503.70778308684976</c:v>
                </c:pt>
                <c:pt idx="47">
                  <c:v>511.17526430435953</c:v>
                </c:pt>
                <c:pt idx="48">
                  <c:v>518.74384536558136</c:v>
                </c:pt>
                <c:pt idx="49">
                  <c:v>526.41962541344435</c:v>
                </c:pt>
                <c:pt idx="50">
                  <c:v>534.20898290394985</c:v>
                </c:pt>
                <c:pt idx="51">
                  <c:v>542.11860661440789</c:v>
                </c:pt>
                <c:pt idx="52">
                  <c:v>550.15552930745582</c:v>
                </c:pt>
                <c:pt idx="53">
                  <c:v>558.32716447244343</c:v>
                </c:pt>
                <c:pt idx="54">
                  <c:v>566.6413466224376</c:v>
                </c:pt>
                <c:pt idx="55">
                  <c:v>575.10637569336222</c:v>
                </c:pt>
                <c:pt idx="56">
                  <c:v>583.73106617390863</c:v>
                </c:pt>
                <c:pt idx="57">
                  <c:v>592.52480169363241</c:v>
                </c:pt>
                <c:pt idx="58">
                  <c:v>601.4975959155521</c:v>
                </c:pt>
                <c:pt idx="59">
                  <c:v>610.66016072303398</c:v>
                </c:pt>
                <c:pt idx="60">
                  <c:v>620.02398286432754</c:v>
                </c:pt>
                <c:pt idx="61">
                  <c:v>629.60141042879627</c:v>
                </c:pt>
                <c:pt idx="62">
                  <c:v>639.40575078568031</c:v>
                </c:pt>
                <c:pt idx="63">
                  <c:v>649.45138193049127</c:v>
                </c:pt>
                <c:pt idx="64">
                  <c:v>659.75387957061776</c:v>
                </c:pt>
                <c:pt idx="65">
                  <c:v>670.33016275941475</c:v>
                </c:pt>
                <c:pt idx="66">
                  <c:v>681.1986614817165</c:v>
                </c:pt>
                <c:pt idx="67">
                  <c:v>692.37951033585887</c:v>
                </c:pt>
                <c:pt idx="68">
                  <c:v>703.89477339083896</c:v>
                </c:pt>
                <c:pt idx="69">
                  <c:v>715.76870647932913</c:v>
                </c:pt>
                <c:pt idx="70">
                  <c:v>728.02806469475001</c:v>
                </c:pt>
                <c:pt idx="71">
                  <c:v>740.70246479746777</c:v>
                </c:pt>
                <c:pt idx="72">
                  <c:v>753.82481474391989</c:v>
                </c:pt>
                <c:pt idx="73">
                  <c:v>767.43182582969825</c:v>
                </c:pt>
                <c:pt idx="74">
                  <c:v>781.56462725847075</c:v>
                </c:pt>
                <c:pt idx="75">
                  <c:v>796.26950870138205</c:v>
                </c:pt>
                <c:pt idx="76">
                  <c:v>811.59882415260472</c:v>
                </c:pt>
                <c:pt idx="77">
                  <c:v>827.61210092204158</c:v>
                </c:pt>
                <c:pt idx="78">
                  <c:v>844.37741212271101</c:v>
                </c:pt>
                <c:pt idx="79">
                  <c:v>861.97309128073334</c:v>
                </c:pt>
                <c:pt idx="80">
                  <c:v>880.48989641549031</c:v>
                </c:pt>
                <c:pt idx="81">
                  <c:v>900.03377227846897</c:v>
                </c:pt>
                <c:pt idx="82">
                  <c:v>920.72941999298871</c:v>
                </c:pt>
                <c:pt idx="83">
                  <c:v>942.72497374890963</c:v>
                </c:pt>
                <c:pt idx="84">
                  <c:v>966.19822209631411</c:v>
                </c:pt>
                <c:pt idx="85">
                  <c:v>991.36502671510414</c:v>
                </c:pt>
                <c:pt idx="86">
                  <c:v>1018.4909368455831</c:v>
                </c:pt>
                <c:pt idx="87">
                  <c:v>1047.9075681375866</c:v>
                </c:pt>
                <c:pt idx="88">
                  <c:v>1080.0362901905669</c:v>
                </c:pt>
                <c:pt idx="89">
                  <c:v>1115.4235016697442</c:v>
                </c:pt>
                <c:pt idx="90">
                  <c:v>1154.7950004291472</c:v>
                </c:pt>
                <c:pt idx="91">
                  <c:v>1199.1432978823429</c:v>
                </c:pt>
                <c:pt idx="92">
                  <c:v>1249.8750159872509</c:v>
                </c:pt>
                <c:pt idx="93">
                  <c:v>1309.0756478326011</c:v>
                </c:pt>
                <c:pt idx="94">
                  <c:v>1380.0245033722549</c:v>
                </c:pt>
                <c:pt idx="95">
                  <c:v>1468.30832338302</c:v>
                </c:pt>
                <c:pt idx="96">
                  <c:v>1584.6189365192397</c:v>
                </c:pt>
                <c:pt idx="97">
                  <c:v>1753.6204530095736</c:v>
                </c:pt>
                <c:pt idx="98">
                  <c:v>2057.3207581137908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3-44B1-BCD6-05EA0DA2BD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'Figure 3'!$J$2:$J$6</c:f>
              <c:numCache>
                <c:formatCode>General</c:formatCode>
                <c:ptCount val="5"/>
                <c:pt idx="0">
                  <c:v>248.44162025060172</c:v>
                </c:pt>
                <c:pt idx="1">
                  <c:v>387.16085169956153</c:v>
                </c:pt>
                <c:pt idx="2">
                  <c:v>526.41962541344435</c:v>
                </c:pt>
                <c:pt idx="3">
                  <c:v>715.76870647932913</c:v>
                </c:pt>
                <c:pt idx="4">
                  <c:v>1115.4235016697442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3-44B1-BCD6-05EA0DA2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Non-exceedance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6592"/>
        <c:crosses val="autoZero"/>
        <c:crossBetween val="midCat"/>
        <c:majorUnit val="0.1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Surface Water Inflow (</a:t>
                </a:r>
                <a:r>
                  <a:rPr lang="en-US" altLang="zh-CN" sz="1600"/>
                  <a:t>T</a:t>
                </a:r>
                <a:r>
                  <a:rPr lang="en-US" sz="1600"/>
                  <a:t>AF/yr)</a:t>
                </a:r>
              </a:p>
            </c:rich>
          </c:tx>
          <c:layout>
            <c:manualLayout>
              <c:xMode val="edge"/>
              <c:yMode val="edge"/>
              <c:x val="1.2618310645357232E-2"/>
              <c:y val="0.1248852510037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1389473641136234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</c:v>
                  </c:pt>
                  <c:pt idx="6">
                    <c:v>No-overdraft</c:v>
                  </c:pt>
                  <c:pt idx="12">
                    <c:v>Restoring 1 MAF</c:v>
                  </c:pt>
                  <c:pt idx="18">
                    <c:v>Restoring 2 MAF</c:v>
                  </c:pt>
                </c:lvl>
              </c:multiLvlStrCache>
            </c:multiLvlStrRef>
          </c:cat>
          <c:val>
            <c:numRef>
              <c:f>'Figure 4'!$H$2:$H$24</c:f>
              <c:numCache>
                <c:formatCode>#,##0</c:formatCode>
                <c:ptCount val="23"/>
                <c:pt idx="0">
                  <c:v>497663.32</c:v>
                </c:pt>
                <c:pt idx="1">
                  <c:v>497663.32</c:v>
                </c:pt>
                <c:pt idx="2">
                  <c:v>497663.32</c:v>
                </c:pt>
                <c:pt idx="3">
                  <c:v>497663.32</c:v>
                </c:pt>
                <c:pt idx="4">
                  <c:v>497663.32</c:v>
                </c:pt>
                <c:pt idx="6">
                  <c:v>473271.81000000006</c:v>
                </c:pt>
                <c:pt idx="7">
                  <c:v>473271.81000000006</c:v>
                </c:pt>
                <c:pt idx="8">
                  <c:v>473271.81000000006</c:v>
                </c:pt>
                <c:pt idx="9">
                  <c:v>473271.81000000006</c:v>
                </c:pt>
                <c:pt idx="10">
                  <c:v>473271.81000000006</c:v>
                </c:pt>
                <c:pt idx="12">
                  <c:v>433365.46</c:v>
                </c:pt>
                <c:pt idx="13">
                  <c:v>433365.46</c:v>
                </c:pt>
                <c:pt idx="14">
                  <c:v>433365.46</c:v>
                </c:pt>
                <c:pt idx="15">
                  <c:v>433365.46</c:v>
                </c:pt>
                <c:pt idx="16">
                  <c:v>433365.46</c:v>
                </c:pt>
                <c:pt idx="18">
                  <c:v>389380.97000000003</c:v>
                </c:pt>
                <c:pt idx="19">
                  <c:v>389380.97000000003</c:v>
                </c:pt>
                <c:pt idx="20">
                  <c:v>389380.97000000003</c:v>
                </c:pt>
                <c:pt idx="21">
                  <c:v>389380.97000000003</c:v>
                </c:pt>
                <c:pt idx="22">
                  <c:v>389380.97000000003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0-4010-8F1D-917AAD410C86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</c:v>
                  </c:pt>
                  <c:pt idx="6">
                    <c:v>No-overdraft</c:v>
                  </c:pt>
                  <c:pt idx="12">
                    <c:v>Restoring 1 MAF</c:v>
                  </c:pt>
                  <c:pt idx="18">
                    <c:v>Restoring 2 MAF</c:v>
                  </c:pt>
                </c:lvl>
              </c:multiLvlStrCache>
            </c:multiLvlStrRef>
          </c:cat>
          <c:val>
            <c:numRef>
              <c:f>'Figure 4'!$I$2:$I$24</c:f>
              <c:numCache>
                <c:formatCode>#,##0</c:formatCode>
                <c:ptCount val="23"/>
                <c:pt idx="0">
                  <c:v>250895.45688742297</c:v>
                </c:pt>
                <c:pt idx="1">
                  <c:v>250895.45688742297</c:v>
                </c:pt>
                <c:pt idx="2">
                  <c:v>250895.45688742297</c:v>
                </c:pt>
                <c:pt idx="3">
                  <c:v>250895.45688742297</c:v>
                </c:pt>
                <c:pt idx="4">
                  <c:v>617758.86175176164</c:v>
                </c:pt>
                <c:pt idx="6">
                  <c:v>90141.757129673657</c:v>
                </c:pt>
                <c:pt idx="7">
                  <c:v>90141.757129673555</c:v>
                </c:pt>
                <c:pt idx="8">
                  <c:v>90141.75712967341</c:v>
                </c:pt>
                <c:pt idx="9">
                  <c:v>242498.33473413548</c:v>
                </c:pt>
                <c:pt idx="10">
                  <c:v>642153.1299245354</c:v>
                </c:pt>
                <c:pt idx="12">
                  <c:v>2.2890162654221059E-10</c:v>
                </c:pt>
                <c:pt idx="13">
                  <c:v>0</c:v>
                </c:pt>
                <c:pt idx="14">
                  <c:v>93055.020656858513</c:v>
                </c:pt>
                <c:pt idx="15">
                  <c:v>282404.10172275861</c:v>
                </c:pt>
                <c:pt idx="16">
                  <c:v>390911.15449354314</c:v>
                </c:pt>
                <c:pt idx="18">
                  <c:v>0</c:v>
                </c:pt>
                <c:pt idx="19">
                  <c:v>0</c:v>
                </c:pt>
                <c:pt idx="20">
                  <c:v>132685.39313178661</c:v>
                </c:pt>
                <c:pt idx="21">
                  <c:v>132685.39538309272</c:v>
                </c:pt>
                <c:pt idx="22">
                  <c:v>132685.36534877709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0-4010-8F1D-917AAD410C86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</c:v>
                  </c:pt>
                  <c:pt idx="6">
                    <c:v>No-overdraft</c:v>
                  </c:pt>
                  <c:pt idx="12">
                    <c:v>Restoring 1 MAF</c:v>
                  </c:pt>
                  <c:pt idx="18">
                    <c:v>Restoring 2 MAF</c:v>
                  </c:pt>
                </c:lvl>
              </c:multiLvlStrCache>
            </c:multiLvlStrRef>
          </c:cat>
          <c:val>
            <c:numRef>
              <c:f>'Figure 4'!$L$2:$L$24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291147.74241961545</c:v>
                </c:pt>
                <c:pt idx="18">
                  <c:v>0</c:v>
                </c:pt>
                <c:pt idx="19">
                  <c:v>0</c:v>
                </c:pt>
                <c:pt idx="20">
                  <c:v>4353.8617467004979</c:v>
                </c:pt>
                <c:pt idx="21">
                  <c:v>193702.9405612945</c:v>
                </c:pt>
                <c:pt idx="22">
                  <c:v>593357.76578601019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B0-4010-8F1D-917AAD41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</c:v>
                  </c:pt>
                  <c:pt idx="6">
                    <c:v>No-overdraft</c:v>
                  </c:pt>
                  <c:pt idx="12">
                    <c:v>Restoring 1 MAF</c:v>
                  </c:pt>
                  <c:pt idx="18">
                    <c:v>Restoring 2 MAF</c:v>
                  </c:pt>
                </c:lvl>
              </c:multiLvlStrCache>
            </c:multiLvlStrRef>
          </c:cat>
          <c:val>
            <c:numRef>
              <c:f>'Figure 4'!$K$2:$K$24</c:f>
              <c:numCache>
                <c:formatCode>#,##0</c:formatCode>
                <c:ptCount val="23"/>
                <c:pt idx="0">
                  <c:v>748560.09680541139</c:v>
                </c:pt>
                <c:pt idx="1">
                  <c:v>748560.09680541139</c:v>
                </c:pt>
                <c:pt idx="2">
                  <c:v>748560.09680541139</c:v>
                </c:pt>
                <c:pt idx="3">
                  <c:v>748560.09680541139</c:v>
                </c:pt>
                <c:pt idx="4">
                  <c:v>1115423.5016697501</c:v>
                </c:pt>
                <c:pt idx="6">
                  <c:v>563412.12887488829</c:v>
                </c:pt>
                <c:pt idx="7">
                  <c:v>563412.12887488818</c:v>
                </c:pt>
                <c:pt idx="8">
                  <c:v>563412.12887488806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433364.60475659161</c:v>
                </c:pt>
                <c:pt idx="13">
                  <c:v>433364.60475659143</c:v>
                </c:pt>
                <c:pt idx="14">
                  <c:v>526419.62541344995</c:v>
                </c:pt>
                <c:pt idx="15">
                  <c:v>715768.7064793501</c:v>
                </c:pt>
                <c:pt idx="16">
                  <c:v>1115423.5016697501</c:v>
                </c:pt>
                <c:pt idx="18">
                  <c:v>389380.37053496286</c:v>
                </c:pt>
                <c:pt idx="19">
                  <c:v>389380.37053496286</c:v>
                </c:pt>
                <c:pt idx="20">
                  <c:v>526419.62541344995</c:v>
                </c:pt>
                <c:pt idx="21">
                  <c:v>715768.7064793501</c:v>
                </c:pt>
                <c:pt idx="22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0-4010-8F1D-917AAD410C86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</c:v>
                  </c:pt>
                  <c:pt idx="6">
                    <c:v>No-overdraft</c:v>
                  </c:pt>
                  <c:pt idx="12">
                    <c:v>Restoring 1 MAF</c:v>
                  </c:pt>
                  <c:pt idx="18">
                    <c:v>Restoring 2 MAF</c:v>
                  </c:pt>
                </c:lvl>
              </c:multiLvlStrCache>
            </c:multiLvlStrRef>
          </c:cat>
          <c:val>
            <c:numRef>
              <c:f>'Figure 4'!$G$2:$G$24</c:f>
              <c:numCache>
                <c:formatCode>#,##0</c:formatCode>
                <c:ptCount val="23"/>
                <c:pt idx="0">
                  <c:v>500118.47650981141</c:v>
                </c:pt>
                <c:pt idx="1">
                  <c:v>361399.24510586145</c:v>
                </c:pt>
                <c:pt idx="2">
                  <c:v>222140.47139196144</c:v>
                </c:pt>
                <c:pt idx="3">
                  <c:v>32791.390326061308</c:v>
                </c:pt>
                <c:pt idx="4">
                  <c:v>0</c:v>
                </c:pt>
                <c:pt idx="6">
                  <c:v>314970.50857928832</c:v>
                </c:pt>
                <c:pt idx="7">
                  <c:v>176251.27717533818</c:v>
                </c:pt>
                <c:pt idx="8">
                  <c:v>36992.503461438122</c:v>
                </c:pt>
                <c:pt idx="9">
                  <c:v>0</c:v>
                </c:pt>
                <c:pt idx="10">
                  <c:v>0</c:v>
                </c:pt>
                <c:pt idx="12">
                  <c:v>184922.98446099166</c:v>
                </c:pt>
                <c:pt idx="13">
                  <c:v>46203.753057041475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140938.75023936291</c:v>
                </c:pt>
                <c:pt idx="19">
                  <c:v>2219.51883541291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0-4010-8F1D-917AAD41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77174653164011"/>
          <c:y val="2.2308610756491688E-2"/>
          <c:w val="0.25785252091013378"/>
          <c:h val="0.36097064592858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3082338224398156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</c:v>
                  </c:pt>
                  <c:pt idx="6">
                    <c:v>GWo = 15 MAF</c:v>
                  </c:pt>
                </c:lvl>
              </c:multiLvlStrCache>
            </c:multiLvlStrRef>
          </c:cat>
          <c:val>
            <c:numRef>
              <c:f>'Figure 5'!$G$2:$G$12</c:f>
              <c:numCache>
                <c:formatCode>#,##0</c:formatCode>
                <c:ptCount val="11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473271.81000000006</c:v>
                </c:pt>
                <c:pt idx="7">
                  <c:v>473271.81000000006</c:v>
                </c:pt>
                <c:pt idx="8">
                  <c:v>473271.81000000006</c:v>
                </c:pt>
                <c:pt idx="9">
                  <c:v>473271.81000000006</c:v>
                </c:pt>
                <c:pt idx="10">
                  <c:v>473271.81000000006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1-495A-917E-0F82FB6B92D7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</c:v>
                  </c:pt>
                  <c:pt idx="6">
                    <c:v>GWo = 15 MAF</c:v>
                  </c:pt>
                </c:lvl>
              </c:multiLvlStrCache>
            </c:multiLvlStrRef>
          </c:cat>
          <c:val>
            <c:numRef>
              <c:f>'Figure 5'!$H$2:$H$12</c:f>
              <c:numCache>
                <c:formatCode>#,##0</c:formatCode>
                <c:ptCount val="11"/>
                <c:pt idx="0">
                  <c:v>90140.160000000003</c:v>
                </c:pt>
                <c:pt idx="1">
                  <c:v>90140.160000000003</c:v>
                </c:pt>
                <c:pt idx="2">
                  <c:v>90140.160000000003</c:v>
                </c:pt>
                <c:pt idx="3">
                  <c:v>242498.52</c:v>
                </c:pt>
                <c:pt idx="4">
                  <c:v>642151.84</c:v>
                </c:pt>
                <c:pt idx="6">
                  <c:v>133235.51999999999</c:v>
                </c:pt>
                <c:pt idx="7">
                  <c:v>133235.51999999999</c:v>
                </c:pt>
                <c:pt idx="8">
                  <c:v>133235.51999999999</c:v>
                </c:pt>
                <c:pt idx="9">
                  <c:v>242498.52</c:v>
                </c:pt>
                <c:pt idx="10">
                  <c:v>512870.6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1-495A-917E-0F82FB6B92D7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</c:v>
                  </c:pt>
                  <c:pt idx="6">
                    <c:v>GWo = 15 MAF</c:v>
                  </c:pt>
                </c:lvl>
              </c:multiLvlStrCache>
            </c:multiLvlStrRef>
          </c:cat>
          <c:val>
            <c:numRef>
              <c:f>'Figure 5'!$K$2:$K$12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129285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8B1-495A-917E-0F82FB6B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</c:v>
                  </c:pt>
                  <c:pt idx="6">
                    <c:v>GWo = 15 MAF</c:v>
                  </c:pt>
                </c:lvl>
              </c:multiLvlStrCache>
            </c:multiLvlStrRef>
          </c:cat>
          <c:val>
            <c:numRef>
              <c:f>'Figure 5'!$J$2:$J$12</c:f>
              <c:numCache>
                <c:formatCode>#,##0</c:formatCode>
                <c:ptCount val="11"/>
                <c:pt idx="0">
                  <c:v>563412.62029560003</c:v>
                </c:pt>
                <c:pt idx="1">
                  <c:v>563411.85169954994</c:v>
                </c:pt>
                <c:pt idx="2">
                  <c:v>563411.62541344995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606506.62029560003</c:v>
                </c:pt>
                <c:pt idx="7">
                  <c:v>606506.85169954994</c:v>
                </c:pt>
                <c:pt idx="8">
                  <c:v>606506.62541344995</c:v>
                </c:pt>
                <c:pt idx="9">
                  <c:v>715768.7064793501</c:v>
                </c:pt>
                <c:pt idx="10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1-495A-917E-0F82FB6B92D7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</c:v>
                  </c:pt>
                  <c:pt idx="6">
                    <c:v>GWo = 15 MAF</c:v>
                  </c:pt>
                </c:lvl>
              </c:multiLvlStrCache>
            </c:multiLvlStrRef>
          </c:cat>
          <c:val>
            <c:numRef>
              <c:f>'Figure 5'!$F$2:$F$12</c:f>
              <c:numCache>
                <c:formatCode>#,##0</c:formatCode>
                <c:ptCount val="11"/>
                <c:pt idx="0">
                  <c:v>314971</c:v>
                </c:pt>
                <c:pt idx="1">
                  <c:v>176251</c:v>
                </c:pt>
                <c:pt idx="2">
                  <c:v>36992</c:v>
                </c:pt>
                <c:pt idx="3">
                  <c:v>0</c:v>
                </c:pt>
                <c:pt idx="4">
                  <c:v>0</c:v>
                </c:pt>
                <c:pt idx="6">
                  <c:v>358065</c:v>
                </c:pt>
                <c:pt idx="7">
                  <c:v>219346</c:v>
                </c:pt>
                <c:pt idx="8">
                  <c:v>80087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1-495A-917E-0F82FB6B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227411340292609E-2"/>
          <c:y val="4.5266720103711855E-2"/>
          <c:w val="0.30194732112930273"/>
          <c:h val="0.30393181337929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1666910372879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6a'!$G$2:$G$12</c:f>
              <c:numCache>
                <c:formatCode>#,##0</c:formatCode>
                <c:ptCount val="11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610500</c:v>
                </c:pt>
                <c:pt idx="7">
                  <c:v>610500</c:v>
                </c:pt>
                <c:pt idx="8">
                  <c:v>610500</c:v>
                </c:pt>
                <c:pt idx="9">
                  <c:v>610500</c:v>
                </c:pt>
                <c:pt idx="10">
                  <c:v>610500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9-4E43-9C3A-1C0E6FD55DB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6a'!$H$2:$H$12</c:f>
              <c:numCache>
                <c:formatCode>#,##0</c:formatCode>
                <c:ptCount val="11"/>
                <c:pt idx="0">
                  <c:v>90140.160000000003</c:v>
                </c:pt>
                <c:pt idx="1">
                  <c:v>90140.160000000003</c:v>
                </c:pt>
                <c:pt idx="2">
                  <c:v>90140.160000000003</c:v>
                </c:pt>
                <c:pt idx="3">
                  <c:v>242498.52</c:v>
                </c:pt>
                <c:pt idx="4">
                  <c:v>642151.84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105270</c:v>
                </c:pt>
                <c:pt idx="10">
                  <c:v>363658.23999999999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9-4E43-9C3A-1C0E6FD55DB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6a'!$K$2:$K$12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141270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E9-4E43-9C3A-1C0E6FD5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6a'!$J$2:$J$12</c:f>
              <c:numCache>
                <c:formatCode>#,##0</c:formatCode>
                <c:ptCount val="11"/>
                <c:pt idx="0">
                  <c:v>563412.62029560003</c:v>
                </c:pt>
                <c:pt idx="1">
                  <c:v>563411.85169954994</c:v>
                </c:pt>
                <c:pt idx="2">
                  <c:v>563411.62541344995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610499.62029560003</c:v>
                </c:pt>
                <c:pt idx="7">
                  <c:v>610499.85169954994</c:v>
                </c:pt>
                <c:pt idx="8">
                  <c:v>610499.62541344995</c:v>
                </c:pt>
                <c:pt idx="9">
                  <c:v>715768.7064793501</c:v>
                </c:pt>
                <c:pt idx="10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9-4E43-9C3A-1C0E6FD55DBA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6a'!$F$2:$F$12</c:f>
              <c:numCache>
                <c:formatCode>#,##0</c:formatCode>
                <c:ptCount val="11"/>
                <c:pt idx="0">
                  <c:v>314971</c:v>
                </c:pt>
                <c:pt idx="1">
                  <c:v>176251</c:v>
                </c:pt>
                <c:pt idx="2">
                  <c:v>36992</c:v>
                </c:pt>
                <c:pt idx="3">
                  <c:v>0</c:v>
                </c:pt>
                <c:pt idx="4">
                  <c:v>0</c:v>
                </c:pt>
                <c:pt idx="6">
                  <c:v>362058</c:v>
                </c:pt>
                <c:pt idx="7">
                  <c:v>223339</c:v>
                </c:pt>
                <c:pt idx="8">
                  <c:v>84080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9-4E43-9C3A-1C0E6FD5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60855712545919E-2"/>
          <c:y val="5.3759287212824171E-2"/>
          <c:w val="0.33939715457092279"/>
          <c:h val="0.326578659003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74589777164772364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(pumps 3 MAF)</c:v>
                  </c:pt>
                  <c:pt idx="6">
                    <c:v>Optimal decade 1 of long term (pumps 2 MAF)</c:v>
                  </c:pt>
                </c:lvl>
              </c:multiLvlStrCache>
            </c:multiLvlStrRef>
          </c:cat>
          <c:val>
            <c:numRef>
              <c:f>'Figure 6b'!$G$2:$G$12</c:f>
              <c:numCache>
                <c:formatCode>#,##0</c:formatCode>
                <c:ptCount val="11"/>
                <c:pt idx="0">
                  <c:v>546454.48</c:v>
                </c:pt>
                <c:pt idx="1">
                  <c:v>546454.48</c:v>
                </c:pt>
                <c:pt idx="2">
                  <c:v>546454.48</c:v>
                </c:pt>
                <c:pt idx="3">
                  <c:v>546454.48</c:v>
                </c:pt>
                <c:pt idx="4">
                  <c:v>546454.48</c:v>
                </c:pt>
                <c:pt idx="6">
                  <c:v>610500</c:v>
                </c:pt>
                <c:pt idx="7">
                  <c:v>610500</c:v>
                </c:pt>
                <c:pt idx="8">
                  <c:v>610500</c:v>
                </c:pt>
                <c:pt idx="9">
                  <c:v>610500</c:v>
                </c:pt>
                <c:pt idx="10">
                  <c:v>610500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4D0D-BCF1-61AC2851DD3B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(pumps 3 MAF)</c:v>
                  </c:pt>
                  <c:pt idx="6">
                    <c:v>Optimal decade 1 of long term (pumps 2 MAF)</c:v>
                  </c:pt>
                </c:lvl>
              </c:multiLvlStrCache>
            </c:multiLvlStrRef>
          </c:cat>
          <c:val>
            <c:numRef>
              <c:f>'Figure 6b'!$H$2:$H$12</c:f>
              <c:numCache>
                <c:formatCode>#,##0</c:formatCode>
                <c:ptCount val="11"/>
                <c:pt idx="0">
                  <c:v>496225.83999999997</c:v>
                </c:pt>
                <c:pt idx="1">
                  <c:v>496225.83999999997</c:v>
                </c:pt>
                <c:pt idx="2">
                  <c:v>496225.83999999997</c:v>
                </c:pt>
                <c:pt idx="3">
                  <c:v>496225.83999999997</c:v>
                </c:pt>
                <c:pt idx="4">
                  <c:v>568971.04</c:v>
                </c:pt>
                <c:pt idx="6">
                  <c:v>285119.56</c:v>
                </c:pt>
                <c:pt idx="7">
                  <c:v>285119.56</c:v>
                </c:pt>
                <c:pt idx="8">
                  <c:v>285119.56</c:v>
                </c:pt>
                <c:pt idx="9">
                  <c:v>285119.56</c:v>
                </c:pt>
                <c:pt idx="10">
                  <c:v>504923.32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9-4D0D-BCF1-61AC2851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Artificial recharge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6b'!$A$2:$B$13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  <c:pt idx="9">
                          <c:v>4</c:v>
                        </c:pt>
                        <c:pt idx="10">
                          <c:v>5</c:v>
                        </c:pt>
                      </c:lvl>
                      <c:lvl>
                        <c:pt idx="0">
                          <c:v>Decadal optimum (pumps 3 MAF)</c:v>
                        </c:pt>
                        <c:pt idx="6">
                          <c:v>Optimal decade 1 of long term (pumps 2 MAF)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'Figure 6b'!$K$2:$K$12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CB9-4D0D-BCF1-61AC2851DD3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CC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(pumps 3 MAF)</c:v>
                  </c:pt>
                  <c:pt idx="6">
                    <c:v>Optimal decade 1 of long term (pumps 2 MAF)</c:v>
                  </c:pt>
                </c:lvl>
              </c:multiLvlStrCache>
            </c:multiLvlStrRef>
          </c:cat>
          <c:val>
            <c:numRef>
              <c:f>'Figure 6b'!$J$2:$J$12</c:f>
              <c:numCache>
                <c:formatCode>#,##0</c:formatCode>
                <c:ptCount val="11"/>
                <c:pt idx="0">
                  <c:v>1042677.6202956</c:v>
                </c:pt>
                <c:pt idx="1">
                  <c:v>1042677.8516995499</c:v>
                </c:pt>
                <c:pt idx="2">
                  <c:v>1042677.6254134499</c:v>
                </c:pt>
                <c:pt idx="3">
                  <c:v>1042677.7064793501</c:v>
                </c:pt>
                <c:pt idx="4">
                  <c:v>1115423.5016697501</c:v>
                </c:pt>
                <c:pt idx="6">
                  <c:v>895618.62029560003</c:v>
                </c:pt>
                <c:pt idx="7">
                  <c:v>895618.85169954994</c:v>
                </c:pt>
                <c:pt idx="8">
                  <c:v>895618.62541344995</c:v>
                </c:pt>
                <c:pt idx="9">
                  <c:v>895618.7064793501</c:v>
                </c:pt>
                <c:pt idx="10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9-4D0D-BCF1-61AC2851DD3B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(pumps 3 MAF)</c:v>
                  </c:pt>
                  <c:pt idx="6">
                    <c:v>Optimal decade 1 of long term (pumps 2 MAF)</c:v>
                  </c:pt>
                </c:lvl>
              </c:multiLvlStrCache>
            </c:multiLvlStrRef>
          </c:cat>
          <c:val>
            <c:numRef>
              <c:f>'Figure 6b'!$F$2:$F$12</c:f>
              <c:numCache>
                <c:formatCode>#,##0</c:formatCode>
                <c:ptCount val="11"/>
                <c:pt idx="0">
                  <c:v>794236</c:v>
                </c:pt>
                <c:pt idx="1">
                  <c:v>655517</c:v>
                </c:pt>
                <c:pt idx="2">
                  <c:v>516258</c:v>
                </c:pt>
                <c:pt idx="3">
                  <c:v>326909</c:v>
                </c:pt>
                <c:pt idx="4">
                  <c:v>0</c:v>
                </c:pt>
                <c:pt idx="6">
                  <c:v>647177</c:v>
                </c:pt>
                <c:pt idx="7">
                  <c:v>508458</c:v>
                </c:pt>
                <c:pt idx="8">
                  <c:v>369199</c:v>
                </c:pt>
                <c:pt idx="9">
                  <c:v>179850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9-4D0D-BCF1-61AC2851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069487423021"/>
          <c:y val="4.4556969130982817E-2"/>
          <c:w val="0.78968350746040017"/>
          <c:h val="0.80039115724368104"/>
        </c:manualLayout>
      </c:layout>
      <c:scatterChart>
        <c:scatterStyle val="lineMarker"/>
        <c:varyColors val="0"/>
        <c:ser>
          <c:idx val="0"/>
          <c:order val="0"/>
          <c:tx>
            <c:v>r = 5%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7'!$A$59:$A$69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7'!$B$59:$B$69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C-4E73-A12A-E5E8132461DD}"/>
            </c:ext>
          </c:extLst>
        </c:ser>
        <c:ser>
          <c:idx val="1"/>
          <c:order val="1"/>
          <c:tx>
            <c:v>r = 3.5%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7'!$A$59:$A$69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7'!$C$59:$C$69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C-4E73-A12A-E5E8132461DD}"/>
            </c:ext>
          </c:extLst>
        </c:ser>
        <c:ser>
          <c:idx val="2"/>
          <c:order val="2"/>
          <c:tx>
            <c:v>r = 2%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7'!$A$59:$A$69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7'!$D$59:$D$69</c:f>
              <c:numCache>
                <c:formatCode>General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9</c:v>
                </c:pt>
                <c:pt idx="4">
                  <c:v>8.5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C-4E73-A12A-E5E8132461DD}"/>
            </c:ext>
          </c:extLst>
        </c:ser>
        <c:ser>
          <c:idx val="3"/>
          <c:order val="3"/>
          <c:tx>
            <c:v>r = 1%</c:v>
          </c:tx>
          <c:spPr>
            <a:ln w="25400" cap="rnd">
              <a:solidFill>
                <a:srgbClr val="CC00FF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Ref>
              <c:f>'Figure 7'!$A$59:$A$69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7'!$E$59:$E$69</c:f>
              <c:numCache>
                <c:formatCode>General</c:formatCode>
                <c:ptCount val="11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5C-4E73-A12A-E5E81324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0536"/>
        <c:axId val="698199552"/>
      </c:scatterChart>
      <c:valAx>
        <c:axId val="698200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99552"/>
        <c:crosses val="autoZero"/>
        <c:crossBetween val="midCat"/>
        <c:majorUnit val="1"/>
      </c:valAx>
      <c:valAx>
        <c:axId val="698199552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Groundwater Storage (MAF)</a:t>
                </a:r>
              </a:p>
            </c:rich>
          </c:tx>
          <c:layout>
            <c:manualLayout>
              <c:xMode val="edge"/>
              <c:yMode val="edge"/>
              <c:x val="3.1758271595360932E-2"/>
              <c:y val="0.19533293166850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224392545769729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8'!$H$2:$H$18</c:f>
              <c:numCache>
                <c:formatCode>#,##0</c:formatCode>
                <c:ptCount val="17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453813.14</c:v>
                </c:pt>
                <c:pt idx="7">
                  <c:v>453813.14</c:v>
                </c:pt>
                <c:pt idx="8">
                  <c:v>453813.14</c:v>
                </c:pt>
                <c:pt idx="9">
                  <c:v>453813.14</c:v>
                </c:pt>
                <c:pt idx="10">
                  <c:v>453813.14</c:v>
                </c:pt>
                <c:pt idx="12">
                  <c:v>444106.19</c:v>
                </c:pt>
                <c:pt idx="13">
                  <c:v>444106.19</c:v>
                </c:pt>
                <c:pt idx="14">
                  <c:v>444106.19</c:v>
                </c:pt>
                <c:pt idx="15">
                  <c:v>444106.19</c:v>
                </c:pt>
                <c:pt idx="16">
                  <c:v>444106.19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6C0-AB3C-2205F66059A0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8'!$I$2:$I$18</c:f>
              <c:numCache>
                <c:formatCode>#,##0</c:formatCode>
                <c:ptCount val="17"/>
                <c:pt idx="0">
                  <c:v>90140.160000000003</c:v>
                </c:pt>
                <c:pt idx="1">
                  <c:v>90140.160000000003</c:v>
                </c:pt>
                <c:pt idx="2">
                  <c:v>90140.160000000003</c:v>
                </c:pt>
                <c:pt idx="3">
                  <c:v>242498.52</c:v>
                </c:pt>
                <c:pt idx="4">
                  <c:v>642151.84</c:v>
                </c:pt>
                <c:pt idx="6">
                  <c:v>49543.3063927076</c:v>
                </c:pt>
                <c:pt idx="7">
                  <c:v>49543.3159853795</c:v>
                </c:pt>
                <c:pt idx="8">
                  <c:v>72606.668660968615</c:v>
                </c:pt>
                <c:pt idx="9">
                  <c:v>261955.74972686876</c:v>
                </c:pt>
                <c:pt idx="10">
                  <c:v>649507.09321690456</c:v>
                </c:pt>
                <c:pt idx="12">
                  <c:v>22710.78423808968</c:v>
                </c:pt>
                <c:pt idx="13">
                  <c:v>22710.792472850313</c:v>
                </c:pt>
                <c:pt idx="14">
                  <c:v>82314.793811900527</c:v>
                </c:pt>
                <c:pt idx="15">
                  <c:v>271663.8748778007</c:v>
                </c:pt>
                <c:pt idx="16">
                  <c:v>622674.52071649418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6C0-AB3C-2205F66059A0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8'!$L$2:$L$18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12103.451700363441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48644.149351697466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66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8'!$K$2:$K$18</c:f>
              <c:numCache>
                <c:formatCode>#,##0</c:formatCode>
                <c:ptCount val="17"/>
                <c:pt idx="0">
                  <c:v>563412.62029560003</c:v>
                </c:pt>
                <c:pt idx="1">
                  <c:v>563411.85169954994</c:v>
                </c:pt>
                <c:pt idx="2">
                  <c:v>563411.62541344995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503356.2631451888</c:v>
                </c:pt>
                <c:pt idx="7">
                  <c:v>503356.27273786068</c:v>
                </c:pt>
                <c:pt idx="8">
                  <c:v>526419.62541344995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466815.61583963758</c:v>
                </c:pt>
                <c:pt idx="13">
                  <c:v>466815.62407439825</c:v>
                </c:pt>
                <c:pt idx="14">
                  <c:v>526419.62541344995</c:v>
                </c:pt>
                <c:pt idx="15">
                  <c:v>715768.7064793501</c:v>
                </c:pt>
                <c:pt idx="16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6C0-AB3C-2205F66059A0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8'!$G$2:$G$18</c:f>
              <c:numCache>
                <c:formatCode>#,##0</c:formatCode>
                <c:ptCount val="17"/>
                <c:pt idx="0">
                  <c:v>314971</c:v>
                </c:pt>
                <c:pt idx="1">
                  <c:v>176251</c:v>
                </c:pt>
                <c:pt idx="2">
                  <c:v>36992</c:v>
                </c:pt>
                <c:pt idx="3">
                  <c:v>0</c:v>
                </c:pt>
                <c:pt idx="4">
                  <c:v>0</c:v>
                </c:pt>
                <c:pt idx="6">
                  <c:v>254914.64284958882</c:v>
                </c:pt>
                <c:pt idx="7">
                  <c:v>116195.42103831076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218373.99554403758</c:v>
                </c:pt>
                <c:pt idx="13">
                  <c:v>79654.772374848297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GW, driest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9'!$B$3:$B$13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7-4E1B-8898-F34AC9E04430}"/>
            </c:ext>
          </c:extLst>
        </c:ser>
        <c:ser>
          <c:idx val="1"/>
          <c:order val="1"/>
          <c:tx>
            <c:v>GW, drier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9'!$C$3:$C$13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7-4E1B-8898-F34AC9E04430}"/>
            </c:ext>
          </c:extLst>
        </c:ser>
        <c:ser>
          <c:idx val="2"/>
          <c:order val="2"/>
          <c:tx>
            <c:v>GW, normal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9'!$D$3:$D$13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7-4E1B-8898-F34AC9E0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23120"/>
        <c:axId val="806327384"/>
      </c:lineChart>
      <c:lineChart>
        <c:grouping val="standard"/>
        <c:varyColors val="0"/>
        <c:ser>
          <c:idx val="3"/>
          <c:order val="3"/>
          <c:tx>
            <c:v>Xp, driest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9'!$E$3:$E$13</c:f>
              <c:numCache>
                <c:formatCode>General</c:formatCode>
                <c:ptCount val="11"/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7-4E1B-8898-F34AC9E04430}"/>
            </c:ext>
          </c:extLst>
        </c:ser>
        <c:ser>
          <c:idx val="4"/>
          <c:order val="4"/>
          <c:tx>
            <c:v>Xp, drier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9'!$F$3:$F$13</c:f>
              <c:numCache>
                <c:formatCode>General</c:formatCode>
                <c:ptCount val="11"/>
                <c:pt idx="1">
                  <c:v>140000</c:v>
                </c:pt>
                <c:pt idx="2">
                  <c:v>140000</c:v>
                </c:pt>
                <c:pt idx="3">
                  <c:v>140000</c:v>
                </c:pt>
                <c:pt idx="4">
                  <c:v>140000</c:v>
                </c:pt>
                <c:pt idx="5">
                  <c:v>140000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140000</c:v>
                </c:pt>
                <c:pt idx="1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7-4E1B-8898-F34AC9E04430}"/>
            </c:ext>
          </c:extLst>
        </c:ser>
        <c:ser>
          <c:idx val="5"/>
          <c:order val="5"/>
          <c:tx>
            <c:v>Xp, normal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9'!$G$3:$G$13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7-4E1B-8898-F34AC9E0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91864"/>
        <c:axId val="597692520"/>
      </c:lineChart>
      <c:catAx>
        <c:axId val="8063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7384"/>
        <c:crosses val="autoZero"/>
        <c:auto val="1"/>
        <c:lblAlgn val="ctr"/>
        <c:lblOffset val="100"/>
        <c:tickMarkSkip val="1"/>
        <c:noMultiLvlLbl val="0"/>
      </c:catAx>
      <c:valAx>
        <c:axId val="8063273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23120"/>
        <c:crosses val="autoZero"/>
        <c:crossBetween val="between"/>
      </c:valAx>
      <c:valAx>
        <c:axId val="597692520"/>
        <c:scaling>
          <c:orientation val="minMax"/>
          <c:max val="1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Beginning</a:t>
                </a:r>
                <a:r>
                  <a:rPr lang="en-US" baseline="0"/>
                  <a:t> Perennial Crop Acreage (1000 acres)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1864"/>
        <c:crosses val="max"/>
        <c:crossBetween val="between"/>
        <c:dispUnits>
          <c:builtInUnit val="thousands"/>
        </c:dispUnits>
      </c:valAx>
      <c:catAx>
        <c:axId val="59769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69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2222727896369"/>
          <c:y val="3.6570924901844562E-2"/>
          <c:w val="0.76258862032386199"/>
          <c:h val="0.7987133283047364"/>
        </c:manualLayout>
      </c:layout>
      <c:scatterChart>
        <c:scatterStyle val="lineMarker"/>
        <c:varyColors val="0"/>
        <c:ser>
          <c:idx val="0"/>
          <c:order val="0"/>
          <c:tx>
            <c:v>GW, base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9'!$D$59:$D$69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7D5-BAE0-059D01B0D465}"/>
            </c:ext>
          </c:extLst>
        </c:ser>
        <c:ser>
          <c:idx val="1"/>
          <c:order val="1"/>
          <c:tx>
            <c:v>GW, even drier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9'!$B$59:$B$69</c:f>
              <c:numCache>
                <c:formatCode>General</c:formatCode>
                <c:ptCount val="11"/>
                <c:pt idx="0">
                  <c:v>12</c:v>
                </c:pt>
                <c:pt idx="1">
                  <c:v>10.5</c:v>
                </c:pt>
                <c:pt idx="2">
                  <c:v>9.5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C-47D5-BAE0-059D01B0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34704"/>
        <c:axId val="633937984"/>
      </c:scatterChart>
      <c:scatterChart>
        <c:scatterStyle val="lineMarker"/>
        <c:varyColors val="0"/>
        <c:ser>
          <c:idx val="2"/>
          <c:order val="2"/>
          <c:tx>
            <c:v>Xp, base</c:v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9'!$A$59:$A$69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9'!$G$59:$G$69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C-47D5-BAE0-059D01B0D465}"/>
            </c:ext>
          </c:extLst>
        </c:ser>
        <c:ser>
          <c:idx val="3"/>
          <c:order val="3"/>
          <c:tx>
            <c:v>Xp, even drier</c:v>
          </c:tx>
          <c:spPr>
            <a:ln w="317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9'!$A$59:$A$69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9'!$E$59:$E$69</c:f>
              <c:numCache>
                <c:formatCode>General</c:formatCode>
                <c:ptCount val="11"/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140000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C-47D5-BAE0-059D01B0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86200"/>
        <c:axId val="633992104"/>
      </c:scatterChart>
      <c:valAx>
        <c:axId val="633934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7984"/>
        <c:crosses val="autoZero"/>
        <c:crossBetween val="midCat"/>
      </c:valAx>
      <c:valAx>
        <c:axId val="633937984"/>
        <c:scaling>
          <c:orientation val="minMax"/>
          <c:max val="12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Groundwater Storage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4704"/>
        <c:crosses val="autoZero"/>
        <c:crossBetween val="midCat"/>
      </c:valAx>
      <c:valAx>
        <c:axId val="633992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Perennial crop acreage (1,000</a:t>
                </a:r>
                <a:r>
                  <a:rPr lang="en-US" sz="1600" baseline="0"/>
                  <a:t> Acres/decade)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86200"/>
        <c:crosses val="max"/>
        <c:crossBetween val="midCat"/>
        <c:dispUnits>
          <c:builtInUnit val="thousands"/>
        </c:dispUnits>
      </c:valAx>
      <c:valAx>
        <c:axId val="633986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99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507999</xdr:colOff>
      <xdr:row>8</xdr:row>
      <xdr:rowOff>171450</xdr:rowOff>
    </xdr:from>
    <xdr:to>
      <xdr:col>20</xdr:col>
      <xdr:colOff>533400</xdr:colOff>
      <xdr:row>31</xdr:row>
      <xdr:rowOff>25400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EF94DDC-27F7-461C-9474-4DBF9A586A77}"/>
            </a:ext>
          </a:extLst>
        </xdr:cNvPr>
        <xdr:cNvGrpSpPr/>
      </xdr:nvGrpSpPr>
      <xdr:grpSpPr>
        <a:xfrm>
          <a:off x="4772024" y="1619250"/>
          <a:ext cx="8048626" cy="4019550"/>
          <a:chOff x="4772024" y="1619250"/>
          <a:chExt cx="5305425" cy="29622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D0E2253-580B-4F66-9569-78F9BA0BCBFF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EB4F0CD-2F31-415D-8D00-0532C6EC315A}"/>
              </a:ext>
            </a:extLst>
          </xdr:cNvPr>
          <xdr:cNvSpPr txBox="1"/>
        </xdr:nvSpPr>
        <xdr:spPr>
          <a:xfrm>
            <a:off x="5671038" y="3552564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1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6CDCFD-1062-467B-9076-556BAAC07EC6}"/>
              </a:ext>
            </a:extLst>
          </xdr:cNvPr>
          <xdr:cNvSpPr txBox="1"/>
        </xdr:nvSpPr>
        <xdr:spPr>
          <a:xfrm>
            <a:off x="6577874" y="346100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2</a:t>
            </a:r>
            <a:endParaRPr lang="en-US" sz="12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E86A3E0-DE9E-4B6D-9875-BB75C240674A}"/>
              </a:ext>
            </a:extLst>
          </xdr:cNvPr>
          <xdr:cNvSpPr txBox="1"/>
        </xdr:nvSpPr>
        <xdr:spPr>
          <a:xfrm>
            <a:off x="8407081" y="3147765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4</a:t>
            </a:r>
            <a:endParaRPr lang="en-US" sz="12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E69129D-F9EB-4DAC-B195-9D5CA8542D56}"/>
              </a:ext>
            </a:extLst>
          </xdr:cNvPr>
          <xdr:cNvSpPr txBox="1"/>
        </xdr:nvSpPr>
        <xdr:spPr>
          <a:xfrm>
            <a:off x="7491952" y="3298290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3</a:t>
            </a:r>
            <a:endParaRPr lang="en-US" sz="12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84E9E03-E0FF-47D0-B978-B3FF30D989A5}"/>
              </a:ext>
            </a:extLst>
          </xdr:cNvPr>
          <xdr:cNvSpPr txBox="1"/>
        </xdr:nvSpPr>
        <xdr:spPr>
          <a:xfrm>
            <a:off x="9310707" y="3083750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5</a:t>
            </a:r>
            <a:endParaRPr lang="en-US" sz="12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28575</xdr:rowOff>
    </xdr:from>
    <xdr:to>
      <xdr:col>20</xdr:col>
      <xdr:colOff>314325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8BDC-5F52-4A91-A428-2F20123A9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190499</xdr:colOff>
      <xdr:row>33</xdr:row>
      <xdr:rowOff>141286</xdr:rowOff>
    </xdr:from>
    <xdr:to>
      <xdr:col>21</xdr:col>
      <xdr:colOff>228600</xdr:colOff>
      <xdr:row>62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ABEFF2-3132-4462-A899-D2C3D2EB5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7</xdr:row>
      <xdr:rowOff>103188</xdr:rowOff>
    </xdr:from>
    <xdr:to>
      <xdr:col>24</xdr:col>
      <xdr:colOff>346074</xdr:colOff>
      <xdr:row>30</xdr:row>
      <xdr:rowOff>100236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E323CF1-1662-4580-B0BE-630066F06A9A}"/>
            </a:ext>
          </a:extLst>
        </xdr:cNvPr>
        <xdr:cNvGrpSpPr/>
      </xdr:nvGrpSpPr>
      <xdr:grpSpPr>
        <a:xfrm>
          <a:off x="7600950" y="1373188"/>
          <a:ext cx="7375524" cy="4159473"/>
          <a:chOff x="6991350" y="1370013"/>
          <a:chExt cx="7375524" cy="415947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F56B3DE-9423-4491-BAF9-82645CF91650}"/>
              </a:ext>
            </a:extLst>
          </xdr:cNvPr>
          <xdr:cNvGraphicFramePr/>
        </xdr:nvGraphicFramePr>
        <xdr:xfrm>
          <a:off x="7051673" y="1370013"/>
          <a:ext cx="7315201" cy="4141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5DF5913-140A-4BA3-929A-908C973B7769}"/>
              </a:ext>
            </a:extLst>
          </xdr:cNvPr>
          <xdr:cNvSpPr txBox="1"/>
        </xdr:nvSpPr>
        <xdr:spPr>
          <a:xfrm>
            <a:off x="6991350" y="5092700"/>
            <a:ext cx="568745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320675</xdr:colOff>
      <xdr:row>1</xdr:row>
      <xdr:rowOff>38099</xdr:rowOff>
    </xdr:from>
    <xdr:to>
      <xdr:col>23</xdr:col>
      <xdr:colOff>152400</xdr:colOff>
      <xdr:row>26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20495AD-24B8-497D-975E-E174E4AFB572}"/>
            </a:ext>
          </a:extLst>
        </xdr:cNvPr>
        <xdr:cNvGrpSpPr/>
      </xdr:nvGrpSpPr>
      <xdr:grpSpPr>
        <a:xfrm>
          <a:off x="7026275" y="219074"/>
          <a:ext cx="7146925" cy="4486276"/>
          <a:chOff x="7026275" y="219074"/>
          <a:chExt cx="7146925" cy="448627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A02C70B6-1251-4104-A73E-1C3E1BA1891C}"/>
              </a:ext>
            </a:extLst>
          </xdr:cNvPr>
          <xdr:cNvGraphicFramePr>
            <a:graphicFrameLocks/>
          </xdr:cNvGraphicFramePr>
        </xdr:nvGraphicFramePr>
        <xdr:xfrm>
          <a:off x="7051673" y="219074"/>
          <a:ext cx="7121527" cy="4486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F63F6761-B9B0-4783-918F-F52E61126BBB}"/>
              </a:ext>
            </a:extLst>
          </xdr:cNvPr>
          <xdr:cNvSpPr txBox="1"/>
        </xdr:nvSpPr>
        <xdr:spPr>
          <a:xfrm>
            <a:off x="7026275" y="4238625"/>
            <a:ext cx="575095" cy="44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88898</xdr:colOff>
      <xdr:row>1</xdr:row>
      <xdr:rowOff>41274</xdr:rowOff>
    </xdr:from>
    <xdr:to>
      <xdr:col>23</xdr:col>
      <xdr:colOff>504825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865D7-87DB-4D59-9B8E-7E88DBA49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0.00178</cdr:x>
      <cdr:y>0.86695</cdr:y>
    </cdr:from>
    <cdr:to>
      <cdr:x>0.08343</cdr:x>
      <cdr:y>0.96714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F443BD4-526A-456C-B306-FCC46222EA1E}"/>
            </a:ext>
          </a:extLst>
        </cdr:cNvPr>
        <cdr:cNvSpPr txBox="1"/>
      </cdr:nvSpPr>
      <cdr:spPr>
        <a:xfrm xmlns:a="http://schemas.openxmlformats.org/drawingml/2006/main">
          <a:off x="12700" y="3889375"/>
          <a:ext cx="581445" cy="4494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346073</xdr:colOff>
      <xdr:row>1</xdr:row>
      <xdr:rowOff>38099</xdr:rowOff>
    </xdr:from>
    <xdr:to>
      <xdr:col>23</xdr:col>
      <xdr:colOff>152400</xdr:colOff>
      <xdr:row>26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C4FAFAA-8469-4D73-BC25-7668ABCC7607}"/>
            </a:ext>
          </a:extLst>
        </xdr:cNvPr>
        <xdr:cNvGrpSpPr/>
      </xdr:nvGrpSpPr>
      <xdr:grpSpPr>
        <a:xfrm>
          <a:off x="7051673" y="219074"/>
          <a:ext cx="7121527" cy="4486276"/>
          <a:chOff x="7051673" y="219074"/>
          <a:chExt cx="7121527" cy="448627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06A1930-58EB-44B0-B8C6-397F39D09394}"/>
              </a:ext>
            </a:extLst>
          </xdr:cNvPr>
          <xdr:cNvGraphicFramePr>
            <a:graphicFrameLocks/>
          </xdr:cNvGraphicFramePr>
        </xdr:nvGraphicFramePr>
        <xdr:xfrm>
          <a:off x="7051673" y="219074"/>
          <a:ext cx="7121527" cy="4486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8F443BD4-526A-456C-B306-FCC46222EA1E}"/>
              </a:ext>
            </a:extLst>
          </xdr:cNvPr>
          <xdr:cNvSpPr txBox="1"/>
        </xdr:nvSpPr>
        <xdr:spPr>
          <a:xfrm>
            <a:off x="7086600" y="3857625"/>
            <a:ext cx="581445" cy="44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225425</xdr:colOff>
      <xdr:row>47</xdr:row>
      <xdr:rowOff>66675</xdr:rowOff>
    </xdr:from>
    <xdr:to>
      <xdr:col>15</xdr:col>
      <xdr:colOff>542925</xdr:colOff>
      <xdr:row>73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A9E69-8A2E-4A4B-97B9-564EB8A1F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546098</xdr:colOff>
      <xdr:row>2</xdr:row>
      <xdr:rowOff>31749</xdr:rowOff>
    </xdr:from>
    <xdr:to>
      <xdr:col>26</xdr:col>
      <xdr:colOff>352425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3C8E4-54FE-4454-86B1-99A93268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0.88306</cdr:y>
    </cdr:from>
    <cdr:to>
      <cdr:x>0.08165</cdr:x>
      <cdr:y>0.98332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5CD758A-2131-4E20-B15B-37F1EC7CED43}"/>
            </a:ext>
          </a:extLst>
        </cdr:cNvPr>
        <cdr:cNvSpPr txBox="1"/>
      </cdr:nvSpPr>
      <cdr:spPr>
        <a:xfrm xmlns:a="http://schemas.openxmlformats.org/drawingml/2006/main">
          <a:off x="0" y="3956050"/>
          <a:ext cx="581445" cy="4491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_at_UCD/phd%20research/20_summer/DP_woSali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base"/>
      <sheetName val="2nd stage decisions"/>
      <sheetName val="r002"/>
      <sheetName val="r005"/>
      <sheetName val="r001"/>
      <sheetName val="Rcomparison"/>
      <sheetName val="drier"/>
      <sheetName val="driest"/>
      <sheetName val="Climate comparison"/>
      <sheetName val="Sheet2"/>
    </sheetNames>
    <sheetDataSet>
      <sheetData sheetId="0"/>
      <sheetData sheetId="1">
        <row r="3">
          <cell r="Y3">
            <v>5022.4489179354741</v>
          </cell>
        </row>
        <row r="4">
          <cell r="Y4">
            <v>5092.7948182992759</v>
          </cell>
        </row>
        <row r="5">
          <cell r="Y5">
            <v>5149.2303926860641</v>
          </cell>
        </row>
        <row r="6">
          <cell r="Y6">
            <v>5203.2797116860638</v>
          </cell>
        </row>
        <row r="7">
          <cell r="Y7">
            <v>5255.7293701856697</v>
          </cell>
        </row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8.5</v>
          </cell>
          <cell r="O37">
            <v>9</v>
          </cell>
          <cell r="P37">
            <v>9.5</v>
          </cell>
          <cell r="Q37">
            <v>10</v>
          </cell>
        </row>
        <row r="38">
          <cell r="M38">
            <v>8</v>
          </cell>
          <cell r="N38">
            <v>8</v>
          </cell>
          <cell r="O38">
            <v>8.5</v>
          </cell>
          <cell r="P38">
            <v>8.5</v>
          </cell>
          <cell r="Q38">
            <v>9</v>
          </cell>
        </row>
        <row r="39">
          <cell r="M39">
            <v>8</v>
          </cell>
          <cell r="N39">
            <v>8</v>
          </cell>
          <cell r="O39">
            <v>8</v>
          </cell>
          <cell r="P39">
            <v>8</v>
          </cell>
          <cell r="Q39">
            <v>8.5</v>
          </cell>
        </row>
        <row r="40"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8</v>
          </cell>
        </row>
        <row r="41"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</row>
        <row r="42">
          <cell r="M42">
            <v>8</v>
          </cell>
          <cell r="N42">
            <v>8</v>
          </cell>
          <cell r="O42">
            <v>8</v>
          </cell>
          <cell r="P42">
            <v>8</v>
          </cell>
          <cell r="Q42">
            <v>8</v>
          </cell>
        </row>
        <row r="43">
          <cell r="M43">
            <v>8</v>
          </cell>
          <cell r="N43">
            <v>8</v>
          </cell>
          <cell r="O43">
            <v>8</v>
          </cell>
          <cell r="P43">
            <v>8</v>
          </cell>
          <cell r="Q43">
            <v>8</v>
          </cell>
        </row>
        <row r="44">
          <cell r="M44">
            <v>8</v>
          </cell>
          <cell r="N44">
            <v>8</v>
          </cell>
          <cell r="O44">
            <v>8</v>
          </cell>
          <cell r="P44">
            <v>8</v>
          </cell>
          <cell r="Q44">
            <v>8</v>
          </cell>
        </row>
        <row r="45">
          <cell r="M45">
            <v>8</v>
          </cell>
          <cell r="N45">
            <v>8</v>
          </cell>
          <cell r="O45">
            <v>8</v>
          </cell>
          <cell r="P45">
            <v>8</v>
          </cell>
          <cell r="Q45">
            <v>8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  <row r="52">
          <cell r="M52">
            <v>150000</v>
          </cell>
          <cell r="N52">
            <v>150000</v>
          </cell>
          <cell r="O52">
            <v>150000</v>
          </cell>
          <cell r="P52">
            <v>150000</v>
          </cell>
          <cell r="Q52">
            <v>150000</v>
          </cell>
        </row>
        <row r="53">
          <cell r="M53">
            <v>150000</v>
          </cell>
          <cell r="N53">
            <v>150000</v>
          </cell>
          <cell r="O53">
            <v>150000</v>
          </cell>
          <cell r="P53">
            <v>150000</v>
          </cell>
          <cell r="Q53">
            <v>150000</v>
          </cell>
        </row>
        <row r="54">
          <cell r="M54">
            <v>150000</v>
          </cell>
          <cell r="N54">
            <v>150000</v>
          </cell>
          <cell r="O54">
            <v>150000</v>
          </cell>
          <cell r="P54">
            <v>150000</v>
          </cell>
          <cell r="Q54">
            <v>150000</v>
          </cell>
        </row>
        <row r="55">
          <cell r="M55">
            <v>150000</v>
          </cell>
          <cell r="N55">
            <v>150000</v>
          </cell>
          <cell r="O55">
            <v>150000</v>
          </cell>
          <cell r="P55">
            <v>150000</v>
          </cell>
          <cell r="Q55">
            <v>150000</v>
          </cell>
        </row>
        <row r="56">
          <cell r="M56">
            <v>150000</v>
          </cell>
          <cell r="N56">
            <v>150000</v>
          </cell>
          <cell r="O56">
            <v>150000</v>
          </cell>
          <cell r="P56">
            <v>150000</v>
          </cell>
          <cell r="Q56">
            <v>150000</v>
          </cell>
        </row>
        <row r="57">
          <cell r="M57">
            <v>150000</v>
          </cell>
          <cell r="N57">
            <v>150000</v>
          </cell>
          <cell r="O57">
            <v>150000</v>
          </cell>
          <cell r="P57">
            <v>150000</v>
          </cell>
          <cell r="Q57">
            <v>150000</v>
          </cell>
        </row>
        <row r="58">
          <cell r="M58">
            <v>150000</v>
          </cell>
          <cell r="N58">
            <v>150000</v>
          </cell>
          <cell r="O58">
            <v>150000</v>
          </cell>
          <cell r="P58">
            <v>150000</v>
          </cell>
          <cell r="Q58">
            <v>150000</v>
          </cell>
        </row>
        <row r="59">
          <cell r="M59">
            <v>150000</v>
          </cell>
          <cell r="N59">
            <v>150000</v>
          </cell>
          <cell r="O59">
            <v>150000</v>
          </cell>
          <cell r="P59">
            <v>150000</v>
          </cell>
          <cell r="Q59">
            <v>150000</v>
          </cell>
        </row>
        <row r="60">
          <cell r="M60">
            <v>150000</v>
          </cell>
          <cell r="N60">
            <v>150000</v>
          </cell>
          <cell r="O60">
            <v>150000</v>
          </cell>
          <cell r="P60">
            <v>150000</v>
          </cell>
          <cell r="Q60">
            <v>150000</v>
          </cell>
        </row>
        <row r="61">
          <cell r="M61">
            <v>100000</v>
          </cell>
          <cell r="N61">
            <v>100000</v>
          </cell>
          <cell r="O61">
            <v>100000</v>
          </cell>
          <cell r="P61">
            <v>100000</v>
          </cell>
          <cell r="Q61">
            <v>100000</v>
          </cell>
        </row>
      </sheetData>
      <sheetData sheetId="2"/>
      <sheetData sheetId="3"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8.5</v>
          </cell>
          <cell r="O37">
            <v>9.5</v>
          </cell>
          <cell r="P37">
            <v>10</v>
          </cell>
          <cell r="Q37">
            <v>10.5</v>
          </cell>
        </row>
        <row r="38">
          <cell r="M38">
            <v>8</v>
          </cell>
          <cell r="N38">
            <v>8</v>
          </cell>
          <cell r="O38">
            <v>9</v>
          </cell>
          <cell r="P38">
            <v>9.5</v>
          </cell>
          <cell r="Q38">
            <v>9.5</v>
          </cell>
        </row>
        <row r="39">
          <cell r="M39">
            <v>8</v>
          </cell>
          <cell r="N39">
            <v>8</v>
          </cell>
          <cell r="O39">
            <v>8.5</v>
          </cell>
          <cell r="P39">
            <v>9</v>
          </cell>
          <cell r="Q39">
            <v>9</v>
          </cell>
        </row>
        <row r="40">
          <cell r="M40">
            <v>8</v>
          </cell>
          <cell r="N40">
            <v>8</v>
          </cell>
          <cell r="O40">
            <v>8</v>
          </cell>
          <cell r="P40">
            <v>8.5</v>
          </cell>
          <cell r="Q40">
            <v>8.5</v>
          </cell>
        </row>
        <row r="41"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</row>
        <row r="42">
          <cell r="M42">
            <v>8</v>
          </cell>
          <cell r="N42">
            <v>8</v>
          </cell>
          <cell r="O42">
            <v>8</v>
          </cell>
          <cell r="P42">
            <v>8</v>
          </cell>
          <cell r="Q42">
            <v>8</v>
          </cell>
        </row>
        <row r="43">
          <cell r="M43">
            <v>8</v>
          </cell>
          <cell r="N43">
            <v>8</v>
          </cell>
          <cell r="O43">
            <v>8</v>
          </cell>
          <cell r="P43">
            <v>8</v>
          </cell>
          <cell r="Q43">
            <v>8</v>
          </cell>
        </row>
        <row r="44">
          <cell r="M44">
            <v>8</v>
          </cell>
          <cell r="N44">
            <v>8</v>
          </cell>
          <cell r="O44">
            <v>8</v>
          </cell>
          <cell r="P44">
            <v>8</v>
          </cell>
          <cell r="Q44">
            <v>8</v>
          </cell>
        </row>
        <row r="45">
          <cell r="M45">
            <v>8</v>
          </cell>
          <cell r="N45">
            <v>8</v>
          </cell>
          <cell r="O45">
            <v>8</v>
          </cell>
          <cell r="P45">
            <v>8</v>
          </cell>
          <cell r="Q45">
            <v>8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</sheetData>
      <sheetData sheetId="4"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8.5</v>
          </cell>
          <cell r="O37">
            <v>8.5</v>
          </cell>
          <cell r="P37">
            <v>9.5</v>
          </cell>
          <cell r="Q37">
            <v>10</v>
          </cell>
        </row>
        <row r="38">
          <cell r="M38">
            <v>8</v>
          </cell>
          <cell r="N38">
            <v>8</v>
          </cell>
          <cell r="O38">
            <v>8</v>
          </cell>
          <cell r="P38">
            <v>8.5</v>
          </cell>
          <cell r="Q38">
            <v>8.5</v>
          </cell>
        </row>
        <row r="39">
          <cell r="M39">
            <v>8</v>
          </cell>
          <cell r="N39">
            <v>8</v>
          </cell>
          <cell r="O39">
            <v>8</v>
          </cell>
          <cell r="P39">
            <v>8</v>
          </cell>
          <cell r="Q39">
            <v>8</v>
          </cell>
        </row>
        <row r="40"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8</v>
          </cell>
        </row>
        <row r="41"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</row>
        <row r="42">
          <cell r="M42">
            <v>8</v>
          </cell>
          <cell r="N42">
            <v>8</v>
          </cell>
          <cell r="O42">
            <v>8</v>
          </cell>
          <cell r="P42">
            <v>8</v>
          </cell>
          <cell r="Q42">
            <v>8</v>
          </cell>
        </row>
        <row r="43">
          <cell r="M43">
            <v>8</v>
          </cell>
          <cell r="N43">
            <v>8</v>
          </cell>
          <cell r="O43">
            <v>8</v>
          </cell>
          <cell r="P43">
            <v>8</v>
          </cell>
          <cell r="Q43">
            <v>8</v>
          </cell>
        </row>
        <row r="44">
          <cell r="M44">
            <v>8</v>
          </cell>
          <cell r="N44">
            <v>8</v>
          </cell>
          <cell r="O44">
            <v>8</v>
          </cell>
          <cell r="P44">
            <v>8</v>
          </cell>
          <cell r="Q44">
            <v>8</v>
          </cell>
        </row>
        <row r="45">
          <cell r="M45">
            <v>8</v>
          </cell>
          <cell r="N45">
            <v>8</v>
          </cell>
          <cell r="O45">
            <v>8</v>
          </cell>
          <cell r="P45">
            <v>8</v>
          </cell>
          <cell r="Q45">
            <v>8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</sheetData>
      <sheetData sheetId="5"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9</v>
          </cell>
          <cell r="O37">
            <v>9.5</v>
          </cell>
          <cell r="P37">
            <v>10.5</v>
          </cell>
          <cell r="Q37">
            <v>11.5</v>
          </cell>
        </row>
        <row r="38">
          <cell r="M38">
            <v>8</v>
          </cell>
          <cell r="N38">
            <v>9</v>
          </cell>
          <cell r="O38">
            <v>9.5</v>
          </cell>
          <cell r="P38">
            <v>10</v>
          </cell>
          <cell r="Q38">
            <v>11</v>
          </cell>
        </row>
        <row r="39">
          <cell r="M39">
            <v>8</v>
          </cell>
          <cell r="N39">
            <v>9</v>
          </cell>
          <cell r="O39">
            <v>9.5</v>
          </cell>
          <cell r="P39">
            <v>9.5</v>
          </cell>
          <cell r="Q39">
            <v>10.5</v>
          </cell>
        </row>
        <row r="40">
          <cell r="M40">
            <v>8</v>
          </cell>
          <cell r="N40">
            <v>9</v>
          </cell>
          <cell r="O40">
            <v>9.5</v>
          </cell>
          <cell r="P40">
            <v>9.5</v>
          </cell>
          <cell r="Q40">
            <v>10</v>
          </cell>
        </row>
        <row r="41">
          <cell r="M41">
            <v>8</v>
          </cell>
          <cell r="N41">
            <v>9</v>
          </cell>
          <cell r="O41">
            <v>9.5</v>
          </cell>
          <cell r="P41">
            <v>9.5</v>
          </cell>
          <cell r="Q41">
            <v>9.5</v>
          </cell>
        </row>
        <row r="42">
          <cell r="M42">
            <v>8</v>
          </cell>
          <cell r="N42">
            <v>9</v>
          </cell>
          <cell r="O42">
            <v>9.5</v>
          </cell>
          <cell r="P42">
            <v>9.5</v>
          </cell>
          <cell r="Q42">
            <v>9.5</v>
          </cell>
        </row>
        <row r="43">
          <cell r="M43">
            <v>8</v>
          </cell>
          <cell r="N43">
            <v>9</v>
          </cell>
          <cell r="O43">
            <v>9.5</v>
          </cell>
          <cell r="P43">
            <v>9.5</v>
          </cell>
          <cell r="Q43">
            <v>9.5</v>
          </cell>
        </row>
        <row r="44">
          <cell r="M44">
            <v>8</v>
          </cell>
          <cell r="N44">
            <v>9</v>
          </cell>
          <cell r="O44">
            <v>9.5</v>
          </cell>
          <cell r="P44">
            <v>9.5</v>
          </cell>
          <cell r="Q44">
            <v>9.5</v>
          </cell>
        </row>
        <row r="45">
          <cell r="M45">
            <v>8.5</v>
          </cell>
          <cell r="N45">
            <v>9</v>
          </cell>
          <cell r="O45">
            <v>9.5</v>
          </cell>
          <cell r="P45">
            <v>9.5</v>
          </cell>
          <cell r="Q45">
            <v>9.5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</sheetData>
      <sheetData sheetId="6"/>
      <sheetData sheetId="7">
        <row r="3">
          <cell r="Y3">
            <v>4750.8257780000004</v>
          </cell>
        </row>
        <row r="4">
          <cell r="Y4">
            <v>4858.2705850000002</v>
          </cell>
        </row>
        <row r="5">
          <cell r="Y5">
            <v>4932.3640820000001</v>
          </cell>
        </row>
        <row r="6">
          <cell r="Y6">
            <v>4995.7948120000001</v>
          </cell>
        </row>
        <row r="7">
          <cell r="Y7">
            <v>5059.3402429999996</v>
          </cell>
        </row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8.5</v>
          </cell>
          <cell r="O37">
            <v>9</v>
          </cell>
          <cell r="P37">
            <v>9.5</v>
          </cell>
          <cell r="Q37">
            <v>10</v>
          </cell>
        </row>
        <row r="38">
          <cell r="M38">
            <v>8</v>
          </cell>
          <cell r="N38">
            <v>8</v>
          </cell>
          <cell r="O38">
            <v>8.5</v>
          </cell>
          <cell r="P38">
            <v>9</v>
          </cell>
          <cell r="Q38">
            <v>9</v>
          </cell>
        </row>
        <row r="39">
          <cell r="M39">
            <v>8</v>
          </cell>
          <cell r="N39">
            <v>8</v>
          </cell>
          <cell r="O39">
            <v>8</v>
          </cell>
          <cell r="P39">
            <v>8.5</v>
          </cell>
          <cell r="Q39">
            <v>8.5</v>
          </cell>
        </row>
        <row r="40"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8</v>
          </cell>
        </row>
        <row r="41"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</row>
        <row r="42">
          <cell r="M42">
            <v>8</v>
          </cell>
          <cell r="N42">
            <v>8</v>
          </cell>
          <cell r="O42">
            <v>8</v>
          </cell>
          <cell r="P42">
            <v>8</v>
          </cell>
          <cell r="Q42">
            <v>8</v>
          </cell>
        </row>
        <row r="43">
          <cell r="M43">
            <v>8</v>
          </cell>
          <cell r="N43">
            <v>8</v>
          </cell>
          <cell r="O43">
            <v>8</v>
          </cell>
          <cell r="P43">
            <v>8</v>
          </cell>
          <cell r="Q43">
            <v>8</v>
          </cell>
        </row>
        <row r="44">
          <cell r="M44">
            <v>8</v>
          </cell>
          <cell r="N44">
            <v>8</v>
          </cell>
          <cell r="O44">
            <v>8</v>
          </cell>
          <cell r="P44">
            <v>8</v>
          </cell>
          <cell r="Q44">
            <v>8</v>
          </cell>
        </row>
        <row r="45">
          <cell r="M45">
            <v>8</v>
          </cell>
          <cell r="N45">
            <v>8</v>
          </cell>
          <cell r="O45">
            <v>8</v>
          </cell>
          <cell r="P45">
            <v>8</v>
          </cell>
          <cell r="Q45">
            <v>8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  <row r="52">
          <cell r="M52">
            <v>140000</v>
          </cell>
          <cell r="N52">
            <v>150000</v>
          </cell>
          <cell r="O52">
            <v>150000</v>
          </cell>
          <cell r="P52">
            <v>150000</v>
          </cell>
          <cell r="Q52">
            <v>150000</v>
          </cell>
        </row>
        <row r="53">
          <cell r="M53">
            <v>140000</v>
          </cell>
          <cell r="N53">
            <v>150000</v>
          </cell>
          <cell r="O53">
            <v>150000</v>
          </cell>
          <cell r="P53">
            <v>150000</v>
          </cell>
          <cell r="Q53">
            <v>150000</v>
          </cell>
        </row>
        <row r="54">
          <cell r="M54">
            <v>140000</v>
          </cell>
          <cell r="N54">
            <v>140000</v>
          </cell>
          <cell r="O54">
            <v>150000</v>
          </cell>
          <cell r="P54">
            <v>150000</v>
          </cell>
          <cell r="Q54">
            <v>150000</v>
          </cell>
        </row>
        <row r="55">
          <cell r="M55">
            <v>140000</v>
          </cell>
          <cell r="N55">
            <v>140000</v>
          </cell>
          <cell r="O55">
            <v>140000</v>
          </cell>
          <cell r="P55">
            <v>150000</v>
          </cell>
          <cell r="Q55">
            <v>150000</v>
          </cell>
        </row>
        <row r="56">
          <cell r="M56">
            <v>140000</v>
          </cell>
          <cell r="N56">
            <v>140000</v>
          </cell>
          <cell r="O56">
            <v>140000</v>
          </cell>
          <cell r="P56">
            <v>140000</v>
          </cell>
          <cell r="Q56">
            <v>140000</v>
          </cell>
        </row>
        <row r="57">
          <cell r="M57">
            <v>140000</v>
          </cell>
          <cell r="N57">
            <v>140000</v>
          </cell>
          <cell r="O57">
            <v>140000</v>
          </cell>
          <cell r="P57">
            <v>140000</v>
          </cell>
          <cell r="Q57">
            <v>140000</v>
          </cell>
        </row>
        <row r="58">
          <cell r="M58">
            <v>140000</v>
          </cell>
          <cell r="N58">
            <v>140000</v>
          </cell>
          <cell r="O58">
            <v>140000</v>
          </cell>
          <cell r="P58">
            <v>140000</v>
          </cell>
          <cell r="Q58">
            <v>140000</v>
          </cell>
        </row>
        <row r="59">
          <cell r="M59">
            <v>140000</v>
          </cell>
          <cell r="N59">
            <v>140000</v>
          </cell>
          <cell r="O59">
            <v>140000</v>
          </cell>
          <cell r="P59">
            <v>140000</v>
          </cell>
          <cell r="Q59">
            <v>140000</v>
          </cell>
        </row>
        <row r="60">
          <cell r="M60">
            <v>140000</v>
          </cell>
          <cell r="N60">
            <v>140000</v>
          </cell>
          <cell r="O60">
            <v>140000</v>
          </cell>
          <cell r="P60">
            <v>140000</v>
          </cell>
          <cell r="Q60">
            <v>140000</v>
          </cell>
        </row>
        <row r="61">
          <cell r="M61">
            <v>90000</v>
          </cell>
          <cell r="N61">
            <v>90000</v>
          </cell>
          <cell r="O61">
            <v>90000</v>
          </cell>
          <cell r="P61">
            <v>90000</v>
          </cell>
          <cell r="Q61">
            <v>90000</v>
          </cell>
        </row>
      </sheetData>
      <sheetData sheetId="8">
        <row r="3">
          <cell r="Y3">
            <v>4573.7838140000003</v>
          </cell>
        </row>
        <row r="4">
          <cell r="Y4">
            <v>4690.3678170000003</v>
          </cell>
        </row>
        <row r="5">
          <cell r="Y5">
            <v>4782.31927</v>
          </cell>
        </row>
        <row r="6">
          <cell r="Y6">
            <v>4858.495304</v>
          </cell>
        </row>
        <row r="7">
          <cell r="Y7">
            <v>4928.5966330000001</v>
          </cell>
        </row>
        <row r="36">
          <cell r="M36">
            <v>8</v>
          </cell>
          <cell r="N36">
            <v>9</v>
          </cell>
          <cell r="O36">
            <v>10</v>
          </cell>
          <cell r="P36">
            <v>11</v>
          </cell>
          <cell r="Q36">
            <v>12</v>
          </cell>
        </row>
        <row r="37">
          <cell r="M37">
            <v>8</v>
          </cell>
          <cell r="N37">
            <v>8</v>
          </cell>
          <cell r="O37">
            <v>9</v>
          </cell>
          <cell r="P37">
            <v>9.5</v>
          </cell>
          <cell r="Q37">
            <v>10.5</v>
          </cell>
        </row>
        <row r="38">
          <cell r="M38">
            <v>8</v>
          </cell>
          <cell r="N38">
            <v>8</v>
          </cell>
          <cell r="O38">
            <v>8</v>
          </cell>
          <cell r="P38">
            <v>8.5</v>
          </cell>
          <cell r="Q38">
            <v>9.5</v>
          </cell>
        </row>
        <row r="39">
          <cell r="M39">
            <v>8</v>
          </cell>
          <cell r="N39">
            <v>8</v>
          </cell>
          <cell r="O39">
            <v>8</v>
          </cell>
          <cell r="P39">
            <v>8</v>
          </cell>
          <cell r="Q39">
            <v>8.5</v>
          </cell>
        </row>
        <row r="40">
          <cell r="M40">
            <v>8</v>
          </cell>
          <cell r="N40">
            <v>8</v>
          </cell>
          <cell r="O40">
            <v>8</v>
          </cell>
          <cell r="P40">
            <v>8</v>
          </cell>
          <cell r="Q40">
            <v>8</v>
          </cell>
        </row>
        <row r="41">
          <cell r="M41">
            <v>8</v>
          </cell>
          <cell r="N41">
            <v>8</v>
          </cell>
          <cell r="O41">
            <v>8</v>
          </cell>
          <cell r="P41">
            <v>8</v>
          </cell>
          <cell r="Q41">
            <v>8</v>
          </cell>
        </row>
        <row r="42">
          <cell r="M42">
            <v>8</v>
          </cell>
          <cell r="N42">
            <v>8</v>
          </cell>
          <cell r="O42">
            <v>8</v>
          </cell>
          <cell r="P42">
            <v>8</v>
          </cell>
          <cell r="Q42">
            <v>8</v>
          </cell>
        </row>
        <row r="43">
          <cell r="M43">
            <v>8</v>
          </cell>
          <cell r="N43">
            <v>8</v>
          </cell>
          <cell r="O43">
            <v>8</v>
          </cell>
          <cell r="P43">
            <v>8</v>
          </cell>
          <cell r="Q43">
            <v>8</v>
          </cell>
        </row>
        <row r="44">
          <cell r="M44">
            <v>8</v>
          </cell>
          <cell r="N44">
            <v>8</v>
          </cell>
          <cell r="O44">
            <v>8</v>
          </cell>
          <cell r="P44">
            <v>8</v>
          </cell>
          <cell r="Q44">
            <v>8</v>
          </cell>
        </row>
        <row r="45">
          <cell r="M45">
            <v>8</v>
          </cell>
          <cell r="N45">
            <v>8</v>
          </cell>
          <cell r="O45">
            <v>8</v>
          </cell>
          <cell r="P45">
            <v>8</v>
          </cell>
          <cell r="Q45">
            <v>8</v>
          </cell>
        </row>
        <row r="46">
          <cell r="M46">
            <v>10</v>
          </cell>
          <cell r="N46">
            <v>10</v>
          </cell>
          <cell r="O46">
            <v>10</v>
          </cell>
          <cell r="P46">
            <v>10</v>
          </cell>
          <cell r="Q46">
            <v>10</v>
          </cell>
        </row>
        <row r="52">
          <cell r="M52">
            <v>130000</v>
          </cell>
          <cell r="N52">
            <v>150000</v>
          </cell>
          <cell r="O52">
            <v>150000</v>
          </cell>
          <cell r="P52">
            <v>150000</v>
          </cell>
          <cell r="Q52">
            <v>150000</v>
          </cell>
        </row>
        <row r="53">
          <cell r="M53">
            <v>130000</v>
          </cell>
          <cell r="N53">
            <v>130000</v>
          </cell>
          <cell r="O53">
            <v>150000</v>
          </cell>
          <cell r="P53">
            <v>150000</v>
          </cell>
          <cell r="Q53">
            <v>150000</v>
          </cell>
        </row>
        <row r="54">
          <cell r="M54">
            <v>130000</v>
          </cell>
          <cell r="N54">
            <v>130000</v>
          </cell>
          <cell r="O54">
            <v>130000</v>
          </cell>
          <cell r="P54">
            <v>140000</v>
          </cell>
          <cell r="Q54">
            <v>150000</v>
          </cell>
        </row>
        <row r="55">
          <cell r="M55">
            <v>130000</v>
          </cell>
          <cell r="N55">
            <v>130000</v>
          </cell>
          <cell r="O55">
            <v>130000</v>
          </cell>
          <cell r="P55">
            <v>130000</v>
          </cell>
          <cell r="Q55">
            <v>140000</v>
          </cell>
        </row>
        <row r="56">
          <cell r="M56">
            <v>130000</v>
          </cell>
          <cell r="N56">
            <v>130000</v>
          </cell>
          <cell r="O56">
            <v>130000</v>
          </cell>
          <cell r="P56">
            <v>130000</v>
          </cell>
          <cell r="Q56">
            <v>130000</v>
          </cell>
        </row>
        <row r="57">
          <cell r="M57">
            <v>130000</v>
          </cell>
          <cell r="N57">
            <v>130000</v>
          </cell>
          <cell r="O57">
            <v>130000</v>
          </cell>
          <cell r="P57">
            <v>130000</v>
          </cell>
          <cell r="Q57">
            <v>130000</v>
          </cell>
        </row>
        <row r="58">
          <cell r="M58">
            <v>130000</v>
          </cell>
          <cell r="N58">
            <v>130000</v>
          </cell>
          <cell r="O58">
            <v>130000</v>
          </cell>
          <cell r="P58">
            <v>130000</v>
          </cell>
          <cell r="Q58">
            <v>130000</v>
          </cell>
        </row>
        <row r="59">
          <cell r="M59">
            <v>130000</v>
          </cell>
          <cell r="N59">
            <v>130000</v>
          </cell>
          <cell r="O59">
            <v>130000</v>
          </cell>
          <cell r="P59">
            <v>130000</v>
          </cell>
          <cell r="Q59">
            <v>130000</v>
          </cell>
        </row>
        <row r="60">
          <cell r="M60">
            <v>130000</v>
          </cell>
          <cell r="N60">
            <v>130000</v>
          </cell>
          <cell r="O60">
            <v>130000</v>
          </cell>
          <cell r="P60">
            <v>130000</v>
          </cell>
          <cell r="Q60">
            <v>130000</v>
          </cell>
        </row>
        <row r="61">
          <cell r="M61">
            <v>80000</v>
          </cell>
          <cell r="N61">
            <v>80000</v>
          </cell>
          <cell r="O61">
            <v>80000</v>
          </cell>
          <cell r="P61">
            <v>80000</v>
          </cell>
          <cell r="Q61">
            <v>80000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1673-3C74-4C00-B9A7-7552372A6122}">
  <dimension ref="A1:R100"/>
  <sheetViews>
    <sheetView workbookViewId="0">
      <selection activeCell="U28" sqref="U28"/>
    </sheetView>
  </sheetViews>
  <sheetFormatPr defaultRowHeight="14.5" x14ac:dyDescent="0.35"/>
  <cols>
    <col min="17" max="17" width="10.08984375" customWidth="1"/>
  </cols>
  <sheetData>
    <row r="1" spans="1:18" x14ac:dyDescent="0.35">
      <c r="A1" t="s">
        <v>35</v>
      </c>
      <c r="B1">
        <f>LN(625000^2/(400000^2+625000^2)^0.5)</f>
        <v>13.173853940618649</v>
      </c>
    </row>
    <row r="2" spans="1:18" x14ac:dyDescent="0.35">
      <c r="A2" t="s">
        <v>36</v>
      </c>
      <c r="B2">
        <f>(LN(400000^2/625000^2+1))^0.5</f>
        <v>0.58592318284889355</v>
      </c>
      <c r="D2">
        <v>0.01</v>
      </c>
      <c r="E2">
        <f>_xlfn.NORM.S.INV(D2)</f>
        <v>-2.3263478740408408</v>
      </c>
      <c r="F2">
        <f>EXP(E2*$B$2+$B$1)/1000</f>
        <v>134.69830648794903</v>
      </c>
      <c r="H2">
        <v>0.1</v>
      </c>
      <c r="I2">
        <v>-1.2815515655446006</v>
      </c>
      <c r="J2">
        <f>F11</f>
        <v>248.44162025060172</v>
      </c>
      <c r="O2" t="s">
        <v>37</v>
      </c>
      <c r="P2" t="s">
        <v>38</v>
      </c>
      <c r="Q2" t="s">
        <v>39</v>
      </c>
      <c r="R2" t="s">
        <v>40</v>
      </c>
    </row>
    <row r="3" spans="1:18" x14ac:dyDescent="0.35">
      <c r="D3">
        <v>0.02</v>
      </c>
      <c r="E3">
        <f t="shared" ref="E3:E66" si="0">_xlfn.NORM.S.INV(D3)</f>
        <v>-2.0537489106318225</v>
      </c>
      <c r="F3">
        <f t="shared" ref="F3:F66" si="1">EXP(E3*$B$2+$B$1)/1000</f>
        <v>158.02599789757252</v>
      </c>
      <c r="H3">
        <v>0.3</v>
      </c>
      <c r="I3">
        <v>-0.52440051270804089</v>
      </c>
      <c r="J3">
        <f>F31</f>
        <v>387.16085169956153</v>
      </c>
      <c r="O3" t="s">
        <v>41</v>
      </c>
      <c r="P3">
        <v>1</v>
      </c>
      <c r="Q3" s="1">
        <f>J2</f>
        <v>248.44162025060172</v>
      </c>
      <c r="R3">
        <v>0.2</v>
      </c>
    </row>
    <row r="4" spans="1:18" x14ac:dyDescent="0.35">
      <c r="D4">
        <v>0.03</v>
      </c>
      <c r="E4">
        <f t="shared" si="0"/>
        <v>-1.8807936081512509</v>
      </c>
      <c r="F4">
        <f t="shared" si="1"/>
        <v>174.87966073985282</v>
      </c>
      <c r="H4">
        <v>0.5</v>
      </c>
      <c r="I4">
        <v>0</v>
      </c>
      <c r="J4">
        <f>F51</f>
        <v>526.41962541344435</v>
      </c>
      <c r="O4" t="s">
        <v>42</v>
      </c>
      <c r="P4">
        <v>2</v>
      </c>
      <c r="Q4" s="1">
        <f>J3</f>
        <v>387.16085169956153</v>
      </c>
      <c r="R4">
        <v>0.2</v>
      </c>
    </row>
    <row r="5" spans="1:18" x14ac:dyDescent="0.35">
      <c r="D5">
        <v>0.04</v>
      </c>
      <c r="E5">
        <f t="shared" si="0"/>
        <v>-1.7506860712521695</v>
      </c>
      <c r="F5">
        <f t="shared" si="1"/>
        <v>188.73258266488943</v>
      </c>
      <c r="H5">
        <v>0.7</v>
      </c>
      <c r="I5">
        <v>0.52440051270804078</v>
      </c>
      <c r="J5">
        <f>F71</f>
        <v>715.76870647932913</v>
      </c>
      <c r="O5" t="s">
        <v>43</v>
      </c>
      <c r="P5">
        <v>3</v>
      </c>
      <c r="Q5" s="1">
        <f>J4</f>
        <v>526.41962541344435</v>
      </c>
      <c r="R5">
        <v>0.2</v>
      </c>
    </row>
    <row r="6" spans="1:18" x14ac:dyDescent="0.35">
      <c r="D6">
        <v>0.05</v>
      </c>
      <c r="E6">
        <f t="shared" si="0"/>
        <v>-1.6448536269514726</v>
      </c>
      <c r="F6">
        <f t="shared" si="1"/>
        <v>200.80630549911319</v>
      </c>
      <c r="H6">
        <v>0.9</v>
      </c>
      <c r="I6">
        <v>1.2815515655446006</v>
      </c>
      <c r="J6">
        <f>F91</f>
        <v>1115.4235016697442</v>
      </c>
      <c r="O6" t="s">
        <v>44</v>
      </c>
      <c r="P6">
        <v>4</v>
      </c>
      <c r="Q6" s="1">
        <f>J5</f>
        <v>715.76870647932913</v>
      </c>
      <c r="R6">
        <v>0.2</v>
      </c>
    </row>
    <row r="7" spans="1:18" x14ac:dyDescent="0.35">
      <c r="D7">
        <v>0.06</v>
      </c>
      <c r="E7">
        <f t="shared" si="0"/>
        <v>-1.554773594596853</v>
      </c>
      <c r="F7">
        <f t="shared" si="1"/>
        <v>211.68954023340569</v>
      </c>
      <c r="O7" t="s">
        <v>45</v>
      </c>
      <c r="P7">
        <v>5</v>
      </c>
      <c r="Q7" s="1">
        <f>J6</f>
        <v>1115.4235016697442</v>
      </c>
      <c r="R7">
        <v>0.2</v>
      </c>
    </row>
    <row r="8" spans="1:18" x14ac:dyDescent="0.35">
      <c r="D8">
        <v>7.0000000000000007E-2</v>
      </c>
      <c r="E8">
        <f t="shared" si="0"/>
        <v>-1.4757910281791702</v>
      </c>
      <c r="F8">
        <f t="shared" si="1"/>
        <v>221.71626640727868</v>
      </c>
    </row>
    <row r="9" spans="1:18" x14ac:dyDescent="0.35">
      <c r="D9">
        <v>0.08</v>
      </c>
      <c r="E9">
        <f t="shared" si="0"/>
        <v>-1.4050715603096353</v>
      </c>
      <c r="F9">
        <f t="shared" si="1"/>
        <v>231.09633561711377</v>
      </c>
    </row>
    <row r="10" spans="1:18" x14ac:dyDescent="0.35">
      <c r="D10">
        <v>0.09</v>
      </c>
      <c r="E10">
        <f t="shared" si="0"/>
        <v>-1.3407550336902161</v>
      </c>
      <c r="F10">
        <f t="shared" si="1"/>
        <v>239.97126928801046</v>
      </c>
    </row>
    <row r="11" spans="1:18" x14ac:dyDescent="0.35">
      <c r="D11">
        <v>0.1</v>
      </c>
      <c r="E11">
        <f t="shared" si="0"/>
        <v>-1.2815515655446006</v>
      </c>
      <c r="F11" s="8">
        <f t="shared" si="1"/>
        <v>248.44162025060172</v>
      </c>
    </row>
    <row r="12" spans="1:18" x14ac:dyDescent="0.35">
      <c r="D12">
        <v>0.11</v>
      </c>
      <c r="E12">
        <f t="shared" si="0"/>
        <v>-1.2265281200366105</v>
      </c>
      <c r="F12">
        <f t="shared" si="1"/>
        <v>256.58176909179139</v>
      </c>
    </row>
    <row r="13" spans="1:18" x14ac:dyDescent="0.35">
      <c r="D13">
        <v>0.12</v>
      </c>
      <c r="E13">
        <f t="shared" si="0"/>
        <v>-1.1749867920660904</v>
      </c>
      <c r="F13">
        <f t="shared" si="1"/>
        <v>264.44853577395531</v>
      </c>
    </row>
    <row r="14" spans="1:18" x14ac:dyDescent="0.35">
      <c r="D14">
        <v>0.13</v>
      </c>
      <c r="E14">
        <f t="shared" si="0"/>
        <v>-1.1263911290388013</v>
      </c>
      <c r="F14">
        <f t="shared" si="1"/>
        <v>272.08648795511647</v>
      </c>
    </row>
    <row r="15" spans="1:18" x14ac:dyDescent="0.35">
      <c r="D15">
        <v>0.14000000000000001</v>
      </c>
      <c r="E15">
        <f t="shared" si="0"/>
        <v>-1.0803193408149565</v>
      </c>
      <c r="F15">
        <f t="shared" si="1"/>
        <v>279.53136791466454</v>
      </c>
    </row>
    <row r="16" spans="1:18" x14ac:dyDescent="0.35">
      <c r="D16">
        <v>0.15</v>
      </c>
      <c r="E16">
        <f t="shared" si="0"/>
        <v>-1.0364333894937898</v>
      </c>
      <c r="F16">
        <f t="shared" si="1"/>
        <v>286.81239075267825</v>
      </c>
    </row>
    <row r="17" spans="4:6" x14ac:dyDescent="0.35">
      <c r="D17">
        <v>0.16</v>
      </c>
      <c r="E17">
        <f t="shared" si="0"/>
        <v>-0.9944578832097497</v>
      </c>
      <c r="F17">
        <f t="shared" si="1"/>
        <v>293.95383567534509</v>
      </c>
    </row>
    <row r="18" spans="4:6" x14ac:dyDescent="0.35">
      <c r="D18">
        <v>0.17</v>
      </c>
      <c r="E18">
        <f t="shared" si="0"/>
        <v>-0.95416525314619549</v>
      </c>
      <c r="F18">
        <f t="shared" si="1"/>
        <v>300.97617823762084</v>
      </c>
    </row>
    <row r="19" spans="4:6" x14ac:dyDescent="0.35">
      <c r="D19">
        <v>0.18</v>
      </c>
      <c r="E19">
        <f t="shared" si="0"/>
        <v>-0.91536508784281501</v>
      </c>
      <c r="F19">
        <f t="shared" si="1"/>
        <v>307.89691515563572</v>
      </c>
    </row>
    <row r="20" spans="4:6" x14ac:dyDescent="0.35">
      <c r="D20">
        <v>0.19</v>
      </c>
      <c r="E20">
        <f t="shared" si="0"/>
        <v>-0.87789629505122846</v>
      </c>
      <c r="F20">
        <f t="shared" si="1"/>
        <v>314.7311776643752</v>
      </c>
    </row>
    <row r="21" spans="4:6" x14ac:dyDescent="0.35">
      <c r="D21">
        <v>0.2</v>
      </c>
      <c r="E21">
        <f t="shared" si="0"/>
        <v>-0.84162123357291452</v>
      </c>
      <c r="F21">
        <f t="shared" si="1"/>
        <v>321.49219601354986</v>
      </c>
    </row>
    <row r="22" spans="4:6" x14ac:dyDescent="0.35">
      <c r="D22">
        <v>0.21</v>
      </c>
      <c r="E22">
        <f t="shared" si="0"/>
        <v>-0.80642124701824058</v>
      </c>
      <c r="F22">
        <f t="shared" si="1"/>
        <v>328.19165700296861</v>
      </c>
    </row>
    <row r="23" spans="4:6" x14ac:dyDescent="0.35">
      <c r="D23">
        <v>0.22</v>
      </c>
      <c r="E23">
        <f t="shared" si="0"/>
        <v>-0.77219321418868503</v>
      </c>
      <c r="F23">
        <f t="shared" si="1"/>
        <v>334.83998326232137</v>
      </c>
    </row>
    <row r="24" spans="4:6" x14ac:dyDescent="0.35">
      <c r="D24">
        <v>0.23</v>
      </c>
      <c r="E24">
        <f t="shared" si="0"/>
        <v>-0.73884684918521393</v>
      </c>
      <c r="F24">
        <f t="shared" si="1"/>
        <v>341.44655434878337</v>
      </c>
    </row>
    <row r="25" spans="4:6" x14ac:dyDescent="0.35">
      <c r="D25">
        <v>0.24</v>
      </c>
      <c r="E25">
        <f t="shared" si="0"/>
        <v>-0.7063025628400873</v>
      </c>
      <c r="F25">
        <f t="shared" si="1"/>
        <v>348.01988396161983</v>
      </c>
    </row>
    <row r="26" spans="4:6" x14ac:dyDescent="0.35">
      <c r="D26">
        <v>0.25</v>
      </c>
      <c r="E26">
        <f t="shared" si="0"/>
        <v>-0.67448975019608193</v>
      </c>
      <c r="F26">
        <f t="shared" si="1"/>
        <v>354.56776363138255</v>
      </c>
    </row>
    <row r="27" spans="4:6" x14ac:dyDescent="0.35">
      <c r="D27">
        <v>0.26</v>
      </c>
      <c r="E27">
        <f t="shared" si="0"/>
        <v>-0.64334540539291696</v>
      </c>
      <c r="F27">
        <f t="shared" si="1"/>
        <v>361.09738050129619</v>
      </c>
    </row>
    <row r="28" spans="4:6" x14ac:dyDescent="0.35">
      <c r="D28">
        <v>0.27</v>
      </c>
      <c r="E28">
        <f t="shared" si="0"/>
        <v>-0.61281299101662734</v>
      </c>
      <c r="F28">
        <f t="shared" si="1"/>
        <v>367.61541488199748</v>
      </c>
    </row>
    <row r="29" spans="4:6" x14ac:dyDescent="0.35">
      <c r="D29">
        <v>0.28000000000000003</v>
      </c>
      <c r="E29">
        <f t="shared" si="0"/>
        <v>-0.58284150727121631</v>
      </c>
      <c r="F29">
        <f t="shared" si="1"/>
        <v>374.12812187172079</v>
      </c>
    </row>
    <row r="30" spans="4:6" x14ac:dyDescent="0.35">
      <c r="D30">
        <v>0.28999999999999998</v>
      </c>
      <c r="E30">
        <f t="shared" si="0"/>
        <v>-0.55338471955567303</v>
      </c>
      <c r="F30">
        <f t="shared" si="1"/>
        <v>380.64140032379356</v>
      </c>
    </row>
    <row r="31" spans="4:6" x14ac:dyDescent="0.35">
      <c r="D31">
        <v>0.3</v>
      </c>
      <c r="E31">
        <f t="shared" si="0"/>
        <v>-0.52440051270804089</v>
      </c>
      <c r="F31" s="8">
        <f t="shared" si="1"/>
        <v>387.16085169956153</v>
      </c>
    </row>
    <row r="32" spans="4:6" x14ac:dyDescent="0.35">
      <c r="D32">
        <v>0.31</v>
      </c>
      <c r="E32">
        <f t="shared" si="0"/>
        <v>-0.49585034734745354</v>
      </c>
      <c r="F32">
        <f t="shared" si="1"/>
        <v>393.6918307909653</v>
      </c>
    </row>
    <row r="33" spans="4:6" x14ac:dyDescent="0.35">
      <c r="D33">
        <v>0.32</v>
      </c>
      <c r="E33">
        <f t="shared" si="0"/>
        <v>-0.46769879911450829</v>
      </c>
      <c r="F33">
        <f t="shared" si="1"/>
        <v>400.2394898803505</v>
      </c>
    </row>
    <row r="34" spans="4:6" x14ac:dyDescent="0.35">
      <c r="D34">
        <v>0.33</v>
      </c>
      <c r="E34">
        <f t="shared" si="0"/>
        <v>-0.43991316567323374</v>
      </c>
      <c r="F34">
        <f t="shared" si="1"/>
        <v>406.80881758877166</v>
      </c>
    </row>
    <row r="35" spans="4:6" x14ac:dyDescent="0.35">
      <c r="D35">
        <v>0.34</v>
      </c>
      <c r="E35">
        <f t="shared" si="0"/>
        <v>-0.41246312944140484</v>
      </c>
      <c r="F35">
        <f t="shared" si="1"/>
        <v>413.40467342193898</v>
      </c>
    </row>
    <row r="36" spans="4:6" x14ac:dyDescent="0.35">
      <c r="D36">
        <v>0.35</v>
      </c>
      <c r="E36">
        <f t="shared" si="0"/>
        <v>-0.38532046640756784</v>
      </c>
      <c r="F36">
        <f t="shared" si="1"/>
        <v>420.03181883642009</v>
      </c>
    </row>
    <row r="37" spans="4:6" x14ac:dyDescent="0.35">
      <c r="D37">
        <v>0.36</v>
      </c>
      <c r="E37">
        <f t="shared" si="0"/>
        <v>-0.35845879325119384</v>
      </c>
      <c r="F37">
        <f t="shared" si="1"/>
        <v>426.69494550415789</v>
      </c>
    </row>
    <row r="38" spans="4:6" x14ac:dyDescent="0.35">
      <c r="D38">
        <v>0.37</v>
      </c>
      <c r="E38">
        <f t="shared" si="0"/>
        <v>-0.33185334643681658</v>
      </c>
      <c r="F38">
        <f t="shared" si="1"/>
        <v>433.39870134092206</v>
      </c>
    </row>
    <row r="39" spans="4:6" x14ac:dyDescent="0.35">
      <c r="D39">
        <v>0.38</v>
      </c>
      <c r="E39">
        <f t="shared" si="0"/>
        <v>-0.30548078809939727</v>
      </c>
      <c r="F39">
        <f t="shared" si="1"/>
        <v>440.14771477671457</v>
      </c>
    </row>
    <row r="40" spans="4:6" x14ac:dyDescent="0.35">
      <c r="D40">
        <v>0.39</v>
      </c>
      <c r="E40">
        <f t="shared" si="0"/>
        <v>-0.27931903444745415</v>
      </c>
      <c r="F40">
        <f t="shared" si="1"/>
        <v>446.94661767796384</v>
      </c>
    </row>
    <row r="41" spans="4:6" x14ac:dyDescent="0.35">
      <c r="D41">
        <v>0.4</v>
      </c>
      <c r="E41">
        <f t="shared" si="0"/>
        <v>-0.25334710313579978</v>
      </c>
      <c r="F41">
        <f t="shared" si="1"/>
        <v>453.80006727853043</v>
      </c>
    </row>
    <row r="42" spans="4:6" x14ac:dyDescent="0.35">
      <c r="D42">
        <v>0.41</v>
      </c>
      <c r="E42">
        <f t="shared" si="0"/>
        <v>-0.2275449766411495</v>
      </c>
      <c r="F42">
        <f t="shared" si="1"/>
        <v>460.71276743612657</v>
      </c>
    </row>
    <row r="43" spans="4:6" x14ac:dyDescent="0.35">
      <c r="D43">
        <v>0.42</v>
      </c>
      <c r="E43">
        <f t="shared" si="0"/>
        <v>-0.20189347914185088</v>
      </c>
      <c r="F43">
        <f t="shared" si="1"/>
        <v>467.68948950041749</v>
      </c>
    </row>
    <row r="44" spans="4:6" x14ac:dyDescent="0.35">
      <c r="D44">
        <v>0.43</v>
      </c>
      <c r="E44">
        <f t="shared" si="0"/>
        <v>-0.17637416478086138</v>
      </c>
      <c r="F44">
        <f t="shared" si="1"/>
        <v>474.73509305716908</v>
      </c>
    </row>
    <row r="45" spans="4:6" x14ac:dyDescent="0.35">
      <c r="D45">
        <v>0.44</v>
      </c>
      <c r="E45">
        <f t="shared" si="0"/>
        <v>-0.15096921549677725</v>
      </c>
      <c r="F45">
        <f t="shared" si="1"/>
        <v>481.85454679811414</v>
      </c>
    </row>
    <row r="46" spans="4:6" x14ac:dyDescent="0.35">
      <c r="D46">
        <v>0.45</v>
      </c>
      <c r="E46">
        <f t="shared" si="0"/>
        <v>-0.12566134685507402</v>
      </c>
      <c r="F46">
        <f t="shared" si="1"/>
        <v>489.05294975779282</v>
      </c>
    </row>
    <row r="47" spans="4:6" x14ac:dyDescent="0.35">
      <c r="D47">
        <v>0.46</v>
      </c>
      <c r="E47">
        <f t="shared" si="0"/>
        <v>-0.10043372051146976</v>
      </c>
      <c r="F47">
        <f t="shared" si="1"/>
        <v>496.33555315596391</v>
      </c>
    </row>
    <row r="48" spans="4:6" x14ac:dyDescent="0.35">
      <c r="D48">
        <v>0.47</v>
      </c>
      <c r="E48">
        <f t="shared" si="0"/>
        <v>-7.5269862099829901E-2</v>
      </c>
      <c r="F48">
        <f t="shared" si="1"/>
        <v>503.70778308684976</v>
      </c>
    </row>
    <row r="49" spans="4:6" x14ac:dyDescent="0.35">
      <c r="D49">
        <v>0.48</v>
      </c>
      <c r="E49">
        <f t="shared" si="0"/>
        <v>-5.0153583464733656E-2</v>
      </c>
      <c r="F49">
        <f t="shared" si="1"/>
        <v>511.17526430435953</v>
      </c>
    </row>
    <row r="50" spans="4:6" x14ac:dyDescent="0.35">
      <c r="D50">
        <v>0.49</v>
      </c>
      <c r="E50">
        <f t="shared" si="0"/>
        <v>-2.506890825871106E-2</v>
      </c>
      <c r="F50">
        <f t="shared" si="1"/>
        <v>518.74384536558136</v>
      </c>
    </row>
    <row r="51" spans="4:6" x14ac:dyDescent="0.35">
      <c r="D51">
        <v>0.5</v>
      </c>
      <c r="E51">
        <f t="shared" si="0"/>
        <v>0</v>
      </c>
      <c r="F51" s="8">
        <f t="shared" si="1"/>
        <v>526.41962541344435</v>
      </c>
    </row>
    <row r="52" spans="4:6" x14ac:dyDescent="0.35">
      <c r="D52">
        <v>0.51</v>
      </c>
      <c r="E52">
        <f t="shared" si="0"/>
        <v>2.506890825871106E-2</v>
      </c>
      <c r="F52">
        <f t="shared" si="1"/>
        <v>534.20898290394985</v>
      </c>
    </row>
    <row r="53" spans="4:6" x14ac:dyDescent="0.35">
      <c r="D53">
        <v>0.52</v>
      </c>
      <c r="E53">
        <f t="shared" si="0"/>
        <v>5.0153583464733656E-2</v>
      </c>
      <c r="F53">
        <f t="shared" si="1"/>
        <v>542.11860661440789</v>
      </c>
    </row>
    <row r="54" spans="4:6" x14ac:dyDescent="0.35">
      <c r="D54">
        <v>0.53</v>
      </c>
      <c r="E54">
        <f t="shared" si="0"/>
        <v>7.5269862099829901E-2</v>
      </c>
      <c r="F54">
        <f t="shared" si="1"/>
        <v>550.15552930745582</v>
      </c>
    </row>
    <row r="55" spans="4:6" x14ac:dyDescent="0.35">
      <c r="D55">
        <v>0.54</v>
      </c>
      <c r="E55">
        <f t="shared" si="0"/>
        <v>0.10043372051146988</v>
      </c>
      <c r="F55">
        <f t="shared" si="1"/>
        <v>558.32716447244343</v>
      </c>
    </row>
    <row r="56" spans="4:6" x14ac:dyDescent="0.35">
      <c r="D56">
        <v>0.55000000000000004</v>
      </c>
      <c r="E56">
        <f t="shared" si="0"/>
        <v>0.12566134685507416</v>
      </c>
      <c r="F56">
        <f t="shared" si="1"/>
        <v>566.6413466224376</v>
      </c>
    </row>
    <row r="57" spans="4:6" x14ac:dyDescent="0.35">
      <c r="D57">
        <v>0.56000000000000005</v>
      </c>
      <c r="E57">
        <f t="shared" si="0"/>
        <v>0.15096921549677741</v>
      </c>
      <c r="F57">
        <f t="shared" si="1"/>
        <v>575.10637569336222</v>
      </c>
    </row>
    <row r="58" spans="4:6" x14ac:dyDescent="0.35">
      <c r="D58">
        <v>0.56999999999999995</v>
      </c>
      <c r="E58">
        <f t="shared" si="0"/>
        <v>0.17637416478086121</v>
      </c>
      <c r="F58">
        <f t="shared" si="1"/>
        <v>583.73106617390863</v>
      </c>
    </row>
    <row r="59" spans="4:6" x14ac:dyDescent="0.35">
      <c r="D59">
        <v>0.57999999999999996</v>
      </c>
      <c r="E59">
        <f t="shared" si="0"/>
        <v>0.20189347914185077</v>
      </c>
      <c r="F59">
        <f t="shared" si="1"/>
        <v>592.52480169363241</v>
      </c>
    </row>
    <row r="60" spans="4:6" x14ac:dyDescent="0.35">
      <c r="D60">
        <v>0.59</v>
      </c>
      <c r="E60">
        <f t="shared" si="0"/>
        <v>0.22754497664114934</v>
      </c>
      <c r="F60">
        <f t="shared" si="1"/>
        <v>601.4975959155521</v>
      </c>
    </row>
    <row r="61" spans="4:6" x14ac:dyDescent="0.35">
      <c r="D61">
        <v>0.6</v>
      </c>
      <c r="E61">
        <f t="shared" si="0"/>
        <v>0.25334710313579978</v>
      </c>
      <c r="F61">
        <f t="shared" si="1"/>
        <v>610.66016072303398</v>
      </c>
    </row>
    <row r="62" spans="4:6" x14ac:dyDescent="0.35">
      <c r="D62">
        <v>0.61</v>
      </c>
      <c r="E62">
        <f t="shared" si="0"/>
        <v>0.27931903444745415</v>
      </c>
      <c r="F62">
        <f t="shared" si="1"/>
        <v>620.02398286432754</v>
      </c>
    </row>
    <row r="63" spans="4:6" x14ac:dyDescent="0.35">
      <c r="D63">
        <v>0.62</v>
      </c>
      <c r="E63">
        <f t="shared" si="0"/>
        <v>0.30548078809939727</v>
      </c>
      <c r="F63">
        <f t="shared" si="1"/>
        <v>629.60141042879627</v>
      </c>
    </row>
    <row r="64" spans="4:6" x14ac:dyDescent="0.35">
      <c r="D64">
        <v>0.63</v>
      </c>
      <c r="E64">
        <f t="shared" si="0"/>
        <v>0.33185334643681658</v>
      </c>
      <c r="F64">
        <f t="shared" si="1"/>
        <v>639.40575078568031</v>
      </c>
    </row>
    <row r="65" spans="4:6" x14ac:dyDescent="0.35">
      <c r="D65">
        <v>0.64</v>
      </c>
      <c r="E65">
        <f t="shared" si="0"/>
        <v>0.35845879325119384</v>
      </c>
      <c r="F65">
        <f t="shared" si="1"/>
        <v>649.45138193049127</v>
      </c>
    </row>
    <row r="66" spans="4:6" x14ac:dyDescent="0.35">
      <c r="D66">
        <v>0.65</v>
      </c>
      <c r="E66">
        <f t="shared" si="0"/>
        <v>0.38532046640756784</v>
      </c>
      <c r="F66">
        <f t="shared" si="1"/>
        <v>659.75387957061776</v>
      </c>
    </row>
    <row r="67" spans="4:6" x14ac:dyDescent="0.35">
      <c r="D67">
        <v>0.66</v>
      </c>
      <c r="E67">
        <f t="shared" ref="E67:E100" si="2">_xlfn.NORM.S.INV(D67)</f>
        <v>0.41246312944140473</v>
      </c>
      <c r="F67">
        <f t="shared" ref="F67:F100" si="3">EXP(E67*$B$2+$B$1)/1000</f>
        <v>670.33016275941475</v>
      </c>
    </row>
    <row r="68" spans="4:6" x14ac:dyDescent="0.35">
      <c r="D68">
        <v>0.67</v>
      </c>
      <c r="E68">
        <f t="shared" si="2"/>
        <v>0.43991316567323396</v>
      </c>
      <c r="F68">
        <f t="shared" si="3"/>
        <v>681.1986614817165</v>
      </c>
    </row>
    <row r="69" spans="4:6" x14ac:dyDescent="0.35">
      <c r="D69">
        <v>0.68</v>
      </c>
      <c r="E69">
        <f t="shared" si="2"/>
        <v>0.46769879911450835</v>
      </c>
      <c r="F69">
        <f t="shared" si="3"/>
        <v>692.37951033585887</v>
      </c>
    </row>
    <row r="70" spans="4:6" x14ac:dyDescent="0.35">
      <c r="D70">
        <v>0.69</v>
      </c>
      <c r="E70">
        <f t="shared" si="2"/>
        <v>0.49585034734745331</v>
      </c>
      <c r="F70">
        <f t="shared" si="3"/>
        <v>703.89477339083896</v>
      </c>
    </row>
    <row r="71" spans="4:6" x14ac:dyDescent="0.35">
      <c r="D71">
        <v>0.7</v>
      </c>
      <c r="E71">
        <f t="shared" si="2"/>
        <v>0.52440051270804078</v>
      </c>
      <c r="F71" s="8">
        <f t="shared" si="3"/>
        <v>715.76870647932913</v>
      </c>
    </row>
    <row r="72" spans="4:6" x14ac:dyDescent="0.35">
      <c r="D72">
        <v>0.71</v>
      </c>
      <c r="E72">
        <f t="shared" si="2"/>
        <v>0.5533847195556727</v>
      </c>
      <c r="F72">
        <f t="shared" si="3"/>
        <v>728.02806469475001</v>
      </c>
    </row>
    <row r="73" spans="4:6" x14ac:dyDescent="0.35">
      <c r="D73">
        <v>0.72</v>
      </c>
      <c r="E73">
        <f t="shared" si="2"/>
        <v>0.58284150727121631</v>
      </c>
      <c r="F73">
        <f t="shared" si="3"/>
        <v>740.70246479746777</v>
      </c>
    </row>
    <row r="74" spans="4:6" x14ac:dyDescent="0.35">
      <c r="D74">
        <v>0.73</v>
      </c>
      <c r="E74">
        <f t="shared" si="2"/>
        <v>0.61281299101662734</v>
      </c>
      <c r="F74">
        <f t="shared" si="3"/>
        <v>753.82481474391989</v>
      </c>
    </row>
    <row r="75" spans="4:6" x14ac:dyDescent="0.35">
      <c r="D75">
        <v>0.74</v>
      </c>
      <c r="E75">
        <f t="shared" si="2"/>
        <v>0.64334540539291696</v>
      </c>
      <c r="F75">
        <f t="shared" si="3"/>
        <v>767.43182582969825</v>
      </c>
    </row>
    <row r="76" spans="4:6" x14ac:dyDescent="0.35">
      <c r="D76">
        <v>0.75</v>
      </c>
      <c r="E76">
        <f t="shared" si="2"/>
        <v>0.67448975019608193</v>
      </c>
      <c r="F76">
        <f t="shared" si="3"/>
        <v>781.56462725847075</v>
      </c>
    </row>
    <row r="77" spans="4:6" x14ac:dyDescent="0.35">
      <c r="D77">
        <v>0.76</v>
      </c>
      <c r="E77">
        <f t="shared" si="2"/>
        <v>0.7063025628400873</v>
      </c>
      <c r="F77">
        <f t="shared" si="3"/>
        <v>796.26950870138205</v>
      </c>
    </row>
    <row r="78" spans="4:6" x14ac:dyDescent="0.35">
      <c r="D78">
        <v>0.77</v>
      </c>
      <c r="E78">
        <f t="shared" si="2"/>
        <v>0.73884684918521393</v>
      </c>
      <c r="F78">
        <f t="shared" si="3"/>
        <v>811.59882415260472</v>
      </c>
    </row>
    <row r="79" spans="4:6" x14ac:dyDescent="0.35">
      <c r="D79">
        <v>0.78</v>
      </c>
      <c r="E79">
        <f t="shared" si="2"/>
        <v>0.77219321418868503</v>
      </c>
      <c r="F79">
        <f t="shared" si="3"/>
        <v>827.61210092204158</v>
      </c>
    </row>
    <row r="80" spans="4:6" x14ac:dyDescent="0.35">
      <c r="D80">
        <v>0.79</v>
      </c>
      <c r="E80">
        <f t="shared" si="2"/>
        <v>0.80642124701824058</v>
      </c>
      <c r="F80">
        <f t="shared" si="3"/>
        <v>844.37741212271101</v>
      </c>
    </row>
    <row r="81" spans="4:6" x14ac:dyDescent="0.35">
      <c r="D81">
        <v>0.8</v>
      </c>
      <c r="E81">
        <f t="shared" si="2"/>
        <v>0.84162123357291474</v>
      </c>
      <c r="F81">
        <f t="shared" si="3"/>
        <v>861.97309128073334</v>
      </c>
    </row>
    <row r="82" spans="4:6" x14ac:dyDescent="0.35">
      <c r="D82">
        <v>0.81</v>
      </c>
      <c r="E82">
        <f t="shared" si="2"/>
        <v>0.87789629505122857</v>
      </c>
      <c r="F82">
        <f t="shared" si="3"/>
        <v>880.48989641549031</v>
      </c>
    </row>
    <row r="83" spans="4:6" x14ac:dyDescent="0.35">
      <c r="D83">
        <v>0.82</v>
      </c>
      <c r="E83">
        <f t="shared" si="2"/>
        <v>0.91536508784281256</v>
      </c>
      <c r="F83">
        <f t="shared" si="3"/>
        <v>900.03377227846897</v>
      </c>
    </row>
    <row r="84" spans="4:6" x14ac:dyDescent="0.35">
      <c r="D84">
        <v>0.83</v>
      </c>
      <c r="E84">
        <f t="shared" si="2"/>
        <v>0.95416525314619549</v>
      </c>
      <c r="F84">
        <f t="shared" si="3"/>
        <v>920.72941999298871</v>
      </c>
    </row>
    <row r="85" spans="4:6" x14ac:dyDescent="0.35">
      <c r="D85">
        <v>0.84</v>
      </c>
      <c r="E85">
        <f t="shared" si="2"/>
        <v>0.9944578832097497</v>
      </c>
      <c r="F85">
        <f t="shared" si="3"/>
        <v>942.72497374890963</v>
      </c>
    </row>
    <row r="86" spans="4:6" x14ac:dyDescent="0.35">
      <c r="D86">
        <v>0.85</v>
      </c>
      <c r="E86">
        <f t="shared" si="2"/>
        <v>1.0364333894937898</v>
      </c>
      <c r="F86">
        <f t="shared" si="3"/>
        <v>966.19822209631411</v>
      </c>
    </row>
    <row r="87" spans="4:6" x14ac:dyDescent="0.35">
      <c r="D87">
        <v>0.86</v>
      </c>
      <c r="E87">
        <f t="shared" si="2"/>
        <v>1.0803193408149565</v>
      </c>
      <c r="F87">
        <f t="shared" si="3"/>
        <v>991.36502671510414</v>
      </c>
    </row>
    <row r="88" spans="4:6" x14ac:dyDescent="0.35">
      <c r="D88">
        <v>0.87</v>
      </c>
      <c r="E88">
        <f t="shared" si="2"/>
        <v>1.1263911290388013</v>
      </c>
      <c r="F88">
        <f t="shared" si="3"/>
        <v>1018.4909368455831</v>
      </c>
    </row>
    <row r="89" spans="4:6" x14ac:dyDescent="0.35">
      <c r="D89">
        <v>0.88</v>
      </c>
      <c r="E89">
        <f t="shared" si="2"/>
        <v>1.1749867920660904</v>
      </c>
      <c r="F89">
        <f t="shared" si="3"/>
        <v>1047.9075681375866</v>
      </c>
    </row>
    <row r="90" spans="4:6" x14ac:dyDescent="0.35">
      <c r="D90">
        <v>0.89</v>
      </c>
      <c r="E90">
        <f t="shared" si="2"/>
        <v>1.2265281200366105</v>
      </c>
      <c r="F90">
        <f t="shared" si="3"/>
        <v>1080.0362901905669</v>
      </c>
    </row>
    <row r="91" spans="4:6" x14ac:dyDescent="0.35">
      <c r="D91">
        <v>0.9</v>
      </c>
      <c r="E91">
        <f t="shared" si="2"/>
        <v>1.2815515655446006</v>
      </c>
      <c r="F91" s="8">
        <f t="shared" si="3"/>
        <v>1115.4235016697442</v>
      </c>
    </row>
    <row r="92" spans="4:6" x14ac:dyDescent="0.35">
      <c r="D92">
        <v>0.91</v>
      </c>
      <c r="E92">
        <f t="shared" si="2"/>
        <v>1.3407550336902161</v>
      </c>
      <c r="F92">
        <f t="shared" si="3"/>
        <v>1154.7950004291472</v>
      </c>
    </row>
    <row r="93" spans="4:6" x14ac:dyDescent="0.35">
      <c r="D93">
        <v>0.92</v>
      </c>
      <c r="E93">
        <f t="shared" si="2"/>
        <v>1.4050715603096329</v>
      </c>
      <c r="F93">
        <f t="shared" si="3"/>
        <v>1199.1432978823429</v>
      </c>
    </row>
    <row r="94" spans="4:6" x14ac:dyDescent="0.35">
      <c r="D94">
        <v>0.93</v>
      </c>
      <c r="E94">
        <f t="shared" si="2"/>
        <v>1.4757910281791713</v>
      </c>
      <c r="F94">
        <f t="shared" si="3"/>
        <v>1249.8750159872509</v>
      </c>
    </row>
    <row r="95" spans="4:6" x14ac:dyDescent="0.35">
      <c r="D95">
        <v>0.94</v>
      </c>
      <c r="E95">
        <f t="shared" si="2"/>
        <v>1.5547735945968528</v>
      </c>
      <c r="F95">
        <f t="shared" si="3"/>
        <v>1309.0756478326011</v>
      </c>
    </row>
    <row r="96" spans="4:6" x14ac:dyDescent="0.35">
      <c r="D96">
        <v>0.95</v>
      </c>
      <c r="E96">
        <f t="shared" si="2"/>
        <v>1.6448536269514715</v>
      </c>
      <c r="F96">
        <f t="shared" si="3"/>
        <v>1380.0245033722549</v>
      </c>
    </row>
    <row r="97" spans="4:6" x14ac:dyDescent="0.35">
      <c r="D97">
        <v>0.96</v>
      </c>
      <c r="E97">
        <f t="shared" si="2"/>
        <v>1.7506860712521695</v>
      </c>
      <c r="F97">
        <f t="shared" si="3"/>
        <v>1468.30832338302</v>
      </c>
    </row>
    <row r="98" spans="4:6" x14ac:dyDescent="0.35">
      <c r="D98">
        <v>0.97</v>
      </c>
      <c r="E98">
        <f t="shared" si="2"/>
        <v>1.8807936081512504</v>
      </c>
      <c r="F98">
        <f t="shared" si="3"/>
        <v>1584.6189365192397</v>
      </c>
    </row>
    <row r="99" spans="4:6" x14ac:dyDescent="0.35">
      <c r="D99">
        <v>0.98</v>
      </c>
      <c r="E99">
        <f t="shared" si="2"/>
        <v>2.0537489106318221</v>
      </c>
      <c r="F99">
        <f t="shared" si="3"/>
        <v>1753.6204530095736</v>
      </c>
    </row>
    <row r="100" spans="4:6" x14ac:dyDescent="0.35">
      <c r="D100">
        <v>0.99</v>
      </c>
      <c r="E100">
        <f t="shared" si="2"/>
        <v>2.3263478740408408</v>
      </c>
      <c r="F100">
        <f t="shared" si="3"/>
        <v>2057.3207581137908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23A9-94CF-4B30-B3FE-EEDF9E069F05}">
  <dimension ref="A1:L24"/>
  <sheetViews>
    <sheetView workbookViewId="0">
      <selection activeCell="G33" sqref="G33"/>
    </sheetView>
  </sheetViews>
  <sheetFormatPr defaultRowHeight="14.5" x14ac:dyDescent="0.35"/>
  <cols>
    <col min="1" max="16384" width="8.7265625" style="3"/>
  </cols>
  <sheetData>
    <row r="1" spans="1:12" x14ac:dyDescent="0.35">
      <c r="C1" s="3" t="s">
        <v>8</v>
      </c>
      <c r="D1" s="3" t="s">
        <v>0</v>
      </c>
      <c r="E1" s="4" t="s">
        <v>1</v>
      </c>
      <c r="F1" s="4" t="s">
        <v>2</v>
      </c>
      <c r="G1" s="4" t="s">
        <v>5</v>
      </c>
      <c r="H1" s="4" t="s">
        <v>6</v>
      </c>
      <c r="I1" s="4" t="s">
        <v>7</v>
      </c>
      <c r="J1" s="4" t="s">
        <v>3</v>
      </c>
      <c r="K1" s="4" t="s">
        <v>4</v>
      </c>
      <c r="L1" s="4" t="s">
        <v>12</v>
      </c>
    </row>
    <row r="2" spans="1:12" x14ac:dyDescent="0.35">
      <c r="A2" s="46" t="s">
        <v>16</v>
      </c>
      <c r="B2" s="2">
        <v>1</v>
      </c>
      <c r="C2" s="46">
        <v>1708.28</v>
      </c>
      <c r="D2" s="3">
        <v>122276</v>
      </c>
      <c r="E2" s="5">
        <v>51837.904315583262</v>
      </c>
      <c r="F2" s="5">
        <v>0</v>
      </c>
      <c r="G2" s="5">
        <v>500118.47650981141</v>
      </c>
      <c r="H2" s="3">
        <f t="shared" ref="H2:H6" si="0">D2*4.07</f>
        <v>497663.32</v>
      </c>
      <c r="I2" s="3">
        <f t="shared" ref="I2:I6" si="1">E2*4.84</f>
        <v>250895.45688742297</v>
      </c>
      <c r="J2" s="3">
        <v>248441.62029560001</v>
      </c>
      <c r="K2" s="3">
        <f t="shared" ref="K2:K6" si="2">J2+G2</f>
        <v>748560.09680541139</v>
      </c>
      <c r="L2" s="3">
        <f t="shared" ref="L2:L6" si="3">F2*15</f>
        <v>0</v>
      </c>
    </row>
    <row r="3" spans="1:12" x14ac:dyDescent="0.35">
      <c r="A3" s="46"/>
      <c r="B3" s="2">
        <v>2</v>
      </c>
      <c r="C3" s="46"/>
      <c r="D3" s="3">
        <v>122276</v>
      </c>
      <c r="E3" s="5">
        <v>51837.904315583262</v>
      </c>
      <c r="F3" s="5">
        <v>0</v>
      </c>
      <c r="G3" s="5">
        <v>361399.24510586145</v>
      </c>
      <c r="H3" s="3">
        <f t="shared" si="0"/>
        <v>497663.32</v>
      </c>
      <c r="I3" s="3">
        <f t="shared" si="1"/>
        <v>250895.45688742297</v>
      </c>
      <c r="J3" s="3">
        <v>387160.85169954994</v>
      </c>
      <c r="K3" s="3">
        <f t="shared" si="2"/>
        <v>748560.09680541139</v>
      </c>
      <c r="L3" s="3">
        <f t="shared" si="3"/>
        <v>0</v>
      </c>
    </row>
    <row r="4" spans="1:12" x14ac:dyDescent="0.35">
      <c r="A4" s="46"/>
      <c r="B4" s="2">
        <v>3</v>
      </c>
      <c r="C4" s="46"/>
      <c r="D4" s="3">
        <v>122276</v>
      </c>
      <c r="E4" s="5">
        <v>51837.904315583262</v>
      </c>
      <c r="F4" s="5">
        <v>0</v>
      </c>
      <c r="G4" s="5">
        <v>222140.47139196144</v>
      </c>
      <c r="H4" s="3">
        <f t="shared" si="0"/>
        <v>497663.32</v>
      </c>
      <c r="I4" s="3">
        <f t="shared" si="1"/>
        <v>250895.45688742297</v>
      </c>
      <c r="J4" s="3">
        <v>526419.62541344995</v>
      </c>
      <c r="K4" s="3">
        <f t="shared" si="2"/>
        <v>748560.09680541139</v>
      </c>
      <c r="L4" s="3">
        <f t="shared" si="3"/>
        <v>0</v>
      </c>
    </row>
    <row r="5" spans="1:12" x14ac:dyDescent="0.35">
      <c r="A5" s="46"/>
      <c r="B5" s="2">
        <v>4</v>
      </c>
      <c r="C5" s="46"/>
      <c r="D5" s="3">
        <v>122276</v>
      </c>
      <c r="E5" s="5">
        <v>51837.904315583262</v>
      </c>
      <c r="F5" s="5">
        <v>0</v>
      </c>
      <c r="G5" s="5">
        <v>32791.390326061308</v>
      </c>
      <c r="H5" s="3">
        <f t="shared" si="0"/>
        <v>497663.32</v>
      </c>
      <c r="I5" s="3">
        <f t="shared" si="1"/>
        <v>250895.45688742297</v>
      </c>
      <c r="J5" s="3">
        <v>715768.7064793501</v>
      </c>
      <c r="K5" s="3">
        <f t="shared" si="2"/>
        <v>748560.09680541139</v>
      </c>
      <c r="L5" s="3">
        <f t="shared" si="3"/>
        <v>0</v>
      </c>
    </row>
    <row r="6" spans="1:12" x14ac:dyDescent="0.35">
      <c r="A6" s="46"/>
      <c r="B6" s="2">
        <v>5</v>
      </c>
      <c r="C6" s="46"/>
      <c r="D6" s="3">
        <v>122276</v>
      </c>
      <c r="E6" s="5">
        <v>127636.12846110777</v>
      </c>
      <c r="F6" s="5">
        <v>0</v>
      </c>
      <c r="G6" s="5">
        <v>0</v>
      </c>
      <c r="H6" s="3">
        <f t="shared" si="0"/>
        <v>497663.32</v>
      </c>
      <c r="I6" s="3">
        <f t="shared" si="1"/>
        <v>617758.86175176164</v>
      </c>
      <c r="J6" s="3">
        <v>1115423.5016697501</v>
      </c>
      <c r="K6" s="3">
        <f t="shared" si="2"/>
        <v>1115423.5016697501</v>
      </c>
      <c r="L6" s="3">
        <f t="shared" si="3"/>
        <v>0</v>
      </c>
    </row>
    <row r="7" spans="1:12" x14ac:dyDescent="0.35">
      <c r="E7" s="4"/>
      <c r="F7" s="4"/>
      <c r="G7" s="4"/>
      <c r="J7" s="4"/>
    </row>
    <row r="8" spans="1:12" x14ac:dyDescent="0.35">
      <c r="A8" s="45" t="s">
        <v>13</v>
      </c>
      <c r="B8" s="2">
        <v>1</v>
      </c>
      <c r="C8" s="45">
        <v>1663.21</v>
      </c>
      <c r="D8" s="2">
        <v>116283</v>
      </c>
      <c r="E8" s="5">
        <v>18624.329985469765</v>
      </c>
      <c r="F8" s="5">
        <v>0</v>
      </c>
      <c r="G8" s="5">
        <v>314970.50857928832</v>
      </c>
      <c r="H8" s="3">
        <f>D8*4.07</f>
        <v>473271.81000000006</v>
      </c>
      <c r="I8" s="3">
        <f>E8*4.84</f>
        <v>90141.757129673657</v>
      </c>
      <c r="J8" s="3">
        <v>248441.62029560001</v>
      </c>
      <c r="K8" s="3">
        <f>J8+G8</f>
        <v>563412.12887488829</v>
      </c>
      <c r="L8" s="3">
        <f>F8*15</f>
        <v>0</v>
      </c>
    </row>
    <row r="9" spans="1:12" x14ac:dyDescent="0.35">
      <c r="A9" s="45"/>
      <c r="B9" s="2">
        <v>2</v>
      </c>
      <c r="C9" s="45"/>
      <c r="D9" s="2">
        <v>116283</v>
      </c>
      <c r="E9" s="5">
        <v>18624.329985469743</v>
      </c>
      <c r="F9" s="5">
        <v>0</v>
      </c>
      <c r="G9" s="5">
        <v>176251.27717533818</v>
      </c>
      <c r="H9" s="3">
        <f t="shared" ref="H9:H24" si="4">D9*4.07</f>
        <v>473271.81000000006</v>
      </c>
      <c r="I9" s="3">
        <f t="shared" ref="I9:I24" si="5">E9*4.84</f>
        <v>90141.757129673555</v>
      </c>
      <c r="J9" s="3">
        <v>387160.85169954994</v>
      </c>
      <c r="K9" s="3">
        <f t="shared" ref="K9:K24" si="6">J9+G9</f>
        <v>563412.12887488818</v>
      </c>
      <c r="L9" s="3">
        <f t="shared" ref="L9:L24" si="7">F9*15</f>
        <v>0</v>
      </c>
    </row>
    <row r="10" spans="1:12" x14ac:dyDescent="0.35">
      <c r="A10" s="45"/>
      <c r="B10" s="2">
        <v>3</v>
      </c>
      <c r="C10" s="45"/>
      <c r="D10" s="2">
        <v>116283</v>
      </c>
      <c r="E10" s="5">
        <v>18624.329985469714</v>
      </c>
      <c r="F10" s="5">
        <v>0</v>
      </c>
      <c r="G10" s="5">
        <v>36992.503461438122</v>
      </c>
      <c r="H10" s="3">
        <f t="shared" si="4"/>
        <v>473271.81000000006</v>
      </c>
      <c r="I10" s="3">
        <f t="shared" si="5"/>
        <v>90141.75712967341</v>
      </c>
      <c r="J10" s="3">
        <v>526419.62541344995</v>
      </c>
      <c r="K10" s="3">
        <f t="shared" si="6"/>
        <v>563412.12887488806</v>
      </c>
      <c r="L10" s="3">
        <f t="shared" si="7"/>
        <v>0</v>
      </c>
    </row>
    <row r="11" spans="1:12" x14ac:dyDescent="0.35">
      <c r="A11" s="45"/>
      <c r="B11" s="2">
        <v>4</v>
      </c>
      <c r="C11" s="45"/>
      <c r="D11" s="2">
        <v>116283</v>
      </c>
      <c r="E11" s="5">
        <v>50102.961721928819</v>
      </c>
      <c r="F11" s="5">
        <v>0</v>
      </c>
      <c r="G11" s="5">
        <v>0</v>
      </c>
      <c r="H11" s="3">
        <f t="shared" si="4"/>
        <v>473271.81000000006</v>
      </c>
      <c r="I11" s="3">
        <f t="shared" si="5"/>
        <v>242498.33473413548</v>
      </c>
      <c r="J11" s="3">
        <v>715768.7064793501</v>
      </c>
      <c r="K11" s="3">
        <f t="shared" si="6"/>
        <v>715768.7064793501</v>
      </c>
      <c r="L11" s="3">
        <f t="shared" si="7"/>
        <v>0</v>
      </c>
    </row>
    <row r="12" spans="1:12" x14ac:dyDescent="0.35">
      <c r="A12" s="45"/>
      <c r="B12" s="2">
        <v>5</v>
      </c>
      <c r="C12" s="45"/>
      <c r="D12" s="2">
        <v>116283</v>
      </c>
      <c r="E12" s="5">
        <v>132676.26651333377</v>
      </c>
      <c r="F12" s="5">
        <v>0</v>
      </c>
      <c r="G12" s="5">
        <v>0</v>
      </c>
      <c r="H12" s="3">
        <f t="shared" si="4"/>
        <v>473271.81000000006</v>
      </c>
      <c r="I12" s="3">
        <f t="shared" si="5"/>
        <v>642153.1299245354</v>
      </c>
      <c r="J12" s="3">
        <v>1115423.5016697501</v>
      </c>
      <c r="K12" s="3">
        <f t="shared" si="6"/>
        <v>1115423.5016697501</v>
      </c>
      <c r="L12" s="3">
        <f t="shared" si="7"/>
        <v>0</v>
      </c>
    </row>
    <row r="14" spans="1:12" x14ac:dyDescent="0.35">
      <c r="A14" s="45" t="s">
        <v>14</v>
      </c>
      <c r="B14" s="2">
        <v>1</v>
      </c>
      <c r="C14" s="45">
        <v>1589.12</v>
      </c>
      <c r="D14" s="3">
        <v>106478</v>
      </c>
      <c r="E14" s="5">
        <v>4.7293724492192268E-11</v>
      </c>
      <c r="F14" s="5">
        <v>0</v>
      </c>
      <c r="G14" s="5">
        <v>184922.98446099166</v>
      </c>
      <c r="H14" s="3">
        <f t="shared" si="4"/>
        <v>433365.46</v>
      </c>
      <c r="I14" s="3">
        <f t="shared" si="5"/>
        <v>2.2890162654221059E-10</v>
      </c>
      <c r="J14" s="3">
        <v>248441.62029559998</v>
      </c>
      <c r="K14" s="3">
        <f t="shared" si="6"/>
        <v>433364.60475659161</v>
      </c>
      <c r="L14" s="3">
        <f t="shared" si="7"/>
        <v>0</v>
      </c>
    </row>
    <row r="15" spans="1:12" x14ac:dyDescent="0.35">
      <c r="A15" s="45"/>
      <c r="B15" s="2">
        <v>2</v>
      </c>
      <c r="C15" s="45"/>
      <c r="D15" s="3">
        <v>106478</v>
      </c>
      <c r="E15" s="5">
        <v>0</v>
      </c>
      <c r="F15" s="5">
        <v>0</v>
      </c>
      <c r="G15" s="5">
        <v>46203.753057041475</v>
      </c>
      <c r="H15" s="3">
        <f t="shared" si="4"/>
        <v>433365.46</v>
      </c>
      <c r="I15" s="3">
        <f t="shared" si="5"/>
        <v>0</v>
      </c>
      <c r="J15" s="3">
        <v>387160.85169954994</v>
      </c>
      <c r="K15" s="3">
        <f t="shared" si="6"/>
        <v>433364.60475659143</v>
      </c>
      <c r="L15" s="3">
        <f t="shared" si="7"/>
        <v>0</v>
      </c>
    </row>
    <row r="16" spans="1:12" x14ac:dyDescent="0.35">
      <c r="A16" s="45"/>
      <c r="B16" s="2">
        <v>3</v>
      </c>
      <c r="C16" s="45"/>
      <c r="D16" s="3">
        <v>106478</v>
      </c>
      <c r="E16" s="5">
        <v>19226.243937367461</v>
      </c>
      <c r="F16" s="5">
        <v>0</v>
      </c>
      <c r="G16" s="5">
        <v>0</v>
      </c>
      <c r="H16" s="3">
        <f t="shared" si="4"/>
        <v>433365.46</v>
      </c>
      <c r="I16" s="3">
        <f t="shared" si="5"/>
        <v>93055.020656858513</v>
      </c>
      <c r="J16" s="3">
        <v>526419.62541344995</v>
      </c>
      <c r="K16" s="3">
        <f t="shared" si="6"/>
        <v>526419.62541344995</v>
      </c>
      <c r="L16" s="3">
        <f t="shared" si="7"/>
        <v>0</v>
      </c>
    </row>
    <row r="17" spans="1:12" x14ac:dyDescent="0.35">
      <c r="A17" s="45"/>
      <c r="B17" s="2">
        <v>4</v>
      </c>
      <c r="C17" s="45"/>
      <c r="D17" s="3">
        <v>106478</v>
      </c>
      <c r="E17" s="5">
        <v>58347.954901396413</v>
      </c>
      <c r="F17" s="5">
        <v>0</v>
      </c>
      <c r="G17" s="5">
        <v>0</v>
      </c>
      <c r="H17" s="3">
        <f t="shared" si="4"/>
        <v>433365.46</v>
      </c>
      <c r="I17" s="3">
        <f t="shared" si="5"/>
        <v>282404.10172275861</v>
      </c>
      <c r="J17" s="3">
        <v>715768.7064793501</v>
      </c>
      <c r="K17" s="3">
        <f t="shared" si="6"/>
        <v>715768.7064793501</v>
      </c>
      <c r="L17" s="3">
        <f t="shared" si="7"/>
        <v>0</v>
      </c>
    </row>
    <row r="18" spans="1:12" x14ac:dyDescent="0.35">
      <c r="A18" s="45"/>
      <c r="B18" s="2">
        <v>5</v>
      </c>
      <c r="C18" s="45"/>
      <c r="D18" s="3">
        <v>106478</v>
      </c>
      <c r="E18" s="5">
        <v>80766.767457343623</v>
      </c>
      <c r="F18" s="5">
        <v>19409.849494641028</v>
      </c>
      <c r="G18" s="5">
        <v>0</v>
      </c>
      <c r="H18" s="3">
        <f t="shared" si="4"/>
        <v>433365.46</v>
      </c>
      <c r="I18" s="3">
        <f t="shared" si="5"/>
        <v>390911.15449354314</v>
      </c>
      <c r="J18" s="3">
        <v>1115423.5016697501</v>
      </c>
      <c r="K18" s="3">
        <f t="shared" si="6"/>
        <v>1115423.5016697501</v>
      </c>
      <c r="L18" s="3">
        <f t="shared" si="7"/>
        <v>291147.74241961545</v>
      </c>
    </row>
    <row r="20" spans="1:12" x14ac:dyDescent="0.35">
      <c r="A20" s="45" t="s">
        <v>15</v>
      </c>
      <c r="B20" s="2">
        <v>1</v>
      </c>
      <c r="C20" s="45">
        <v>1474.44</v>
      </c>
      <c r="D20" s="3">
        <v>95671</v>
      </c>
      <c r="E20" s="5">
        <v>0</v>
      </c>
      <c r="F20" s="5">
        <v>0</v>
      </c>
      <c r="G20" s="5">
        <v>140938.75023936291</v>
      </c>
      <c r="H20" s="3">
        <f t="shared" si="4"/>
        <v>389380.97000000003</v>
      </c>
      <c r="I20" s="3">
        <f t="shared" si="5"/>
        <v>0</v>
      </c>
      <c r="J20" s="3">
        <v>248441.62029559998</v>
      </c>
      <c r="K20" s="3">
        <f t="shared" si="6"/>
        <v>389380.37053496286</v>
      </c>
      <c r="L20" s="3">
        <f t="shared" si="7"/>
        <v>0</v>
      </c>
    </row>
    <row r="21" spans="1:12" x14ac:dyDescent="0.35">
      <c r="A21" s="45"/>
      <c r="B21" s="2">
        <v>2</v>
      </c>
      <c r="C21" s="45"/>
      <c r="D21" s="3">
        <v>95671</v>
      </c>
      <c r="E21" s="5">
        <v>0</v>
      </c>
      <c r="F21" s="5">
        <v>0</v>
      </c>
      <c r="G21" s="5">
        <v>2219.51883541291</v>
      </c>
      <c r="H21" s="3">
        <f t="shared" si="4"/>
        <v>389380.97000000003</v>
      </c>
      <c r="I21" s="3">
        <f t="shared" si="5"/>
        <v>0</v>
      </c>
      <c r="J21" s="3">
        <v>387160.85169954994</v>
      </c>
      <c r="K21" s="3">
        <f t="shared" si="6"/>
        <v>389380.37053496286</v>
      </c>
      <c r="L21" s="3">
        <f t="shared" si="7"/>
        <v>0</v>
      </c>
    </row>
    <row r="22" spans="1:12" x14ac:dyDescent="0.35">
      <c r="A22" s="45"/>
      <c r="B22" s="2">
        <v>3</v>
      </c>
      <c r="C22" s="45"/>
      <c r="D22" s="3">
        <v>95671</v>
      </c>
      <c r="E22" s="5">
        <v>27414.337423922854</v>
      </c>
      <c r="F22" s="5">
        <v>290.2574497800332</v>
      </c>
      <c r="G22" s="5">
        <v>0</v>
      </c>
      <c r="H22" s="3">
        <f t="shared" si="4"/>
        <v>389380.97000000003</v>
      </c>
      <c r="I22" s="3">
        <f t="shared" si="5"/>
        <v>132685.39313178661</v>
      </c>
      <c r="J22" s="3">
        <v>526419.62541344995</v>
      </c>
      <c r="K22" s="3">
        <f t="shared" si="6"/>
        <v>526419.62541344995</v>
      </c>
      <c r="L22" s="3">
        <f t="shared" si="7"/>
        <v>4353.8617467004979</v>
      </c>
    </row>
    <row r="23" spans="1:12" x14ac:dyDescent="0.35">
      <c r="A23" s="45"/>
      <c r="B23" s="2">
        <v>4</v>
      </c>
      <c r="C23" s="45"/>
      <c r="D23" s="3">
        <v>95671</v>
      </c>
      <c r="E23" s="5">
        <v>27414.337889068742</v>
      </c>
      <c r="F23" s="5">
        <v>12913.529370752967</v>
      </c>
      <c r="G23" s="5">
        <v>0</v>
      </c>
      <c r="H23" s="3">
        <f t="shared" si="4"/>
        <v>389380.97000000003</v>
      </c>
      <c r="I23" s="3">
        <f t="shared" si="5"/>
        <v>132685.39538309272</v>
      </c>
      <c r="J23" s="3">
        <v>715768.7064793501</v>
      </c>
      <c r="K23" s="3">
        <f t="shared" si="6"/>
        <v>715768.7064793501</v>
      </c>
      <c r="L23" s="3">
        <f t="shared" si="7"/>
        <v>193702.9405612945</v>
      </c>
    </row>
    <row r="24" spans="1:12" x14ac:dyDescent="0.35">
      <c r="A24" s="45"/>
      <c r="B24" s="2">
        <v>5</v>
      </c>
      <c r="C24" s="45"/>
      <c r="D24" s="3">
        <v>95671</v>
      </c>
      <c r="E24" s="5">
        <v>27414.331683631633</v>
      </c>
      <c r="F24" s="5">
        <v>39557.184385734014</v>
      </c>
      <c r="G24" s="5">
        <v>0</v>
      </c>
      <c r="H24" s="3">
        <f t="shared" si="4"/>
        <v>389380.97000000003</v>
      </c>
      <c r="I24" s="3">
        <f t="shared" si="5"/>
        <v>132685.36534877709</v>
      </c>
      <c r="J24" s="3">
        <v>1115423.5016697501</v>
      </c>
      <c r="K24" s="3">
        <f t="shared" si="6"/>
        <v>1115423.5016697501</v>
      </c>
      <c r="L24" s="3">
        <f t="shared" si="7"/>
        <v>593357.76578601019</v>
      </c>
    </row>
  </sheetData>
  <mergeCells count="8">
    <mergeCell ref="A8:A12"/>
    <mergeCell ref="A14:A18"/>
    <mergeCell ref="A20:A24"/>
    <mergeCell ref="A2:A6"/>
    <mergeCell ref="C20:C24"/>
    <mergeCell ref="C14:C18"/>
    <mergeCell ref="C8:C12"/>
    <mergeCell ref="C2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D2BB-92CE-4DCC-85F0-086A5AFD2767}">
  <dimension ref="A1:K12"/>
  <sheetViews>
    <sheetView workbookViewId="0">
      <selection activeCell="Y5" sqref="Y5"/>
    </sheetView>
  </sheetViews>
  <sheetFormatPr defaultRowHeight="14.5" x14ac:dyDescent="0.35"/>
  <cols>
    <col min="1" max="16384" width="8.7265625" style="3"/>
  </cols>
  <sheetData>
    <row r="1" spans="1:11" x14ac:dyDescent="0.35">
      <c r="C1" s="3" t="s">
        <v>0</v>
      </c>
      <c r="D1" s="4" t="s">
        <v>1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3</v>
      </c>
      <c r="J1" s="4" t="s">
        <v>4</v>
      </c>
      <c r="K1" s="4" t="s">
        <v>12</v>
      </c>
    </row>
    <row r="2" spans="1:11" x14ac:dyDescent="0.35">
      <c r="A2" s="46" t="s">
        <v>21</v>
      </c>
      <c r="B2" s="2">
        <v>1</v>
      </c>
      <c r="C2" s="3">
        <v>116283</v>
      </c>
      <c r="D2" s="5">
        <v>18624</v>
      </c>
      <c r="E2" s="5">
        <v>0</v>
      </c>
      <c r="F2" s="5">
        <v>314971</v>
      </c>
      <c r="G2" s="3">
        <f t="shared" ref="G2:G6" si="0">C2*4.07</f>
        <v>473271.81000000006</v>
      </c>
      <c r="H2" s="3">
        <f t="shared" ref="H2:H6" si="1">D2*4.84</f>
        <v>90140.160000000003</v>
      </c>
      <c r="I2" s="3">
        <v>248441.62029560001</v>
      </c>
      <c r="J2" s="3">
        <f t="shared" ref="J2:J6" si="2">I2+F2</f>
        <v>563412.62029560003</v>
      </c>
      <c r="K2" s="3">
        <f t="shared" ref="K2:K6" si="3">E2*15</f>
        <v>0</v>
      </c>
    </row>
    <row r="3" spans="1:11" x14ac:dyDescent="0.35">
      <c r="A3" s="46"/>
      <c r="B3" s="2">
        <v>2</v>
      </c>
      <c r="C3" s="3">
        <v>116283</v>
      </c>
      <c r="D3" s="5">
        <v>18624</v>
      </c>
      <c r="E3" s="5">
        <v>0</v>
      </c>
      <c r="F3" s="5">
        <v>176251</v>
      </c>
      <c r="G3" s="3">
        <f t="shared" si="0"/>
        <v>473271.81000000006</v>
      </c>
      <c r="H3" s="3">
        <f t="shared" si="1"/>
        <v>90140.160000000003</v>
      </c>
      <c r="I3" s="3">
        <v>387160.85169954994</v>
      </c>
      <c r="J3" s="3">
        <f t="shared" si="2"/>
        <v>563411.85169954994</v>
      </c>
      <c r="K3" s="3">
        <f t="shared" si="3"/>
        <v>0</v>
      </c>
    </row>
    <row r="4" spans="1:11" x14ac:dyDescent="0.35">
      <c r="A4" s="46"/>
      <c r="B4" s="2">
        <v>3</v>
      </c>
      <c r="C4" s="3">
        <v>116283</v>
      </c>
      <c r="D4" s="5">
        <v>18624</v>
      </c>
      <c r="E4" s="5">
        <v>0</v>
      </c>
      <c r="F4" s="5">
        <v>36992</v>
      </c>
      <c r="G4" s="3">
        <f t="shared" si="0"/>
        <v>473271.81000000006</v>
      </c>
      <c r="H4" s="3">
        <f t="shared" si="1"/>
        <v>90140.160000000003</v>
      </c>
      <c r="I4" s="3">
        <v>526419.62541344995</v>
      </c>
      <c r="J4" s="3">
        <f t="shared" si="2"/>
        <v>563411.62541344995</v>
      </c>
      <c r="K4" s="3">
        <f t="shared" si="3"/>
        <v>0</v>
      </c>
    </row>
    <row r="5" spans="1:11" x14ac:dyDescent="0.35">
      <c r="A5" s="46"/>
      <c r="B5" s="2">
        <v>4</v>
      </c>
      <c r="C5" s="3">
        <v>116283</v>
      </c>
      <c r="D5" s="5">
        <v>50103</v>
      </c>
      <c r="E5" s="5">
        <v>0</v>
      </c>
      <c r="F5" s="5">
        <v>0</v>
      </c>
      <c r="G5" s="3">
        <f t="shared" si="0"/>
        <v>473271.81000000006</v>
      </c>
      <c r="H5" s="3">
        <f t="shared" si="1"/>
        <v>242498.52</v>
      </c>
      <c r="I5" s="3">
        <v>715768.7064793501</v>
      </c>
      <c r="J5" s="3">
        <f t="shared" si="2"/>
        <v>715768.7064793501</v>
      </c>
      <c r="K5" s="3">
        <f t="shared" si="3"/>
        <v>0</v>
      </c>
    </row>
    <row r="6" spans="1:11" x14ac:dyDescent="0.35">
      <c r="A6" s="46"/>
      <c r="B6" s="2">
        <v>5</v>
      </c>
      <c r="C6" s="3">
        <v>116283</v>
      </c>
      <c r="D6" s="5">
        <v>132676</v>
      </c>
      <c r="E6" s="5">
        <v>0</v>
      </c>
      <c r="F6" s="5">
        <v>0</v>
      </c>
      <c r="G6" s="3">
        <f t="shared" si="0"/>
        <v>473271.81000000006</v>
      </c>
      <c r="H6" s="3">
        <f t="shared" si="1"/>
        <v>642151.84</v>
      </c>
      <c r="I6" s="3">
        <v>1115423.5016697501</v>
      </c>
      <c r="J6" s="3">
        <f t="shared" si="2"/>
        <v>1115423.5016697501</v>
      </c>
      <c r="K6" s="3">
        <f t="shared" si="3"/>
        <v>0</v>
      </c>
    </row>
    <row r="7" spans="1:11" x14ac:dyDescent="0.35">
      <c r="D7" s="4"/>
      <c r="E7" s="4"/>
      <c r="F7" s="4"/>
      <c r="I7" s="4"/>
    </row>
    <row r="8" spans="1:11" x14ac:dyDescent="0.35">
      <c r="A8" s="45" t="s">
        <v>22</v>
      </c>
      <c r="B8" s="2">
        <v>1</v>
      </c>
      <c r="C8" s="3">
        <v>116283</v>
      </c>
      <c r="D8" s="5">
        <v>27528</v>
      </c>
      <c r="E8" s="5">
        <v>0</v>
      </c>
      <c r="F8" s="5">
        <v>358065</v>
      </c>
      <c r="G8" s="3">
        <f>C8*4.07</f>
        <v>473271.81000000006</v>
      </c>
      <c r="H8" s="3">
        <f>D8*4.84</f>
        <v>133235.51999999999</v>
      </c>
      <c r="I8" s="3">
        <v>248441.62029560001</v>
      </c>
      <c r="J8" s="3">
        <f>I8+F8</f>
        <v>606506.62029560003</v>
      </c>
      <c r="K8" s="3">
        <f>E8*15</f>
        <v>0</v>
      </c>
    </row>
    <row r="9" spans="1:11" x14ac:dyDescent="0.35">
      <c r="A9" s="45"/>
      <c r="B9" s="2">
        <v>2</v>
      </c>
      <c r="C9" s="3">
        <v>116283</v>
      </c>
      <c r="D9" s="5">
        <v>27528</v>
      </c>
      <c r="E9" s="5">
        <v>0</v>
      </c>
      <c r="F9" s="5">
        <v>219346</v>
      </c>
      <c r="G9" s="3">
        <f t="shared" ref="G9:G12" si="4">C9*4.07</f>
        <v>473271.81000000006</v>
      </c>
      <c r="H9" s="3">
        <f t="shared" ref="H9:H12" si="5">D9*4.84</f>
        <v>133235.51999999999</v>
      </c>
      <c r="I9" s="3">
        <v>387160.85169954994</v>
      </c>
      <c r="J9" s="3">
        <f t="shared" ref="J9:J12" si="6">I9+F9</f>
        <v>606506.85169954994</v>
      </c>
      <c r="K9" s="3">
        <f t="shared" ref="K9:K12" si="7">E9*15</f>
        <v>0</v>
      </c>
    </row>
    <row r="10" spans="1:11" x14ac:dyDescent="0.35">
      <c r="A10" s="45"/>
      <c r="B10" s="2">
        <v>3</v>
      </c>
      <c r="C10" s="3">
        <v>116283</v>
      </c>
      <c r="D10" s="5">
        <v>27528</v>
      </c>
      <c r="E10" s="5">
        <v>0</v>
      </c>
      <c r="F10" s="5">
        <v>80087</v>
      </c>
      <c r="G10" s="3">
        <f t="shared" si="4"/>
        <v>473271.81000000006</v>
      </c>
      <c r="H10" s="3">
        <f t="shared" si="5"/>
        <v>133235.51999999999</v>
      </c>
      <c r="I10" s="3">
        <v>526419.62541344995</v>
      </c>
      <c r="J10" s="3">
        <f t="shared" si="6"/>
        <v>606506.62541344995</v>
      </c>
      <c r="K10" s="3">
        <f t="shared" si="7"/>
        <v>0</v>
      </c>
    </row>
    <row r="11" spans="1:11" x14ac:dyDescent="0.35">
      <c r="A11" s="45"/>
      <c r="B11" s="2">
        <v>4</v>
      </c>
      <c r="C11" s="3">
        <v>116283</v>
      </c>
      <c r="D11" s="5">
        <v>50103</v>
      </c>
      <c r="E11" s="5">
        <v>0</v>
      </c>
      <c r="F11" s="5">
        <v>0</v>
      </c>
      <c r="G11" s="3">
        <f t="shared" si="4"/>
        <v>473271.81000000006</v>
      </c>
      <c r="H11" s="3">
        <f t="shared" si="5"/>
        <v>242498.52</v>
      </c>
      <c r="I11" s="3">
        <v>715768.7064793501</v>
      </c>
      <c r="J11" s="3">
        <f t="shared" si="6"/>
        <v>715768.7064793501</v>
      </c>
      <c r="K11" s="3">
        <f t="shared" si="7"/>
        <v>0</v>
      </c>
    </row>
    <row r="12" spans="1:11" x14ac:dyDescent="0.35">
      <c r="A12" s="45"/>
      <c r="B12" s="2">
        <v>5</v>
      </c>
      <c r="C12" s="3">
        <v>116283</v>
      </c>
      <c r="D12" s="5">
        <v>105965</v>
      </c>
      <c r="E12" s="5">
        <v>8619</v>
      </c>
      <c r="F12" s="5">
        <v>0</v>
      </c>
      <c r="G12" s="3">
        <f t="shared" si="4"/>
        <v>473271.81000000006</v>
      </c>
      <c r="H12" s="3">
        <f t="shared" si="5"/>
        <v>512870.6</v>
      </c>
      <c r="I12" s="3">
        <v>1115423.5016697501</v>
      </c>
      <c r="J12" s="3">
        <f t="shared" si="6"/>
        <v>1115423.5016697501</v>
      </c>
      <c r="K12" s="3">
        <f t="shared" si="7"/>
        <v>129285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CA6-5EEF-4208-901D-C59B8C9902DD}">
  <dimension ref="A1:K12"/>
  <sheetViews>
    <sheetView workbookViewId="0">
      <selection activeCell="K12" sqref="K12"/>
    </sheetView>
  </sheetViews>
  <sheetFormatPr defaultRowHeight="14.5" x14ac:dyDescent="0.35"/>
  <cols>
    <col min="1" max="16384" width="8.7265625" style="3"/>
  </cols>
  <sheetData>
    <row r="1" spans="1:11" x14ac:dyDescent="0.35">
      <c r="C1" s="3" t="s">
        <v>0</v>
      </c>
      <c r="D1" s="4" t="s">
        <v>1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3</v>
      </c>
      <c r="J1" s="4" t="s">
        <v>4</v>
      </c>
      <c r="K1" s="4" t="s">
        <v>12</v>
      </c>
    </row>
    <row r="2" spans="1:11" x14ac:dyDescent="0.35">
      <c r="A2" s="46" t="s">
        <v>19</v>
      </c>
      <c r="B2" s="2">
        <v>1</v>
      </c>
      <c r="C2" s="3">
        <v>116283</v>
      </c>
      <c r="D2" s="5">
        <v>18624</v>
      </c>
      <c r="E2" s="5">
        <v>0</v>
      </c>
      <c r="F2" s="5">
        <v>314971</v>
      </c>
      <c r="G2" s="3">
        <f t="shared" ref="G2:G6" si="0">C2*4.07</f>
        <v>473271.81000000006</v>
      </c>
      <c r="H2" s="3">
        <f t="shared" ref="H2:H6" si="1">D2*4.84</f>
        <v>90140.160000000003</v>
      </c>
      <c r="I2" s="3">
        <v>248441.62029560001</v>
      </c>
      <c r="J2" s="3">
        <f t="shared" ref="J2:J6" si="2">I2+F2</f>
        <v>563412.62029560003</v>
      </c>
      <c r="K2" s="3">
        <f t="shared" ref="K2:K6" si="3">E2*15</f>
        <v>0</v>
      </c>
    </row>
    <row r="3" spans="1:11" x14ac:dyDescent="0.35">
      <c r="A3" s="46"/>
      <c r="B3" s="2">
        <v>2</v>
      </c>
      <c r="C3" s="3">
        <v>116283</v>
      </c>
      <c r="D3" s="5">
        <v>18624</v>
      </c>
      <c r="E3" s="5">
        <v>0</v>
      </c>
      <c r="F3" s="5">
        <v>176251</v>
      </c>
      <c r="G3" s="3">
        <f t="shared" si="0"/>
        <v>473271.81000000006</v>
      </c>
      <c r="H3" s="3">
        <f t="shared" si="1"/>
        <v>90140.160000000003</v>
      </c>
      <c r="I3" s="3">
        <v>387160.85169954994</v>
      </c>
      <c r="J3" s="3">
        <f t="shared" si="2"/>
        <v>563411.85169954994</v>
      </c>
      <c r="K3" s="3">
        <f t="shared" si="3"/>
        <v>0</v>
      </c>
    </row>
    <row r="4" spans="1:11" x14ac:dyDescent="0.35">
      <c r="A4" s="46"/>
      <c r="B4" s="2">
        <v>3</v>
      </c>
      <c r="C4" s="3">
        <v>116283</v>
      </c>
      <c r="D4" s="5">
        <v>18624</v>
      </c>
      <c r="E4" s="5">
        <v>0</v>
      </c>
      <c r="F4" s="5">
        <v>36992</v>
      </c>
      <c r="G4" s="3">
        <f t="shared" si="0"/>
        <v>473271.81000000006</v>
      </c>
      <c r="H4" s="3">
        <f t="shared" si="1"/>
        <v>90140.160000000003</v>
      </c>
      <c r="I4" s="3">
        <v>526419.62541344995</v>
      </c>
      <c r="J4" s="3">
        <f t="shared" si="2"/>
        <v>563411.62541344995</v>
      </c>
      <c r="K4" s="3">
        <f t="shared" si="3"/>
        <v>0</v>
      </c>
    </row>
    <row r="5" spans="1:11" x14ac:dyDescent="0.35">
      <c r="A5" s="46"/>
      <c r="B5" s="2">
        <v>4</v>
      </c>
      <c r="C5" s="3">
        <v>116283</v>
      </c>
      <c r="D5" s="5">
        <v>50103</v>
      </c>
      <c r="E5" s="5">
        <v>0</v>
      </c>
      <c r="F5" s="5">
        <v>0</v>
      </c>
      <c r="G5" s="3">
        <f t="shared" si="0"/>
        <v>473271.81000000006</v>
      </c>
      <c r="H5" s="3">
        <f t="shared" si="1"/>
        <v>242498.52</v>
      </c>
      <c r="I5" s="3">
        <v>715768.7064793501</v>
      </c>
      <c r="J5" s="3">
        <f t="shared" si="2"/>
        <v>715768.7064793501</v>
      </c>
      <c r="K5" s="3">
        <f t="shared" si="3"/>
        <v>0</v>
      </c>
    </row>
    <row r="6" spans="1:11" x14ac:dyDescent="0.35">
      <c r="A6" s="46"/>
      <c r="B6" s="2">
        <v>5</v>
      </c>
      <c r="C6" s="3">
        <v>116283</v>
      </c>
      <c r="D6" s="5">
        <v>132676</v>
      </c>
      <c r="E6" s="5">
        <v>0</v>
      </c>
      <c r="F6" s="5">
        <v>0</v>
      </c>
      <c r="G6" s="3">
        <f t="shared" si="0"/>
        <v>473271.81000000006</v>
      </c>
      <c r="H6" s="3">
        <f t="shared" si="1"/>
        <v>642151.84</v>
      </c>
      <c r="I6" s="3">
        <v>1115423.5016697501</v>
      </c>
      <c r="J6" s="3">
        <f t="shared" si="2"/>
        <v>1115423.5016697501</v>
      </c>
      <c r="K6" s="3">
        <f t="shared" si="3"/>
        <v>0</v>
      </c>
    </row>
    <row r="7" spans="1:11" x14ac:dyDescent="0.35">
      <c r="D7" s="4"/>
      <c r="E7" s="4"/>
      <c r="F7" s="4"/>
      <c r="I7" s="4"/>
    </row>
    <row r="8" spans="1:11" x14ac:dyDescent="0.35">
      <c r="A8" s="45" t="s">
        <v>20</v>
      </c>
      <c r="B8" s="2">
        <v>1</v>
      </c>
      <c r="C8" s="2">
        <v>150000</v>
      </c>
      <c r="D8" s="5">
        <v>0</v>
      </c>
      <c r="E8" s="5">
        <v>0</v>
      </c>
      <c r="F8" s="5">
        <v>362058</v>
      </c>
      <c r="G8" s="3">
        <f>C8*4.07</f>
        <v>610500</v>
      </c>
      <c r="H8" s="3">
        <f>D8*4.84</f>
        <v>0</v>
      </c>
      <c r="I8" s="3">
        <v>248441.62029560001</v>
      </c>
      <c r="J8" s="3">
        <f>I8+F8</f>
        <v>610499.62029560003</v>
      </c>
      <c r="K8" s="3">
        <f>E8*15</f>
        <v>0</v>
      </c>
    </row>
    <row r="9" spans="1:11" x14ac:dyDescent="0.35">
      <c r="A9" s="45"/>
      <c r="B9" s="2">
        <v>2</v>
      </c>
      <c r="C9" s="2">
        <v>150000</v>
      </c>
      <c r="D9" s="5">
        <v>0</v>
      </c>
      <c r="E9" s="5">
        <v>0</v>
      </c>
      <c r="F9" s="5">
        <v>223339</v>
      </c>
      <c r="G9" s="3">
        <f t="shared" ref="G9:G12" si="4">C9*4.07</f>
        <v>610500</v>
      </c>
      <c r="H9" s="3">
        <f t="shared" ref="H9:H12" si="5">D9*4.84</f>
        <v>0</v>
      </c>
      <c r="I9" s="3">
        <v>387160.85169954994</v>
      </c>
      <c r="J9" s="3">
        <f t="shared" ref="J9:J12" si="6">I9+F9</f>
        <v>610499.85169954994</v>
      </c>
      <c r="K9" s="3">
        <f t="shared" ref="K9:K12" si="7">E9*15</f>
        <v>0</v>
      </c>
    </row>
    <row r="10" spans="1:11" x14ac:dyDescent="0.35">
      <c r="A10" s="45"/>
      <c r="B10" s="2">
        <v>3</v>
      </c>
      <c r="C10" s="2">
        <v>150000</v>
      </c>
      <c r="D10" s="5">
        <v>0</v>
      </c>
      <c r="E10" s="5">
        <v>0</v>
      </c>
      <c r="F10" s="5">
        <v>84080</v>
      </c>
      <c r="G10" s="3">
        <f t="shared" si="4"/>
        <v>610500</v>
      </c>
      <c r="H10" s="3">
        <f t="shared" si="5"/>
        <v>0</v>
      </c>
      <c r="I10" s="3">
        <v>526419.62541344995</v>
      </c>
      <c r="J10" s="3">
        <f t="shared" si="6"/>
        <v>610499.62541344995</v>
      </c>
      <c r="K10" s="3">
        <f t="shared" si="7"/>
        <v>0</v>
      </c>
    </row>
    <row r="11" spans="1:11" x14ac:dyDescent="0.35">
      <c r="A11" s="45"/>
      <c r="B11" s="2">
        <v>4</v>
      </c>
      <c r="C11" s="2">
        <v>150000</v>
      </c>
      <c r="D11" s="5">
        <v>21750</v>
      </c>
      <c r="E11" s="5">
        <v>0</v>
      </c>
      <c r="F11" s="5">
        <v>0</v>
      </c>
      <c r="G11" s="3">
        <f t="shared" si="4"/>
        <v>610500</v>
      </c>
      <c r="H11" s="3">
        <f t="shared" si="5"/>
        <v>105270</v>
      </c>
      <c r="I11" s="3">
        <v>715768.7064793501</v>
      </c>
      <c r="J11" s="3">
        <f t="shared" si="6"/>
        <v>715768.7064793501</v>
      </c>
      <c r="K11" s="3">
        <f t="shared" si="7"/>
        <v>0</v>
      </c>
    </row>
    <row r="12" spans="1:11" x14ac:dyDescent="0.35">
      <c r="A12" s="45"/>
      <c r="B12" s="2">
        <v>5</v>
      </c>
      <c r="C12" s="2">
        <v>150000</v>
      </c>
      <c r="D12" s="5">
        <v>75136</v>
      </c>
      <c r="E12" s="5">
        <v>9418</v>
      </c>
      <c r="F12" s="5">
        <v>0</v>
      </c>
      <c r="G12" s="3">
        <f t="shared" si="4"/>
        <v>610500</v>
      </c>
      <c r="H12" s="3">
        <f t="shared" si="5"/>
        <v>363658.23999999999</v>
      </c>
      <c r="I12" s="3">
        <v>1115423.5016697501</v>
      </c>
      <c r="J12" s="3">
        <f t="shared" si="6"/>
        <v>1115423.5016697501</v>
      </c>
      <c r="K12" s="3">
        <f t="shared" si="7"/>
        <v>141270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AD57-E7CC-4E74-8FC2-C59286DD1F0C}">
  <dimension ref="A1:K12"/>
  <sheetViews>
    <sheetView workbookViewId="0">
      <selection activeCell="I31" sqref="I31"/>
    </sheetView>
  </sheetViews>
  <sheetFormatPr defaultRowHeight="14.5" x14ac:dyDescent="0.35"/>
  <cols>
    <col min="1" max="16384" width="8.7265625" style="3"/>
  </cols>
  <sheetData>
    <row r="1" spans="1:11" x14ac:dyDescent="0.35">
      <c r="C1" s="3" t="s">
        <v>0</v>
      </c>
      <c r="D1" s="4" t="s">
        <v>1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3</v>
      </c>
      <c r="J1" s="4" t="s">
        <v>4</v>
      </c>
      <c r="K1" s="4" t="s">
        <v>12</v>
      </c>
    </row>
    <row r="2" spans="1:11" x14ac:dyDescent="0.35">
      <c r="A2" s="46" t="s">
        <v>17</v>
      </c>
      <c r="B2" s="2">
        <v>1</v>
      </c>
      <c r="C2" s="3">
        <v>134264</v>
      </c>
      <c r="D2" s="5">
        <v>102526</v>
      </c>
      <c r="E2" s="5">
        <v>0</v>
      </c>
      <c r="F2" s="5">
        <v>794236</v>
      </c>
      <c r="G2" s="3">
        <f t="shared" ref="G2:G6" si="0">C2*4.07</f>
        <v>546454.48</v>
      </c>
      <c r="H2" s="3">
        <f t="shared" ref="H2:H6" si="1">D2*4.84</f>
        <v>496225.83999999997</v>
      </c>
      <c r="I2" s="3">
        <v>248441.62029560001</v>
      </c>
      <c r="J2" s="3">
        <f t="shared" ref="J2:J6" si="2">I2+F2</f>
        <v>1042677.6202956</v>
      </c>
      <c r="K2" s="3">
        <f t="shared" ref="K2:K6" si="3">E2*15</f>
        <v>0</v>
      </c>
    </row>
    <row r="3" spans="1:11" x14ac:dyDescent="0.35">
      <c r="A3" s="46"/>
      <c r="B3" s="2">
        <v>2</v>
      </c>
      <c r="C3" s="3">
        <v>134264</v>
      </c>
      <c r="D3" s="5">
        <v>102526</v>
      </c>
      <c r="E3" s="5">
        <v>0</v>
      </c>
      <c r="F3" s="5">
        <v>655517</v>
      </c>
      <c r="G3" s="3">
        <f t="shared" si="0"/>
        <v>546454.48</v>
      </c>
      <c r="H3" s="3">
        <f t="shared" si="1"/>
        <v>496225.83999999997</v>
      </c>
      <c r="I3" s="3">
        <v>387160.85169954994</v>
      </c>
      <c r="J3" s="3">
        <f t="shared" si="2"/>
        <v>1042677.8516995499</v>
      </c>
      <c r="K3" s="3">
        <f t="shared" si="3"/>
        <v>0</v>
      </c>
    </row>
    <row r="4" spans="1:11" x14ac:dyDescent="0.35">
      <c r="A4" s="46"/>
      <c r="B4" s="2">
        <v>3</v>
      </c>
      <c r="C4" s="3">
        <v>134264</v>
      </c>
      <c r="D4" s="5">
        <v>102526</v>
      </c>
      <c r="E4" s="5">
        <v>0</v>
      </c>
      <c r="F4" s="5">
        <v>516258</v>
      </c>
      <c r="G4" s="3">
        <f t="shared" si="0"/>
        <v>546454.48</v>
      </c>
      <c r="H4" s="3">
        <f t="shared" si="1"/>
        <v>496225.83999999997</v>
      </c>
      <c r="I4" s="3">
        <v>526419.62541344995</v>
      </c>
      <c r="J4" s="3">
        <f t="shared" si="2"/>
        <v>1042677.6254134499</v>
      </c>
      <c r="K4" s="3">
        <f t="shared" si="3"/>
        <v>0</v>
      </c>
    </row>
    <row r="5" spans="1:11" x14ac:dyDescent="0.35">
      <c r="A5" s="46"/>
      <c r="B5" s="2">
        <v>4</v>
      </c>
      <c r="C5" s="3">
        <v>134264</v>
      </c>
      <c r="D5" s="5">
        <v>102526</v>
      </c>
      <c r="E5" s="5">
        <v>0</v>
      </c>
      <c r="F5" s="5">
        <v>326909</v>
      </c>
      <c r="G5" s="3">
        <f t="shared" si="0"/>
        <v>546454.48</v>
      </c>
      <c r="H5" s="3">
        <f t="shared" si="1"/>
        <v>496225.83999999997</v>
      </c>
      <c r="I5" s="3">
        <v>715768.7064793501</v>
      </c>
      <c r="J5" s="3">
        <f t="shared" si="2"/>
        <v>1042677.7064793501</v>
      </c>
      <c r="K5" s="3">
        <f t="shared" si="3"/>
        <v>0</v>
      </c>
    </row>
    <row r="6" spans="1:11" x14ac:dyDescent="0.35">
      <c r="A6" s="46"/>
      <c r="B6" s="2">
        <v>5</v>
      </c>
      <c r="C6" s="3">
        <v>134264</v>
      </c>
      <c r="D6" s="5">
        <v>117556</v>
      </c>
      <c r="E6" s="5">
        <v>0</v>
      </c>
      <c r="F6" s="5">
        <v>0</v>
      </c>
      <c r="G6" s="3">
        <f t="shared" si="0"/>
        <v>546454.48</v>
      </c>
      <c r="H6" s="3">
        <f t="shared" si="1"/>
        <v>568971.04</v>
      </c>
      <c r="I6" s="3">
        <v>1115423.5016697501</v>
      </c>
      <c r="J6" s="3">
        <f t="shared" si="2"/>
        <v>1115423.5016697501</v>
      </c>
      <c r="K6" s="3">
        <f t="shared" si="3"/>
        <v>0</v>
      </c>
    </row>
    <row r="7" spans="1:11" x14ac:dyDescent="0.35">
      <c r="D7" s="4"/>
      <c r="E7" s="4"/>
      <c r="F7" s="4"/>
      <c r="I7" s="4"/>
    </row>
    <row r="8" spans="1:11" x14ac:dyDescent="0.35">
      <c r="A8" s="45" t="s">
        <v>18</v>
      </c>
      <c r="B8" s="2">
        <v>1</v>
      </c>
      <c r="C8" s="2">
        <v>150000</v>
      </c>
      <c r="D8" s="5">
        <v>58909</v>
      </c>
      <c r="E8" s="5">
        <v>0</v>
      </c>
      <c r="F8" s="5">
        <v>647177</v>
      </c>
      <c r="G8" s="3">
        <f>C8*4.07</f>
        <v>610500</v>
      </c>
      <c r="H8" s="3">
        <f>D8*4.84</f>
        <v>285119.56</v>
      </c>
      <c r="I8" s="3">
        <v>248441.62029560001</v>
      </c>
      <c r="J8" s="3">
        <f>I8+F8</f>
        <v>895618.62029560003</v>
      </c>
      <c r="K8" s="3">
        <f>E8*15</f>
        <v>0</v>
      </c>
    </row>
    <row r="9" spans="1:11" x14ac:dyDescent="0.35">
      <c r="A9" s="45"/>
      <c r="B9" s="2">
        <v>2</v>
      </c>
      <c r="C9" s="2">
        <v>150000</v>
      </c>
      <c r="D9" s="5">
        <v>58909</v>
      </c>
      <c r="E9" s="5">
        <v>0</v>
      </c>
      <c r="F9" s="5">
        <v>508458</v>
      </c>
      <c r="G9" s="3">
        <f t="shared" ref="G9:G12" si="4">C9*4.07</f>
        <v>610500</v>
      </c>
      <c r="H9" s="3">
        <f t="shared" ref="H9:H12" si="5">D9*4.84</f>
        <v>285119.56</v>
      </c>
      <c r="I9" s="3">
        <v>387160.85169954994</v>
      </c>
      <c r="J9" s="3">
        <f t="shared" ref="J9:J12" si="6">I9+F9</f>
        <v>895618.85169954994</v>
      </c>
      <c r="K9" s="3">
        <f t="shared" ref="K9:K12" si="7">E9*15</f>
        <v>0</v>
      </c>
    </row>
    <row r="10" spans="1:11" x14ac:dyDescent="0.35">
      <c r="A10" s="45"/>
      <c r="B10" s="2">
        <v>3</v>
      </c>
      <c r="C10" s="2">
        <v>150000</v>
      </c>
      <c r="D10" s="5">
        <v>58909</v>
      </c>
      <c r="E10" s="5">
        <v>0</v>
      </c>
      <c r="F10" s="5">
        <v>369199</v>
      </c>
      <c r="G10" s="3">
        <f t="shared" si="4"/>
        <v>610500</v>
      </c>
      <c r="H10" s="3">
        <f t="shared" si="5"/>
        <v>285119.56</v>
      </c>
      <c r="I10" s="3">
        <v>526419.62541344995</v>
      </c>
      <c r="J10" s="3">
        <f t="shared" si="6"/>
        <v>895618.62541344995</v>
      </c>
      <c r="K10" s="3">
        <f t="shared" si="7"/>
        <v>0</v>
      </c>
    </row>
    <row r="11" spans="1:11" x14ac:dyDescent="0.35">
      <c r="A11" s="45"/>
      <c r="B11" s="2">
        <v>4</v>
      </c>
      <c r="C11" s="2">
        <v>150000</v>
      </c>
      <c r="D11" s="5">
        <v>58909</v>
      </c>
      <c r="E11" s="5">
        <v>0</v>
      </c>
      <c r="F11" s="5">
        <v>179850</v>
      </c>
      <c r="G11" s="3">
        <f t="shared" si="4"/>
        <v>610500</v>
      </c>
      <c r="H11" s="3">
        <f t="shared" si="5"/>
        <v>285119.56</v>
      </c>
      <c r="I11" s="3">
        <v>715768.7064793501</v>
      </c>
      <c r="J11" s="3">
        <f t="shared" si="6"/>
        <v>895618.7064793501</v>
      </c>
      <c r="K11" s="3">
        <f t="shared" si="7"/>
        <v>0</v>
      </c>
    </row>
    <row r="12" spans="1:11" x14ac:dyDescent="0.35">
      <c r="A12" s="45"/>
      <c r="B12" s="2">
        <v>5</v>
      </c>
      <c r="C12" s="2">
        <v>150000</v>
      </c>
      <c r="D12" s="5">
        <v>104323</v>
      </c>
      <c r="E12" s="5">
        <v>0</v>
      </c>
      <c r="F12" s="5">
        <v>0</v>
      </c>
      <c r="G12" s="3">
        <f t="shared" si="4"/>
        <v>610500</v>
      </c>
      <c r="H12" s="3">
        <f t="shared" si="5"/>
        <v>504923.32</v>
      </c>
      <c r="I12" s="3">
        <v>1115423.5016697501</v>
      </c>
      <c r="J12" s="3">
        <f t="shared" si="6"/>
        <v>1115423.5016697501</v>
      </c>
      <c r="K12" s="3">
        <f t="shared" si="7"/>
        <v>0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50B3-032D-49C9-8DA4-F0DC7F7D5150}">
  <dimension ref="A1:E69"/>
  <sheetViews>
    <sheetView topLeftCell="A40" workbookViewId="0">
      <selection activeCell="R65" sqref="R65"/>
    </sheetView>
  </sheetViews>
  <sheetFormatPr defaultRowHeight="14.5" x14ac:dyDescent="0.35"/>
  <cols>
    <col min="1" max="1" width="19.1796875" bestFit="1" customWidth="1"/>
  </cols>
  <sheetData>
    <row r="1" spans="1:5" x14ac:dyDescent="0.35">
      <c r="A1">
        <v>8</v>
      </c>
    </row>
    <row r="2" spans="1:5" x14ac:dyDescent="0.35">
      <c r="A2" t="s">
        <v>34</v>
      </c>
      <c r="B2">
        <v>0.05</v>
      </c>
      <c r="C2">
        <v>3.5000000000000003E-2</v>
      </c>
      <c r="D2">
        <v>0.02</v>
      </c>
      <c r="E2">
        <v>0.01</v>
      </c>
    </row>
    <row r="3" spans="1:5" x14ac:dyDescent="0.35">
      <c r="A3">
        <v>0</v>
      </c>
      <c r="B3">
        <f>[1]r005!M36</f>
        <v>8</v>
      </c>
      <c r="C3">
        <f>[1]base!M36</f>
        <v>8</v>
      </c>
      <c r="D3">
        <f>[1]r002!M36</f>
        <v>8</v>
      </c>
      <c r="E3">
        <f>[1]r001!M36</f>
        <v>8</v>
      </c>
    </row>
    <row r="4" spans="1:5" x14ac:dyDescent="0.35">
      <c r="A4">
        <v>1</v>
      </c>
      <c r="B4">
        <f>[1]r005!M37</f>
        <v>8</v>
      </c>
      <c r="C4">
        <f>[1]base!M37</f>
        <v>8</v>
      </c>
      <c r="D4">
        <f>[1]r002!M37</f>
        <v>8</v>
      </c>
      <c r="E4">
        <f>[1]r001!M37</f>
        <v>8</v>
      </c>
    </row>
    <row r="5" spans="1:5" x14ac:dyDescent="0.35">
      <c r="A5">
        <v>2</v>
      </c>
      <c r="B5">
        <f>[1]r005!M38</f>
        <v>8</v>
      </c>
      <c r="C5">
        <f>[1]base!M38</f>
        <v>8</v>
      </c>
      <c r="D5">
        <f>[1]r002!M38</f>
        <v>8</v>
      </c>
      <c r="E5">
        <f>[1]r001!M38</f>
        <v>8</v>
      </c>
    </row>
    <row r="6" spans="1:5" x14ac:dyDescent="0.35">
      <c r="A6">
        <v>3</v>
      </c>
      <c r="B6">
        <f>[1]r005!M39</f>
        <v>8</v>
      </c>
      <c r="C6">
        <f>[1]base!M39</f>
        <v>8</v>
      </c>
      <c r="D6">
        <f>[1]r002!M39</f>
        <v>8</v>
      </c>
      <c r="E6">
        <f>[1]r001!M39</f>
        <v>8</v>
      </c>
    </row>
    <row r="7" spans="1:5" x14ac:dyDescent="0.35">
      <c r="A7">
        <v>4</v>
      </c>
      <c r="B7">
        <f>[1]r005!M40</f>
        <v>8</v>
      </c>
      <c r="C7">
        <f>[1]base!M40</f>
        <v>8</v>
      </c>
      <c r="D7">
        <f>[1]r002!M40</f>
        <v>8</v>
      </c>
      <c r="E7">
        <f>[1]r001!M40</f>
        <v>8</v>
      </c>
    </row>
    <row r="8" spans="1:5" x14ac:dyDescent="0.35">
      <c r="A8">
        <v>5</v>
      </c>
      <c r="B8">
        <f>[1]r005!M41</f>
        <v>8</v>
      </c>
      <c r="C8">
        <f>[1]base!M41</f>
        <v>8</v>
      </c>
      <c r="D8">
        <f>[1]r002!M41</f>
        <v>8</v>
      </c>
      <c r="E8">
        <f>[1]r001!M41</f>
        <v>8</v>
      </c>
    </row>
    <row r="9" spans="1:5" x14ac:dyDescent="0.35">
      <c r="A9">
        <v>6</v>
      </c>
      <c r="B9">
        <f>[1]r005!M42</f>
        <v>8</v>
      </c>
      <c r="C9">
        <f>[1]base!M42</f>
        <v>8</v>
      </c>
      <c r="D9">
        <f>[1]r002!M42</f>
        <v>8</v>
      </c>
      <c r="E9">
        <f>[1]r001!M42</f>
        <v>8</v>
      </c>
    </row>
    <row r="10" spans="1:5" x14ac:dyDescent="0.35">
      <c r="A10">
        <v>7</v>
      </c>
      <c r="B10">
        <f>[1]r005!M43</f>
        <v>8</v>
      </c>
      <c r="C10">
        <f>[1]base!M43</f>
        <v>8</v>
      </c>
      <c r="D10">
        <f>[1]r002!M43</f>
        <v>8</v>
      </c>
      <c r="E10">
        <f>[1]r001!M43</f>
        <v>8</v>
      </c>
    </row>
    <row r="11" spans="1:5" x14ac:dyDescent="0.35">
      <c r="A11">
        <v>8</v>
      </c>
      <c r="B11">
        <f>[1]r005!M44</f>
        <v>8</v>
      </c>
      <c r="C11">
        <f>[1]base!M44</f>
        <v>8</v>
      </c>
      <c r="D11">
        <f>[1]r002!M44</f>
        <v>8</v>
      </c>
      <c r="E11">
        <f>[1]r001!M44</f>
        <v>8</v>
      </c>
    </row>
    <row r="12" spans="1:5" x14ac:dyDescent="0.35">
      <c r="A12">
        <v>9</v>
      </c>
      <c r="B12">
        <f>[1]r005!M45</f>
        <v>8</v>
      </c>
      <c r="C12">
        <f>[1]base!M45</f>
        <v>8</v>
      </c>
      <c r="D12">
        <f>[1]r002!M45</f>
        <v>8</v>
      </c>
      <c r="E12">
        <f>[1]r001!M45</f>
        <v>8.5</v>
      </c>
    </row>
    <row r="13" spans="1:5" x14ac:dyDescent="0.35">
      <c r="A13">
        <v>10</v>
      </c>
      <c r="B13">
        <f>[1]r005!M46</f>
        <v>10</v>
      </c>
      <c r="C13">
        <f>[1]base!M46</f>
        <v>10</v>
      </c>
      <c r="D13">
        <f>[1]r002!M46</f>
        <v>10</v>
      </c>
      <c r="E13">
        <f>[1]r001!M46</f>
        <v>10</v>
      </c>
    </row>
    <row r="15" spans="1:5" x14ac:dyDescent="0.35">
      <c r="A15">
        <v>9</v>
      </c>
    </row>
    <row r="16" spans="1:5" x14ac:dyDescent="0.35">
      <c r="A16" t="s">
        <v>34</v>
      </c>
      <c r="B16">
        <v>0.05</v>
      </c>
      <c r="C16">
        <v>3.5000000000000003E-2</v>
      </c>
      <c r="D16">
        <v>0.02</v>
      </c>
      <c r="E16">
        <v>0.01</v>
      </c>
    </row>
    <row r="17" spans="1:5" x14ac:dyDescent="0.35">
      <c r="A17">
        <v>0</v>
      </c>
      <c r="B17">
        <f>[1]r005!N36</f>
        <v>9</v>
      </c>
      <c r="C17">
        <f>[1]base!N36</f>
        <v>9</v>
      </c>
      <c r="D17">
        <f>[1]r002!N36</f>
        <v>9</v>
      </c>
      <c r="E17">
        <f>[1]r001!N36</f>
        <v>9</v>
      </c>
    </row>
    <row r="18" spans="1:5" x14ac:dyDescent="0.35">
      <c r="A18">
        <v>1</v>
      </c>
      <c r="B18">
        <f>[1]r005!N37</f>
        <v>8.5</v>
      </c>
      <c r="C18">
        <f>[1]base!N37</f>
        <v>8.5</v>
      </c>
      <c r="D18">
        <f>[1]r002!N37</f>
        <v>8.5</v>
      </c>
      <c r="E18">
        <f>[1]r001!N37</f>
        <v>9</v>
      </c>
    </row>
    <row r="19" spans="1:5" x14ac:dyDescent="0.35">
      <c r="A19">
        <v>2</v>
      </c>
      <c r="B19">
        <f>[1]r005!N38</f>
        <v>8</v>
      </c>
      <c r="C19">
        <f>[1]base!N38</f>
        <v>8</v>
      </c>
      <c r="D19">
        <f>[1]r002!N38</f>
        <v>8</v>
      </c>
      <c r="E19">
        <f>[1]r001!N38</f>
        <v>9</v>
      </c>
    </row>
    <row r="20" spans="1:5" x14ac:dyDescent="0.35">
      <c r="A20">
        <v>3</v>
      </c>
      <c r="B20">
        <f>[1]r005!N39</f>
        <v>8</v>
      </c>
      <c r="C20">
        <f>[1]base!N39</f>
        <v>8</v>
      </c>
      <c r="D20">
        <f>[1]r002!N39</f>
        <v>8</v>
      </c>
      <c r="E20">
        <f>[1]r001!N39</f>
        <v>9</v>
      </c>
    </row>
    <row r="21" spans="1:5" x14ac:dyDescent="0.35">
      <c r="A21">
        <v>4</v>
      </c>
      <c r="B21">
        <f>[1]r005!N40</f>
        <v>8</v>
      </c>
      <c r="C21">
        <f>[1]base!N40</f>
        <v>8</v>
      </c>
      <c r="D21">
        <f>[1]r002!N40</f>
        <v>8</v>
      </c>
      <c r="E21">
        <f>[1]r001!N40</f>
        <v>9</v>
      </c>
    </row>
    <row r="22" spans="1:5" x14ac:dyDescent="0.35">
      <c r="A22">
        <v>5</v>
      </c>
      <c r="B22">
        <f>[1]r005!N41</f>
        <v>8</v>
      </c>
      <c r="C22">
        <f>[1]base!N41</f>
        <v>8</v>
      </c>
      <c r="D22">
        <f>[1]r002!N41</f>
        <v>8</v>
      </c>
      <c r="E22">
        <f>[1]r001!N41</f>
        <v>9</v>
      </c>
    </row>
    <row r="23" spans="1:5" x14ac:dyDescent="0.35">
      <c r="A23">
        <v>6</v>
      </c>
      <c r="B23">
        <f>[1]r005!N42</f>
        <v>8</v>
      </c>
      <c r="C23">
        <f>[1]base!N42</f>
        <v>8</v>
      </c>
      <c r="D23">
        <f>[1]r002!N42</f>
        <v>8</v>
      </c>
      <c r="E23">
        <f>[1]r001!N42</f>
        <v>9</v>
      </c>
    </row>
    <row r="24" spans="1:5" x14ac:dyDescent="0.35">
      <c r="A24">
        <v>7</v>
      </c>
      <c r="B24">
        <f>[1]r005!N43</f>
        <v>8</v>
      </c>
      <c r="C24">
        <f>[1]base!N43</f>
        <v>8</v>
      </c>
      <c r="D24">
        <f>[1]r002!N43</f>
        <v>8</v>
      </c>
      <c r="E24">
        <f>[1]r001!N43</f>
        <v>9</v>
      </c>
    </row>
    <row r="25" spans="1:5" x14ac:dyDescent="0.35">
      <c r="A25">
        <v>8</v>
      </c>
      <c r="B25">
        <f>[1]r005!N44</f>
        <v>8</v>
      </c>
      <c r="C25">
        <f>[1]base!N44</f>
        <v>8</v>
      </c>
      <c r="D25">
        <f>[1]r002!N44</f>
        <v>8</v>
      </c>
      <c r="E25">
        <f>[1]r001!N44</f>
        <v>9</v>
      </c>
    </row>
    <row r="26" spans="1:5" x14ac:dyDescent="0.35">
      <c r="A26">
        <v>9</v>
      </c>
      <c r="B26">
        <f>[1]r005!N45</f>
        <v>8</v>
      </c>
      <c r="C26">
        <f>[1]base!N45</f>
        <v>8</v>
      </c>
      <c r="D26">
        <f>[1]r002!N45</f>
        <v>8</v>
      </c>
      <c r="E26">
        <f>[1]r001!N45</f>
        <v>9</v>
      </c>
    </row>
    <row r="27" spans="1:5" x14ac:dyDescent="0.35">
      <c r="A27">
        <v>10</v>
      </c>
      <c r="B27">
        <f>[1]r005!N46</f>
        <v>10</v>
      </c>
      <c r="C27">
        <f>[1]base!N46</f>
        <v>10</v>
      </c>
      <c r="D27">
        <f>[1]r002!N46</f>
        <v>10</v>
      </c>
      <c r="E27">
        <f>[1]r001!N46</f>
        <v>10</v>
      </c>
    </row>
    <row r="29" spans="1:5" x14ac:dyDescent="0.35">
      <c r="A29">
        <v>10</v>
      </c>
    </row>
    <row r="30" spans="1:5" x14ac:dyDescent="0.35">
      <c r="A30" t="s">
        <v>34</v>
      </c>
      <c r="B30">
        <v>0.05</v>
      </c>
      <c r="C30">
        <v>3.5000000000000003E-2</v>
      </c>
      <c r="D30">
        <v>0.02</v>
      </c>
      <c r="E30">
        <v>0.01</v>
      </c>
    </row>
    <row r="31" spans="1:5" x14ac:dyDescent="0.35">
      <c r="A31">
        <v>0</v>
      </c>
      <c r="B31">
        <f>[1]r005!O36</f>
        <v>10</v>
      </c>
      <c r="C31">
        <f>[1]base!O36</f>
        <v>10</v>
      </c>
      <c r="D31">
        <f>[1]r002!O36</f>
        <v>10</v>
      </c>
      <c r="E31">
        <f>[1]r001!O36</f>
        <v>10</v>
      </c>
    </row>
    <row r="32" spans="1:5" x14ac:dyDescent="0.35">
      <c r="A32">
        <v>1</v>
      </c>
      <c r="B32">
        <f>[1]r005!O37</f>
        <v>8.5</v>
      </c>
      <c r="C32">
        <f>[1]base!O37</f>
        <v>9</v>
      </c>
      <c r="D32">
        <f>[1]r002!O37</f>
        <v>9.5</v>
      </c>
      <c r="E32">
        <f>[1]r001!O37</f>
        <v>9.5</v>
      </c>
    </row>
    <row r="33" spans="1:5" x14ac:dyDescent="0.35">
      <c r="A33">
        <v>2</v>
      </c>
      <c r="B33">
        <f>[1]r005!O38</f>
        <v>8</v>
      </c>
      <c r="C33">
        <f>[1]base!O38</f>
        <v>8.5</v>
      </c>
      <c r="D33">
        <f>[1]r002!O38</f>
        <v>9</v>
      </c>
      <c r="E33">
        <f>[1]r001!O38</f>
        <v>9.5</v>
      </c>
    </row>
    <row r="34" spans="1:5" x14ac:dyDescent="0.35">
      <c r="A34">
        <v>3</v>
      </c>
      <c r="B34">
        <f>[1]r005!O39</f>
        <v>8</v>
      </c>
      <c r="C34">
        <f>[1]base!O39</f>
        <v>8</v>
      </c>
      <c r="D34">
        <f>[1]r002!O39</f>
        <v>8.5</v>
      </c>
      <c r="E34">
        <f>[1]r001!O39</f>
        <v>9.5</v>
      </c>
    </row>
    <row r="35" spans="1:5" x14ac:dyDescent="0.35">
      <c r="A35">
        <v>4</v>
      </c>
      <c r="B35">
        <f>[1]r005!O40</f>
        <v>8</v>
      </c>
      <c r="C35">
        <f>[1]base!O40</f>
        <v>8</v>
      </c>
      <c r="D35">
        <f>[1]r002!O40</f>
        <v>8</v>
      </c>
      <c r="E35">
        <f>[1]r001!O40</f>
        <v>9.5</v>
      </c>
    </row>
    <row r="36" spans="1:5" x14ac:dyDescent="0.35">
      <c r="A36">
        <v>5</v>
      </c>
      <c r="B36">
        <f>[1]r005!O41</f>
        <v>8</v>
      </c>
      <c r="C36">
        <f>[1]base!O41</f>
        <v>8</v>
      </c>
      <c r="D36">
        <f>[1]r002!O41</f>
        <v>8</v>
      </c>
      <c r="E36">
        <f>[1]r001!O41</f>
        <v>9.5</v>
      </c>
    </row>
    <row r="37" spans="1:5" x14ac:dyDescent="0.35">
      <c r="A37">
        <v>6</v>
      </c>
      <c r="B37">
        <f>[1]r005!O42</f>
        <v>8</v>
      </c>
      <c r="C37">
        <f>[1]base!O42</f>
        <v>8</v>
      </c>
      <c r="D37">
        <f>[1]r002!O42</f>
        <v>8</v>
      </c>
      <c r="E37">
        <f>[1]r001!O42</f>
        <v>9.5</v>
      </c>
    </row>
    <row r="38" spans="1:5" x14ac:dyDescent="0.35">
      <c r="A38">
        <v>7</v>
      </c>
      <c r="B38">
        <f>[1]r005!O43</f>
        <v>8</v>
      </c>
      <c r="C38">
        <f>[1]base!O43</f>
        <v>8</v>
      </c>
      <c r="D38">
        <f>[1]r002!O43</f>
        <v>8</v>
      </c>
      <c r="E38">
        <f>[1]r001!O43</f>
        <v>9.5</v>
      </c>
    </row>
    <row r="39" spans="1:5" x14ac:dyDescent="0.35">
      <c r="A39">
        <v>8</v>
      </c>
      <c r="B39">
        <f>[1]r005!O44</f>
        <v>8</v>
      </c>
      <c r="C39">
        <f>[1]base!O44</f>
        <v>8</v>
      </c>
      <c r="D39">
        <f>[1]r002!O44</f>
        <v>8</v>
      </c>
      <c r="E39">
        <f>[1]r001!O44</f>
        <v>9.5</v>
      </c>
    </row>
    <row r="40" spans="1:5" x14ac:dyDescent="0.35">
      <c r="A40">
        <v>9</v>
      </c>
      <c r="B40">
        <f>[1]r005!O45</f>
        <v>8</v>
      </c>
      <c r="C40">
        <f>[1]base!O45</f>
        <v>8</v>
      </c>
      <c r="D40">
        <f>[1]r002!O45</f>
        <v>8</v>
      </c>
      <c r="E40">
        <f>[1]r001!O45</f>
        <v>9.5</v>
      </c>
    </row>
    <row r="41" spans="1:5" x14ac:dyDescent="0.35">
      <c r="A41">
        <v>10</v>
      </c>
      <c r="B41">
        <f>[1]r005!O46</f>
        <v>10</v>
      </c>
      <c r="C41">
        <f>[1]base!O46</f>
        <v>10</v>
      </c>
      <c r="D41">
        <f>[1]r002!O46</f>
        <v>10</v>
      </c>
      <c r="E41">
        <f>[1]r001!O46</f>
        <v>10</v>
      </c>
    </row>
    <row r="43" spans="1:5" x14ac:dyDescent="0.35">
      <c r="A43">
        <v>11</v>
      </c>
    </row>
    <row r="44" spans="1:5" x14ac:dyDescent="0.35">
      <c r="A44" t="s">
        <v>34</v>
      </c>
      <c r="B44">
        <v>0.05</v>
      </c>
      <c r="C44">
        <v>3.5000000000000003E-2</v>
      </c>
      <c r="D44">
        <v>0.02</v>
      </c>
      <c r="E44">
        <v>0.01</v>
      </c>
    </row>
    <row r="45" spans="1:5" x14ac:dyDescent="0.35">
      <c r="A45">
        <v>0</v>
      </c>
      <c r="B45">
        <f>[1]r005!P36</f>
        <v>11</v>
      </c>
      <c r="C45">
        <f>[1]base!P36</f>
        <v>11</v>
      </c>
      <c r="D45">
        <f>[1]r002!P36</f>
        <v>11</v>
      </c>
      <c r="E45">
        <f>[1]r001!P36</f>
        <v>11</v>
      </c>
    </row>
    <row r="46" spans="1:5" x14ac:dyDescent="0.35">
      <c r="A46">
        <v>1</v>
      </c>
      <c r="B46">
        <f>[1]r005!P37</f>
        <v>9.5</v>
      </c>
      <c r="C46">
        <f>[1]base!P37</f>
        <v>9.5</v>
      </c>
      <c r="D46">
        <f>[1]r002!P37</f>
        <v>10</v>
      </c>
      <c r="E46">
        <f>[1]r001!P37</f>
        <v>10.5</v>
      </c>
    </row>
    <row r="47" spans="1:5" x14ac:dyDescent="0.35">
      <c r="A47">
        <v>2</v>
      </c>
      <c r="B47">
        <f>[1]r005!P38</f>
        <v>8.5</v>
      </c>
      <c r="C47">
        <f>[1]base!P38</f>
        <v>8.5</v>
      </c>
      <c r="D47">
        <f>[1]r002!P38</f>
        <v>9.5</v>
      </c>
      <c r="E47">
        <f>[1]r001!P38</f>
        <v>10</v>
      </c>
    </row>
    <row r="48" spans="1:5" x14ac:dyDescent="0.35">
      <c r="A48">
        <v>3</v>
      </c>
      <c r="B48">
        <f>[1]r005!P39</f>
        <v>8</v>
      </c>
      <c r="C48">
        <f>[1]base!P39</f>
        <v>8</v>
      </c>
      <c r="D48">
        <f>[1]r002!P39</f>
        <v>9</v>
      </c>
      <c r="E48">
        <f>[1]r001!P39</f>
        <v>9.5</v>
      </c>
    </row>
    <row r="49" spans="1:5" x14ac:dyDescent="0.35">
      <c r="A49">
        <v>4</v>
      </c>
      <c r="B49">
        <f>[1]r005!P40</f>
        <v>8</v>
      </c>
      <c r="C49">
        <f>[1]base!P40</f>
        <v>8</v>
      </c>
      <c r="D49">
        <f>[1]r002!P40</f>
        <v>8.5</v>
      </c>
      <c r="E49">
        <f>[1]r001!P40</f>
        <v>9.5</v>
      </c>
    </row>
    <row r="50" spans="1:5" x14ac:dyDescent="0.35">
      <c r="A50">
        <v>5</v>
      </c>
      <c r="B50">
        <f>[1]r005!P41</f>
        <v>8</v>
      </c>
      <c r="C50">
        <f>[1]base!P41</f>
        <v>8</v>
      </c>
      <c r="D50">
        <f>[1]r002!P41</f>
        <v>8</v>
      </c>
      <c r="E50">
        <f>[1]r001!P41</f>
        <v>9.5</v>
      </c>
    </row>
    <row r="51" spans="1:5" x14ac:dyDescent="0.35">
      <c r="A51">
        <v>6</v>
      </c>
      <c r="B51">
        <f>[1]r005!P42</f>
        <v>8</v>
      </c>
      <c r="C51">
        <f>[1]base!P42</f>
        <v>8</v>
      </c>
      <c r="D51">
        <f>[1]r002!P42</f>
        <v>8</v>
      </c>
      <c r="E51">
        <f>[1]r001!P42</f>
        <v>9.5</v>
      </c>
    </row>
    <row r="52" spans="1:5" x14ac:dyDescent="0.35">
      <c r="A52">
        <v>7</v>
      </c>
      <c r="B52">
        <f>[1]r005!P43</f>
        <v>8</v>
      </c>
      <c r="C52">
        <f>[1]base!P43</f>
        <v>8</v>
      </c>
      <c r="D52">
        <f>[1]r002!P43</f>
        <v>8</v>
      </c>
      <c r="E52">
        <f>[1]r001!P43</f>
        <v>9.5</v>
      </c>
    </row>
    <row r="53" spans="1:5" x14ac:dyDescent="0.35">
      <c r="A53">
        <v>8</v>
      </c>
      <c r="B53">
        <f>[1]r005!P44</f>
        <v>8</v>
      </c>
      <c r="C53">
        <f>[1]base!P44</f>
        <v>8</v>
      </c>
      <c r="D53">
        <f>[1]r002!P44</f>
        <v>8</v>
      </c>
      <c r="E53">
        <f>[1]r001!P44</f>
        <v>9.5</v>
      </c>
    </row>
    <row r="54" spans="1:5" x14ac:dyDescent="0.35">
      <c r="A54">
        <v>9</v>
      </c>
      <c r="B54">
        <f>[1]r005!P45</f>
        <v>8</v>
      </c>
      <c r="C54">
        <f>[1]base!P45</f>
        <v>8</v>
      </c>
      <c r="D54">
        <f>[1]r002!P45</f>
        <v>8</v>
      </c>
      <c r="E54">
        <f>[1]r001!P45</f>
        <v>9.5</v>
      </c>
    </row>
    <row r="55" spans="1:5" x14ac:dyDescent="0.35">
      <c r="A55">
        <v>10</v>
      </c>
      <c r="B55">
        <f>[1]r005!P46</f>
        <v>10</v>
      </c>
      <c r="C55">
        <f>[1]base!P46</f>
        <v>10</v>
      </c>
      <c r="D55">
        <f>[1]r002!P46</f>
        <v>10</v>
      </c>
      <c r="E55">
        <f>[1]r001!P46</f>
        <v>10</v>
      </c>
    </row>
    <row r="57" spans="1:5" x14ac:dyDescent="0.35">
      <c r="A57">
        <v>12</v>
      </c>
    </row>
    <row r="58" spans="1:5" x14ac:dyDescent="0.35">
      <c r="A58" t="s">
        <v>34</v>
      </c>
      <c r="B58">
        <v>0.05</v>
      </c>
      <c r="C58">
        <v>3.5000000000000003E-2</v>
      </c>
      <c r="D58">
        <v>0.02</v>
      </c>
      <c r="E58">
        <v>0.01</v>
      </c>
    </row>
    <row r="59" spans="1:5" x14ac:dyDescent="0.35">
      <c r="A59">
        <v>0</v>
      </c>
      <c r="B59">
        <f>[1]r005!Q36</f>
        <v>12</v>
      </c>
      <c r="C59">
        <f>[1]base!Q36</f>
        <v>12</v>
      </c>
      <c r="D59">
        <f>[1]r002!Q36</f>
        <v>12</v>
      </c>
      <c r="E59">
        <f>[1]r001!Q36</f>
        <v>12</v>
      </c>
    </row>
    <row r="60" spans="1:5" x14ac:dyDescent="0.35">
      <c r="A60">
        <v>1</v>
      </c>
      <c r="B60">
        <f>[1]r005!Q37</f>
        <v>10</v>
      </c>
      <c r="C60">
        <f>[1]base!Q37</f>
        <v>10</v>
      </c>
      <c r="D60">
        <f>[1]r002!Q37</f>
        <v>10.5</v>
      </c>
      <c r="E60">
        <f>[1]r001!Q37</f>
        <v>11.5</v>
      </c>
    </row>
    <row r="61" spans="1:5" x14ac:dyDescent="0.35">
      <c r="A61">
        <v>2</v>
      </c>
      <c r="B61">
        <f>[1]r005!Q38</f>
        <v>8.5</v>
      </c>
      <c r="C61">
        <f>[1]base!Q38</f>
        <v>9</v>
      </c>
      <c r="D61">
        <f>[1]r002!Q38</f>
        <v>9.5</v>
      </c>
      <c r="E61">
        <f>[1]r001!Q38</f>
        <v>11</v>
      </c>
    </row>
    <row r="62" spans="1:5" x14ac:dyDescent="0.35">
      <c r="A62">
        <v>3</v>
      </c>
      <c r="B62">
        <f>[1]r005!Q39</f>
        <v>8</v>
      </c>
      <c r="C62">
        <f>[1]base!Q39</f>
        <v>8.5</v>
      </c>
      <c r="D62">
        <f>[1]r002!Q39</f>
        <v>9</v>
      </c>
      <c r="E62">
        <f>[1]r001!Q39</f>
        <v>10.5</v>
      </c>
    </row>
    <row r="63" spans="1:5" x14ac:dyDescent="0.35">
      <c r="A63">
        <v>4</v>
      </c>
      <c r="B63">
        <f>[1]r005!Q40</f>
        <v>8</v>
      </c>
      <c r="C63">
        <f>[1]base!Q40</f>
        <v>8</v>
      </c>
      <c r="D63">
        <f>[1]r002!Q40</f>
        <v>8.5</v>
      </c>
      <c r="E63">
        <f>[1]r001!Q40</f>
        <v>10</v>
      </c>
    </row>
    <row r="64" spans="1:5" x14ac:dyDescent="0.35">
      <c r="A64">
        <v>5</v>
      </c>
      <c r="B64">
        <f>[1]r005!Q41</f>
        <v>8</v>
      </c>
      <c r="C64">
        <f>[1]base!Q41</f>
        <v>8</v>
      </c>
      <c r="D64">
        <f>[1]r002!Q41</f>
        <v>8</v>
      </c>
      <c r="E64">
        <f>[1]r001!Q41</f>
        <v>9.5</v>
      </c>
    </row>
    <row r="65" spans="1:5" x14ac:dyDescent="0.35">
      <c r="A65">
        <v>6</v>
      </c>
      <c r="B65">
        <f>[1]r005!Q42</f>
        <v>8</v>
      </c>
      <c r="C65">
        <f>[1]base!Q42</f>
        <v>8</v>
      </c>
      <c r="D65">
        <f>[1]r002!Q42</f>
        <v>8</v>
      </c>
      <c r="E65">
        <f>[1]r001!Q42</f>
        <v>9.5</v>
      </c>
    </row>
    <row r="66" spans="1:5" x14ac:dyDescent="0.35">
      <c r="A66">
        <v>7</v>
      </c>
      <c r="B66">
        <f>[1]r005!Q43</f>
        <v>8</v>
      </c>
      <c r="C66">
        <f>[1]base!Q43</f>
        <v>8</v>
      </c>
      <c r="D66">
        <f>[1]r002!Q43</f>
        <v>8</v>
      </c>
      <c r="E66">
        <f>[1]r001!Q43</f>
        <v>9.5</v>
      </c>
    </row>
    <row r="67" spans="1:5" x14ac:dyDescent="0.35">
      <c r="A67">
        <v>8</v>
      </c>
      <c r="B67">
        <f>[1]r005!Q44</f>
        <v>8</v>
      </c>
      <c r="C67">
        <f>[1]base!Q44</f>
        <v>8</v>
      </c>
      <c r="D67">
        <f>[1]r002!Q44</f>
        <v>8</v>
      </c>
      <c r="E67">
        <f>[1]r001!Q44</f>
        <v>9.5</v>
      </c>
    </row>
    <row r="68" spans="1:5" x14ac:dyDescent="0.35">
      <c r="A68">
        <v>9</v>
      </c>
      <c r="B68">
        <f>[1]r005!Q45</f>
        <v>8</v>
      </c>
      <c r="C68">
        <f>[1]base!Q45</f>
        <v>8</v>
      </c>
      <c r="D68">
        <f>[1]r002!Q45</f>
        <v>8</v>
      </c>
      <c r="E68">
        <f>[1]r001!Q45</f>
        <v>9.5</v>
      </c>
    </row>
    <row r="69" spans="1:5" x14ac:dyDescent="0.35">
      <c r="A69">
        <v>10</v>
      </c>
      <c r="B69">
        <f>[1]r005!Q46</f>
        <v>10</v>
      </c>
      <c r="C69">
        <f>[1]base!Q46</f>
        <v>10</v>
      </c>
      <c r="D69">
        <f>[1]r002!Q46</f>
        <v>10</v>
      </c>
      <c r="E69">
        <f>[1]r001!Q46</f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0541-237C-4773-9B5A-C7AE884F6ED0}">
  <dimension ref="A1:L18"/>
  <sheetViews>
    <sheetView workbookViewId="0">
      <selection activeCell="N23" sqref="N23"/>
    </sheetView>
  </sheetViews>
  <sheetFormatPr defaultRowHeight="14.5" x14ac:dyDescent="0.35"/>
  <cols>
    <col min="1" max="16384" width="8.7265625" style="3"/>
  </cols>
  <sheetData>
    <row r="1" spans="1:12" x14ac:dyDescent="0.35">
      <c r="C1" s="3" t="s">
        <v>8</v>
      </c>
      <c r="D1" s="3" t="s">
        <v>0</v>
      </c>
      <c r="E1" s="4" t="s">
        <v>1</v>
      </c>
      <c r="F1" s="4" t="s">
        <v>2</v>
      </c>
      <c r="G1" s="4" t="s">
        <v>5</v>
      </c>
      <c r="H1" s="4" t="s">
        <v>6</v>
      </c>
      <c r="I1" s="4" t="s">
        <v>7</v>
      </c>
      <c r="J1" s="4" t="s">
        <v>3</v>
      </c>
      <c r="K1" s="4" t="s">
        <v>4</v>
      </c>
      <c r="L1" s="4" t="s">
        <v>12</v>
      </c>
    </row>
    <row r="2" spans="1:12" x14ac:dyDescent="0.35">
      <c r="A2" s="46" t="s">
        <v>23</v>
      </c>
      <c r="B2" s="2">
        <v>1</v>
      </c>
      <c r="C2" s="46">
        <v>1663</v>
      </c>
      <c r="D2" s="3">
        <v>116283</v>
      </c>
      <c r="E2" s="5">
        <v>18624</v>
      </c>
      <c r="F2" s="5">
        <v>0</v>
      </c>
      <c r="G2" s="5">
        <v>314971</v>
      </c>
      <c r="H2" s="3">
        <f t="shared" ref="H2:H6" si="0">D2*4.07</f>
        <v>473271.81000000006</v>
      </c>
      <c r="I2" s="3">
        <f t="shared" ref="I2:I6" si="1">E2*4.84</f>
        <v>90140.160000000003</v>
      </c>
      <c r="J2" s="3">
        <v>248441.62029560001</v>
      </c>
      <c r="K2" s="3">
        <f t="shared" ref="K2:K6" si="2">J2+G2</f>
        <v>563412.62029560003</v>
      </c>
      <c r="L2" s="3">
        <f t="shared" ref="L2:L6" si="3">F2*15</f>
        <v>0</v>
      </c>
    </row>
    <row r="3" spans="1:12" x14ac:dyDescent="0.35">
      <c r="A3" s="46"/>
      <c r="B3" s="2">
        <v>2</v>
      </c>
      <c r="C3" s="46"/>
      <c r="D3" s="3">
        <v>116283</v>
      </c>
      <c r="E3" s="5">
        <v>18624</v>
      </c>
      <c r="F3" s="5">
        <v>0</v>
      </c>
      <c r="G3" s="5">
        <v>176251</v>
      </c>
      <c r="H3" s="3">
        <f t="shared" si="0"/>
        <v>473271.81000000006</v>
      </c>
      <c r="I3" s="3">
        <f t="shared" si="1"/>
        <v>90140.160000000003</v>
      </c>
      <c r="J3" s="3">
        <v>387160.85169954994</v>
      </c>
      <c r="K3" s="3">
        <f t="shared" si="2"/>
        <v>563411.85169954994</v>
      </c>
      <c r="L3" s="3">
        <f t="shared" si="3"/>
        <v>0</v>
      </c>
    </row>
    <row r="4" spans="1:12" x14ac:dyDescent="0.35">
      <c r="A4" s="46"/>
      <c r="B4" s="2">
        <v>3</v>
      </c>
      <c r="C4" s="46"/>
      <c r="D4" s="3">
        <v>116283</v>
      </c>
      <c r="E4" s="5">
        <v>18624</v>
      </c>
      <c r="F4" s="5">
        <v>0</v>
      </c>
      <c r="G4" s="5">
        <v>36992</v>
      </c>
      <c r="H4" s="3">
        <f t="shared" si="0"/>
        <v>473271.81000000006</v>
      </c>
      <c r="I4" s="3">
        <f t="shared" si="1"/>
        <v>90140.160000000003</v>
      </c>
      <c r="J4" s="3">
        <v>526419.62541344995</v>
      </c>
      <c r="K4" s="3">
        <f t="shared" si="2"/>
        <v>563411.62541344995</v>
      </c>
      <c r="L4" s="3">
        <f t="shared" si="3"/>
        <v>0</v>
      </c>
    </row>
    <row r="5" spans="1:12" x14ac:dyDescent="0.35">
      <c r="A5" s="46"/>
      <c r="B5" s="2">
        <v>4</v>
      </c>
      <c r="C5" s="46"/>
      <c r="D5" s="3">
        <v>116283</v>
      </c>
      <c r="E5" s="5">
        <v>50103</v>
      </c>
      <c r="F5" s="5">
        <v>0</v>
      </c>
      <c r="G5" s="5">
        <v>0</v>
      </c>
      <c r="H5" s="3">
        <f t="shared" si="0"/>
        <v>473271.81000000006</v>
      </c>
      <c r="I5" s="3">
        <f t="shared" si="1"/>
        <v>242498.52</v>
      </c>
      <c r="J5" s="3">
        <v>715768.7064793501</v>
      </c>
      <c r="K5" s="3">
        <f t="shared" si="2"/>
        <v>715768.7064793501</v>
      </c>
      <c r="L5" s="3">
        <f t="shared" si="3"/>
        <v>0</v>
      </c>
    </row>
    <row r="6" spans="1:12" x14ac:dyDescent="0.35">
      <c r="A6" s="46"/>
      <c r="B6" s="2">
        <v>5</v>
      </c>
      <c r="C6" s="46"/>
      <c r="D6" s="3">
        <v>116283</v>
      </c>
      <c r="E6" s="5">
        <v>132676</v>
      </c>
      <c r="F6" s="5">
        <v>0</v>
      </c>
      <c r="G6" s="5">
        <v>0</v>
      </c>
      <c r="H6" s="3">
        <f t="shared" si="0"/>
        <v>473271.81000000006</v>
      </c>
      <c r="I6" s="3">
        <f t="shared" si="1"/>
        <v>642151.84</v>
      </c>
      <c r="J6" s="3">
        <v>1115423.5016697501</v>
      </c>
      <c r="K6" s="3">
        <f t="shared" si="2"/>
        <v>1115423.5016697501</v>
      </c>
      <c r="L6" s="3">
        <f t="shared" si="3"/>
        <v>0</v>
      </c>
    </row>
    <row r="7" spans="1:12" x14ac:dyDescent="0.35">
      <c r="E7" s="4"/>
      <c r="F7" s="4"/>
      <c r="G7" s="4"/>
      <c r="J7" s="4"/>
    </row>
    <row r="8" spans="1:12" x14ac:dyDescent="0.35">
      <c r="A8" s="45" t="s">
        <v>24</v>
      </c>
      <c r="B8" s="2">
        <v>1</v>
      </c>
      <c r="C8" s="45">
        <v>1615.6</v>
      </c>
      <c r="D8" s="3">
        <v>111502</v>
      </c>
      <c r="E8" s="5">
        <v>10236.220329071819</v>
      </c>
      <c r="F8" s="5">
        <v>0</v>
      </c>
      <c r="G8" s="5">
        <v>254914.64284958882</v>
      </c>
      <c r="H8" s="3">
        <f>D8*4.07</f>
        <v>453813.14</v>
      </c>
      <c r="I8" s="3">
        <f>E8*4.84</f>
        <v>49543.3063927076</v>
      </c>
      <c r="J8" s="3">
        <v>248441.62029560001</v>
      </c>
      <c r="K8" s="3">
        <f>J8+G8</f>
        <v>503356.2631451888</v>
      </c>
      <c r="L8" s="3">
        <f>F8*15</f>
        <v>0</v>
      </c>
    </row>
    <row r="9" spans="1:12" x14ac:dyDescent="0.35">
      <c r="A9" s="45"/>
      <c r="B9" s="2">
        <v>2</v>
      </c>
      <c r="C9" s="45"/>
      <c r="D9" s="3">
        <v>111502</v>
      </c>
      <c r="E9" s="5">
        <v>10236.222311028823</v>
      </c>
      <c r="F9" s="5">
        <v>0</v>
      </c>
      <c r="G9" s="5">
        <v>116195.42103831076</v>
      </c>
      <c r="H9" s="3">
        <f t="shared" ref="H9:H18" si="4">D9*4.07</f>
        <v>453813.14</v>
      </c>
      <c r="I9" s="3">
        <f t="shared" ref="I9:I18" si="5">E9*4.84</f>
        <v>49543.3159853795</v>
      </c>
      <c r="J9" s="3">
        <v>387160.85169954994</v>
      </c>
      <c r="K9" s="3">
        <f t="shared" ref="K9:K18" si="6">J9+G9</f>
        <v>503356.27273786068</v>
      </c>
      <c r="L9" s="3">
        <f t="shared" ref="L9:L18" si="7">F9*15</f>
        <v>0</v>
      </c>
    </row>
    <row r="10" spans="1:12" x14ac:dyDescent="0.35">
      <c r="A10" s="45"/>
      <c r="B10" s="2">
        <v>3</v>
      </c>
      <c r="C10" s="45"/>
      <c r="D10" s="3">
        <v>111502</v>
      </c>
      <c r="E10" s="5">
        <v>15001.377822514176</v>
      </c>
      <c r="F10" s="5">
        <v>0</v>
      </c>
      <c r="G10" s="5">
        <v>0</v>
      </c>
      <c r="H10" s="3">
        <f t="shared" si="4"/>
        <v>453813.14</v>
      </c>
      <c r="I10" s="3">
        <f t="shared" si="5"/>
        <v>72606.668660968615</v>
      </c>
      <c r="J10" s="3">
        <v>526419.62541344995</v>
      </c>
      <c r="K10" s="3">
        <f t="shared" si="6"/>
        <v>526419.62541344995</v>
      </c>
      <c r="L10" s="3">
        <f t="shared" si="7"/>
        <v>0</v>
      </c>
    </row>
    <row r="11" spans="1:12" x14ac:dyDescent="0.35">
      <c r="A11" s="45"/>
      <c r="B11" s="2">
        <v>4</v>
      </c>
      <c r="C11" s="45"/>
      <c r="D11" s="3">
        <v>111502</v>
      </c>
      <c r="E11" s="5">
        <v>54123.088786543136</v>
      </c>
      <c r="F11" s="5">
        <v>0</v>
      </c>
      <c r="G11" s="5">
        <v>0</v>
      </c>
      <c r="H11" s="3">
        <f t="shared" si="4"/>
        <v>453813.14</v>
      </c>
      <c r="I11" s="3">
        <f t="shared" si="5"/>
        <v>261955.74972686876</v>
      </c>
      <c r="J11" s="3">
        <v>715768.7064793501</v>
      </c>
      <c r="K11" s="3">
        <f t="shared" si="6"/>
        <v>715768.7064793501</v>
      </c>
      <c r="L11" s="3">
        <f t="shared" si="7"/>
        <v>0</v>
      </c>
    </row>
    <row r="12" spans="1:12" x14ac:dyDescent="0.35">
      <c r="A12" s="45"/>
      <c r="B12" s="2">
        <v>5</v>
      </c>
      <c r="C12" s="45"/>
      <c r="D12" s="3">
        <v>111502</v>
      </c>
      <c r="E12" s="5">
        <v>134195.68041671583</v>
      </c>
      <c r="F12" s="5">
        <v>806.89678002422943</v>
      </c>
      <c r="G12" s="5">
        <v>0</v>
      </c>
      <c r="H12" s="3">
        <f t="shared" si="4"/>
        <v>453813.14</v>
      </c>
      <c r="I12" s="3">
        <f t="shared" si="5"/>
        <v>649507.09321690456</v>
      </c>
      <c r="J12" s="3">
        <v>1115423.5016697501</v>
      </c>
      <c r="K12" s="3">
        <f t="shared" si="6"/>
        <v>1115423.5016697501</v>
      </c>
      <c r="L12" s="3">
        <f>F12*15</f>
        <v>12103.451700363441</v>
      </c>
    </row>
    <row r="14" spans="1:12" x14ac:dyDescent="0.35">
      <c r="A14" s="46" t="s">
        <v>25</v>
      </c>
      <c r="B14" s="2">
        <v>1</v>
      </c>
      <c r="C14" s="46">
        <v>1585</v>
      </c>
      <c r="D14" s="3">
        <v>109117</v>
      </c>
      <c r="E14" s="3">
        <v>4692.310792993736</v>
      </c>
      <c r="F14" s="5">
        <v>0</v>
      </c>
      <c r="G14" s="3">
        <v>218373.99554403758</v>
      </c>
      <c r="H14" s="3">
        <f t="shared" si="4"/>
        <v>444106.19</v>
      </c>
      <c r="I14" s="3">
        <f t="shared" si="5"/>
        <v>22710.78423808968</v>
      </c>
      <c r="J14" s="3">
        <v>248441.62029560001</v>
      </c>
      <c r="K14" s="3">
        <f t="shared" si="6"/>
        <v>466815.61583963758</v>
      </c>
      <c r="L14" s="3">
        <f t="shared" si="7"/>
        <v>0</v>
      </c>
    </row>
    <row r="15" spans="1:12" x14ac:dyDescent="0.35">
      <c r="A15" s="46"/>
      <c r="B15" s="2">
        <v>2</v>
      </c>
      <c r="C15" s="46"/>
      <c r="D15" s="3">
        <v>109117</v>
      </c>
      <c r="E15" s="3">
        <v>4692.3124943905605</v>
      </c>
      <c r="F15" s="5">
        <v>0</v>
      </c>
      <c r="G15" s="3">
        <v>79654.772374848297</v>
      </c>
      <c r="H15" s="3">
        <f t="shared" si="4"/>
        <v>444106.19</v>
      </c>
      <c r="I15" s="3">
        <f t="shared" si="5"/>
        <v>22710.792472850313</v>
      </c>
      <c r="J15" s="3">
        <v>387160.85169954994</v>
      </c>
      <c r="K15" s="3">
        <f t="shared" si="6"/>
        <v>466815.62407439825</v>
      </c>
      <c r="L15" s="3">
        <f t="shared" si="7"/>
        <v>0</v>
      </c>
    </row>
    <row r="16" spans="1:12" x14ac:dyDescent="0.35">
      <c r="A16" s="46"/>
      <c r="B16" s="2">
        <v>3</v>
      </c>
      <c r="C16" s="46"/>
      <c r="D16" s="3">
        <v>109117</v>
      </c>
      <c r="E16" s="3">
        <v>17007.18880411168</v>
      </c>
      <c r="F16" s="5">
        <v>0</v>
      </c>
      <c r="G16" s="3">
        <v>0</v>
      </c>
      <c r="H16" s="3">
        <f t="shared" si="4"/>
        <v>444106.19</v>
      </c>
      <c r="I16" s="3">
        <f t="shared" si="5"/>
        <v>82314.793811900527</v>
      </c>
      <c r="J16" s="3">
        <v>526419.62541344995</v>
      </c>
      <c r="K16" s="3">
        <f t="shared" si="6"/>
        <v>526419.62541344995</v>
      </c>
      <c r="L16" s="3">
        <f t="shared" si="7"/>
        <v>0</v>
      </c>
    </row>
    <row r="17" spans="1:12" x14ac:dyDescent="0.35">
      <c r="A17" s="46"/>
      <c r="B17" s="2">
        <v>4</v>
      </c>
      <c r="C17" s="46"/>
      <c r="D17" s="3">
        <v>109117</v>
      </c>
      <c r="E17" s="3">
        <v>56128.899768140647</v>
      </c>
      <c r="F17" s="5">
        <v>0</v>
      </c>
      <c r="G17" s="3">
        <v>0</v>
      </c>
      <c r="H17" s="3">
        <f t="shared" si="4"/>
        <v>444106.19</v>
      </c>
      <c r="I17" s="3">
        <f t="shared" si="5"/>
        <v>271663.8748778007</v>
      </c>
      <c r="J17" s="3">
        <v>715768.7064793501</v>
      </c>
      <c r="K17" s="3">
        <f t="shared" si="6"/>
        <v>715768.7064793501</v>
      </c>
      <c r="L17" s="3">
        <f t="shared" si="7"/>
        <v>0</v>
      </c>
    </row>
    <row r="18" spans="1:12" x14ac:dyDescent="0.35">
      <c r="A18" s="46"/>
      <c r="B18" s="2">
        <v>5</v>
      </c>
      <c r="C18" s="46"/>
      <c r="D18" s="3">
        <v>109117</v>
      </c>
      <c r="E18" s="3">
        <v>128651.76047861451</v>
      </c>
      <c r="F18" s="5">
        <v>3242.9432901131645</v>
      </c>
      <c r="G18" s="3">
        <v>0</v>
      </c>
      <c r="H18" s="3">
        <f t="shared" si="4"/>
        <v>444106.19</v>
      </c>
      <c r="I18" s="3">
        <f t="shared" si="5"/>
        <v>622674.52071649418</v>
      </c>
      <c r="J18" s="3">
        <v>1115423.5016697501</v>
      </c>
      <c r="K18" s="3">
        <f t="shared" si="6"/>
        <v>1115423.5016697501</v>
      </c>
      <c r="L18" s="3">
        <f t="shared" si="7"/>
        <v>48644.149351697466</v>
      </c>
    </row>
  </sheetData>
  <mergeCells count="6">
    <mergeCell ref="A2:A6"/>
    <mergeCell ref="A8:A12"/>
    <mergeCell ref="A14:A18"/>
    <mergeCell ref="C2:C6"/>
    <mergeCell ref="C8:C12"/>
    <mergeCell ref="C14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EBF7-A37B-426D-9727-8904548577E2}">
  <dimension ref="A1:H87"/>
  <sheetViews>
    <sheetView topLeftCell="A28" workbookViewId="0">
      <selection activeCell="L66" sqref="L66"/>
    </sheetView>
  </sheetViews>
  <sheetFormatPr defaultRowHeight="14.5" x14ac:dyDescent="0.35"/>
  <cols>
    <col min="1" max="1" width="11.81640625" bestFit="1" customWidth="1"/>
  </cols>
  <sheetData>
    <row r="1" spans="1:7" x14ac:dyDescent="0.35">
      <c r="A1">
        <v>8</v>
      </c>
      <c r="B1" s="47" t="s">
        <v>11</v>
      </c>
      <c r="C1" s="47"/>
      <c r="D1" s="47"/>
      <c r="E1" s="47" t="s">
        <v>0</v>
      </c>
      <c r="F1" s="47"/>
      <c r="G1" s="47"/>
    </row>
    <row r="2" spans="1:7" x14ac:dyDescent="0.35">
      <c r="A2" t="s">
        <v>26</v>
      </c>
      <c r="B2" t="s">
        <v>27</v>
      </c>
      <c r="C2" t="s">
        <v>9</v>
      </c>
      <c r="D2" t="s">
        <v>10</v>
      </c>
      <c r="E2" t="s">
        <v>27</v>
      </c>
      <c r="F2" t="s">
        <v>9</v>
      </c>
      <c r="G2" t="s">
        <v>10</v>
      </c>
    </row>
    <row r="3" spans="1:7" x14ac:dyDescent="0.35">
      <c r="A3">
        <v>0</v>
      </c>
      <c r="B3">
        <f>[1]driest!M36</f>
        <v>8</v>
      </c>
      <c r="C3">
        <f>[1]drier!M36</f>
        <v>8</v>
      </c>
      <c r="D3">
        <f>[1]base!M36</f>
        <v>8</v>
      </c>
    </row>
    <row r="4" spans="1:7" x14ac:dyDescent="0.35">
      <c r="A4">
        <v>1</v>
      </c>
      <c r="B4">
        <f>[1]driest!M37</f>
        <v>8</v>
      </c>
      <c r="C4">
        <f>[1]drier!M37</f>
        <v>8</v>
      </c>
      <c r="D4">
        <f>[1]base!M37</f>
        <v>8</v>
      </c>
      <c r="E4">
        <f>[1]driest!M52</f>
        <v>130000</v>
      </c>
      <c r="F4">
        <f>[1]drier!M52</f>
        <v>140000</v>
      </c>
      <c r="G4">
        <f>[1]base!M52</f>
        <v>150000</v>
      </c>
    </row>
    <row r="5" spans="1:7" x14ac:dyDescent="0.35">
      <c r="A5">
        <v>2</v>
      </c>
      <c r="B5">
        <f>[1]driest!M38</f>
        <v>8</v>
      </c>
      <c r="C5">
        <f>[1]drier!M38</f>
        <v>8</v>
      </c>
      <c r="D5">
        <f>[1]base!M38</f>
        <v>8</v>
      </c>
      <c r="E5">
        <f>[1]driest!M53</f>
        <v>130000</v>
      </c>
      <c r="F5">
        <f>[1]drier!M53</f>
        <v>140000</v>
      </c>
      <c r="G5">
        <f>[1]base!M53</f>
        <v>150000</v>
      </c>
    </row>
    <row r="6" spans="1:7" x14ac:dyDescent="0.35">
      <c r="A6">
        <v>3</v>
      </c>
      <c r="B6">
        <f>[1]driest!M39</f>
        <v>8</v>
      </c>
      <c r="C6">
        <f>[1]drier!M39</f>
        <v>8</v>
      </c>
      <c r="D6">
        <f>[1]base!M39</f>
        <v>8</v>
      </c>
      <c r="E6">
        <f>[1]driest!M54</f>
        <v>130000</v>
      </c>
      <c r="F6">
        <f>[1]drier!M54</f>
        <v>140000</v>
      </c>
      <c r="G6">
        <f>[1]base!M54</f>
        <v>150000</v>
      </c>
    </row>
    <row r="7" spans="1:7" x14ac:dyDescent="0.35">
      <c r="A7">
        <v>4</v>
      </c>
      <c r="B7">
        <f>[1]driest!M40</f>
        <v>8</v>
      </c>
      <c r="C7">
        <f>[1]drier!M40</f>
        <v>8</v>
      </c>
      <c r="D7">
        <f>[1]base!M40</f>
        <v>8</v>
      </c>
      <c r="E7">
        <f>[1]driest!M55</f>
        <v>130000</v>
      </c>
      <c r="F7">
        <f>[1]drier!M55</f>
        <v>140000</v>
      </c>
      <c r="G7">
        <f>[1]base!M55</f>
        <v>150000</v>
      </c>
    </row>
    <row r="8" spans="1:7" x14ac:dyDescent="0.35">
      <c r="A8">
        <v>5</v>
      </c>
      <c r="B8">
        <f>[1]driest!M41</f>
        <v>8</v>
      </c>
      <c r="C8">
        <f>[1]drier!M41</f>
        <v>8</v>
      </c>
      <c r="D8">
        <f>[1]base!M41</f>
        <v>8</v>
      </c>
      <c r="E8">
        <f>[1]driest!M56</f>
        <v>130000</v>
      </c>
      <c r="F8">
        <f>[1]drier!M56</f>
        <v>140000</v>
      </c>
      <c r="G8">
        <f>[1]base!M56</f>
        <v>150000</v>
      </c>
    </row>
    <row r="9" spans="1:7" x14ac:dyDescent="0.35">
      <c r="A9">
        <v>6</v>
      </c>
      <c r="B9">
        <f>[1]driest!M42</f>
        <v>8</v>
      </c>
      <c r="C9">
        <f>[1]drier!M42</f>
        <v>8</v>
      </c>
      <c r="D9">
        <f>[1]base!M42</f>
        <v>8</v>
      </c>
      <c r="E9">
        <f>[1]driest!M57</f>
        <v>130000</v>
      </c>
      <c r="F9">
        <f>[1]drier!M57</f>
        <v>140000</v>
      </c>
      <c r="G9">
        <f>[1]base!M57</f>
        <v>150000</v>
      </c>
    </row>
    <row r="10" spans="1:7" x14ac:dyDescent="0.35">
      <c r="A10">
        <v>7</v>
      </c>
      <c r="B10">
        <f>[1]driest!M43</f>
        <v>8</v>
      </c>
      <c r="C10">
        <f>[1]drier!M43</f>
        <v>8</v>
      </c>
      <c r="D10">
        <f>[1]base!M43</f>
        <v>8</v>
      </c>
      <c r="E10">
        <f>[1]driest!M58</f>
        <v>130000</v>
      </c>
      <c r="F10">
        <f>[1]drier!M58</f>
        <v>140000</v>
      </c>
      <c r="G10">
        <f>[1]base!M58</f>
        <v>150000</v>
      </c>
    </row>
    <row r="11" spans="1:7" x14ac:dyDescent="0.35">
      <c r="A11">
        <v>8</v>
      </c>
      <c r="B11">
        <f>[1]driest!M44</f>
        <v>8</v>
      </c>
      <c r="C11">
        <f>[1]drier!M44</f>
        <v>8</v>
      </c>
      <c r="D11">
        <f>[1]base!M44</f>
        <v>8</v>
      </c>
      <c r="E11">
        <f>[1]driest!M59</f>
        <v>130000</v>
      </c>
      <c r="F11">
        <f>[1]drier!M59</f>
        <v>140000</v>
      </c>
      <c r="G11">
        <f>[1]base!M59</f>
        <v>150000</v>
      </c>
    </row>
    <row r="12" spans="1:7" x14ac:dyDescent="0.35">
      <c r="A12">
        <v>9</v>
      </c>
      <c r="B12">
        <f>[1]driest!M45</f>
        <v>8</v>
      </c>
      <c r="C12">
        <f>[1]drier!M45</f>
        <v>8</v>
      </c>
      <c r="D12">
        <f>[1]base!M45</f>
        <v>8</v>
      </c>
      <c r="E12">
        <f>[1]driest!M60</f>
        <v>130000</v>
      </c>
      <c r="F12">
        <f>[1]drier!M60</f>
        <v>140000</v>
      </c>
      <c r="G12">
        <f>[1]base!M60</f>
        <v>150000</v>
      </c>
    </row>
    <row r="13" spans="1:7" x14ac:dyDescent="0.35">
      <c r="A13">
        <v>10</v>
      </c>
      <c r="B13">
        <f>[1]driest!M46</f>
        <v>10</v>
      </c>
      <c r="C13">
        <f>[1]drier!M46</f>
        <v>10</v>
      </c>
      <c r="D13">
        <f>[1]base!M46</f>
        <v>10</v>
      </c>
      <c r="E13">
        <f>[1]driest!M61</f>
        <v>80000</v>
      </c>
      <c r="F13">
        <f>[1]drier!M61</f>
        <v>90000</v>
      </c>
      <c r="G13">
        <f>[1]base!M61</f>
        <v>100000</v>
      </c>
    </row>
    <row r="15" spans="1:7" x14ac:dyDescent="0.35">
      <c r="A15">
        <v>9</v>
      </c>
      <c r="B15" s="47" t="s">
        <v>11</v>
      </c>
      <c r="C15" s="47"/>
      <c r="D15" s="47"/>
      <c r="E15" s="47" t="s">
        <v>0</v>
      </c>
      <c r="F15" s="47"/>
      <c r="G15" s="47"/>
    </row>
    <row r="16" spans="1:7" x14ac:dyDescent="0.35">
      <c r="A16" t="s">
        <v>26</v>
      </c>
      <c r="B16" t="s">
        <v>27</v>
      </c>
      <c r="C16" t="s">
        <v>9</v>
      </c>
      <c r="D16" t="s">
        <v>10</v>
      </c>
      <c r="E16" t="s">
        <v>27</v>
      </c>
      <c r="F16" t="s">
        <v>9</v>
      </c>
      <c r="G16" t="s">
        <v>10</v>
      </c>
    </row>
    <row r="17" spans="1:7" x14ac:dyDescent="0.35">
      <c r="A17">
        <v>0</v>
      </c>
      <c r="B17">
        <f>[1]driest!N36</f>
        <v>9</v>
      </c>
      <c r="C17">
        <f>[1]drier!N36</f>
        <v>9</v>
      </c>
      <c r="D17">
        <f>[1]base!N36</f>
        <v>9</v>
      </c>
    </row>
    <row r="18" spans="1:7" x14ac:dyDescent="0.35">
      <c r="A18">
        <v>1</v>
      </c>
      <c r="B18">
        <f>[1]driest!N37</f>
        <v>8</v>
      </c>
      <c r="C18">
        <f>[1]drier!N37</f>
        <v>8.5</v>
      </c>
      <c r="D18">
        <f>[1]base!N37</f>
        <v>8.5</v>
      </c>
      <c r="E18">
        <f>[1]driest!N52</f>
        <v>150000</v>
      </c>
      <c r="F18">
        <f>[1]drier!N52</f>
        <v>150000</v>
      </c>
      <c r="G18">
        <f>[1]base!N52</f>
        <v>150000</v>
      </c>
    </row>
    <row r="19" spans="1:7" x14ac:dyDescent="0.35">
      <c r="A19">
        <v>2</v>
      </c>
      <c r="B19">
        <f>[1]driest!N38</f>
        <v>8</v>
      </c>
      <c r="C19">
        <f>[1]drier!N38</f>
        <v>8</v>
      </c>
      <c r="D19">
        <f>[1]base!N38</f>
        <v>8</v>
      </c>
      <c r="E19">
        <f>[1]driest!N53</f>
        <v>130000</v>
      </c>
      <c r="F19">
        <f>[1]drier!N53</f>
        <v>150000</v>
      </c>
      <c r="G19">
        <f>[1]base!N53</f>
        <v>150000</v>
      </c>
    </row>
    <row r="20" spans="1:7" x14ac:dyDescent="0.35">
      <c r="A20">
        <v>3</v>
      </c>
      <c r="B20">
        <f>[1]driest!N39</f>
        <v>8</v>
      </c>
      <c r="C20">
        <f>[1]drier!N39</f>
        <v>8</v>
      </c>
      <c r="D20">
        <f>[1]base!N39</f>
        <v>8</v>
      </c>
      <c r="E20">
        <f>[1]driest!N54</f>
        <v>130000</v>
      </c>
      <c r="F20">
        <f>[1]drier!N54</f>
        <v>140000</v>
      </c>
      <c r="G20">
        <f>[1]base!N54</f>
        <v>150000</v>
      </c>
    </row>
    <row r="21" spans="1:7" x14ac:dyDescent="0.35">
      <c r="A21">
        <v>4</v>
      </c>
      <c r="B21">
        <f>[1]driest!N40</f>
        <v>8</v>
      </c>
      <c r="C21">
        <f>[1]drier!N40</f>
        <v>8</v>
      </c>
      <c r="D21">
        <f>[1]base!N40</f>
        <v>8</v>
      </c>
      <c r="E21">
        <f>[1]driest!N55</f>
        <v>130000</v>
      </c>
      <c r="F21">
        <f>[1]drier!N55</f>
        <v>140000</v>
      </c>
      <c r="G21">
        <f>[1]base!N55</f>
        <v>150000</v>
      </c>
    </row>
    <row r="22" spans="1:7" x14ac:dyDescent="0.35">
      <c r="A22">
        <v>5</v>
      </c>
      <c r="B22">
        <f>[1]driest!N41</f>
        <v>8</v>
      </c>
      <c r="C22">
        <f>[1]drier!N41</f>
        <v>8</v>
      </c>
      <c r="D22">
        <f>[1]base!N41</f>
        <v>8</v>
      </c>
      <c r="E22">
        <f>[1]driest!N56</f>
        <v>130000</v>
      </c>
      <c r="F22">
        <f>[1]drier!N56</f>
        <v>140000</v>
      </c>
      <c r="G22">
        <f>[1]base!N56</f>
        <v>150000</v>
      </c>
    </row>
    <row r="23" spans="1:7" x14ac:dyDescent="0.35">
      <c r="A23">
        <v>6</v>
      </c>
      <c r="B23">
        <f>[1]driest!N42</f>
        <v>8</v>
      </c>
      <c r="C23">
        <f>[1]drier!N42</f>
        <v>8</v>
      </c>
      <c r="D23">
        <f>[1]base!N42</f>
        <v>8</v>
      </c>
      <c r="E23">
        <f>[1]driest!N57</f>
        <v>130000</v>
      </c>
      <c r="F23">
        <f>[1]drier!N57</f>
        <v>140000</v>
      </c>
      <c r="G23">
        <f>[1]base!N57</f>
        <v>150000</v>
      </c>
    </row>
    <row r="24" spans="1:7" x14ac:dyDescent="0.35">
      <c r="A24">
        <v>7</v>
      </c>
      <c r="B24">
        <f>[1]driest!N43</f>
        <v>8</v>
      </c>
      <c r="C24">
        <f>[1]drier!N43</f>
        <v>8</v>
      </c>
      <c r="D24">
        <f>[1]base!N43</f>
        <v>8</v>
      </c>
      <c r="E24">
        <f>[1]driest!N58</f>
        <v>130000</v>
      </c>
      <c r="F24">
        <f>[1]drier!N58</f>
        <v>140000</v>
      </c>
      <c r="G24">
        <f>[1]base!N58</f>
        <v>150000</v>
      </c>
    </row>
    <row r="25" spans="1:7" x14ac:dyDescent="0.35">
      <c r="A25">
        <v>8</v>
      </c>
      <c r="B25">
        <f>[1]driest!N44</f>
        <v>8</v>
      </c>
      <c r="C25">
        <f>[1]drier!N44</f>
        <v>8</v>
      </c>
      <c r="D25">
        <f>[1]base!N44</f>
        <v>8</v>
      </c>
      <c r="E25">
        <f>[1]driest!N59</f>
        <v>130000</v>
      </c>
      <c r="F25">
        <f>[1]drier!N59</f>
        <v>140000</v>
      </c>
      <c r="G25">
        <f>[1]base!N59</f>
        <v>150000</v>
      </c>
    </row>
    <row r="26" spans="1:7" x14ac:dyDescent="0.35">
      <c r="A26">
        <v>9</v>
      </c>
      <c r="B26">
        <f>[1]driest!N45</f>
        <v>8</v>
      </c>
      <c r="C26">
        <f>[1]drier!N45</f>
        <v>8</v>
      </c>
      <c r="D26">
        <f>[1]base!N45</f>
        <v>8</v>
      </c>
      <c r="E26">
        <f>[1]driest!N60</f>
        <v>130000</v>
      </c>
      <c r="F26">
        <f>[1]drier!N60</f>
        <v>140000</v>
      </c>
      <c r="G26">
        <f>[1]base!N60</f>
        <v>150000</v>
      </c>
    </row>
    <row r="27" spans="1:7" x14ac:dyDescent="0.35">
      <c r="A27">
        <v>10</v>
      </c>
      <c r="B27">
        <f>[1]driest!N46</f>
        <v>10</v>
      </c>
      <c r="C27">
        <f>[1]drier!N46</f>
        <v>10</v>
      </c>
      <c r="D27">
        <f>[1]base!N46</f>
        <v>10</v>
      </c>
      <c r="E27">
        <f>[1]driest!N61</f>
        <v>80000</v>
      </c>
      <c r="F27">
        <f>[1]drier!N61</f>
        <v>90000</v>
      </c>
      <c r="G27">
        <f>[1]base!N61</f>
        <v>100000</v>
      </c>
    </row>
    <row r="29" spans="1:7" x14ac:dyDescent="0.35">
      <c r="A29">
        <v>10</v>
      </c>
      <c r="B29" s="47" t="s">
        <v>11</v>
      </c>
      <c r="C29" s="47"/>
      <c r="D29" s="47"/>
      <c r="E29" s="47" t="s">
        <v>0</v>
      </c>
      <c r="F29" s="47"/>
      <c r="G29" s="47"/>
    </row>
    <row r="30" spans="1:7" x14ac:dyDescent="0.35">
      <c r="A30" t="s">
        <v>26</v>
      </c>
      <c r="B30" t="s">
        <v>27</v>
      </c>
      <c r="C30" t="s">
        <v>9</v>
      </c>
      <c r="D30" t="s">
        <v>10</v>
      </c>
      <c r="E30" t="s">
        <v>27</v>
      </c>
      <c r="F30" t="s">
        <v>9</v>
      </c>
      <c r="G30" t="s">
        <v>10</v>
      </c>
    </row>
    <row r="31" spans="1:7" x14ac:dyDescent="0.35">
      <c r="A31">
        <v>0</v>
      </c>
      <c r="B31">
        <f>[1]driest!O36</f>
        <v>10</v>
      </c>
      <c r="C31">
        <f>[1]drier!O36</f>
        <v>10</v>
      </c>
      <c r="D31">
        <f>[1]base!O36</f>
        <v>10</v>
      </c>
    </row>
    <row r="32" spans="1:7" x14ac:dyDescent="0.35">
      <c r="A32">
        <v>1</v>
      </c>
      <c r="B32">
        <f>[1]driest!O37</f>
        <v>9</v>
      </c>
      <c r="C32">
        <f>[1]drier!O37</f>
        <v>9</v>
      </c>
      <c r="D32">
        <f>[1]base!O37</f>
        <v>9</v>
      </c>
      <c r="E32">
        <f>[1]driest!O52</f>
        <v>150000</v>
      </c>
      <c r="F32">
        <f>[1]drier!O52</f>
        <v>150000</v>
      </c>
      <c r="G32">
        <f>[1]base!O52</f>
        <v>150000</v>
      </c>
    </row>
    <row r="33" spans="1:7" x14ac:dyDescent="0.35">
      <c r="A33">
        <v>2</v>
      </c>
      <c r="B33">
        <f>[1]driest!O38</f>
        <v>8</v>
      </c>
      <c r="C33">
        <f>[1]drier!O38</f>
        <v>8.5</v>
      </c>
      <c r="D33">
        <f>[1]base!O38</f>
        <v>8.5</v>
      </c>
      <c r="E33">
        <f>[1]driest!O53</f>
        <v>150000</v>
      </c>
      <c r="F33">
        <f>[1]drier!O53</f>
        <v>150000</v>
      </c>
      <c r="G33">
        <f>[1]base!O53</f>
        <v>150000</v>
      </c>
    </row>
    <row r="34" spans="1:7" x14ac:dyDescent="0.35">
      <c r="A34">
        <v>3</v>
      </c>
      <c r="B34">
        <f>[1]driest!O39</f>
        <v>8</v>
      </c>
      <c r="C34">
        <f>[1]drier!O39</f>
        <v>8</v>
      </c>
      <c r="D34">
        <f>[1]base!O39</f>
        <v>8</v>
      </c>
      <c r="E34">
        <f>[1]driest!O54</f>
        <v>130000</v>
      </c>
      <c r="F34">
        <f>[1]drier!O54</f>
        <v>150000</v>
      </c>
      <c r="G34">
        <f>[1]base!O54</f>
        <v>150000</v>
      </c>
    </row>
    <row r="35" spans="1:7" x14ac:dyDescent="0.35">
      <c r="A35">
        <v>4</v>
      </c>
      <c r="B35">
        <f>[1]driest!O40</f>
        <v>8</v>
      </c>
      <c r="C35">
        <f>[1]drier!O40</f>
        <v>8</v>
      </c>
      <c r="D35">
        <f>[1]base!O40</f>
        <v>8</v>
      </c>
      <c r="E35">
        <f>[1]driest!O55</f>
        <v>130000</v>
      </c>
      <c r="F35">
        <f>[1]drier!O55</f>
        <v>140000</v>
      </c>
      <c r="G35">
        <f>[1]base!O55</f>
        <v>150000</v>
      </c>
    </row>
    <row r="36" spans="1:7" x14ac:dyDescent="0.35">
      <c r="A36">
        <v>5</v>
      </c>
      <c r="B36">
        <f>[1]driest!O41</f>
        <v>8</v>
      </c>
      <c r="C36">
        <f>[1]drier!O41</f>
        <v>8</v>
      </c>
      <c r="D36">
        <f>[1]base!O41</f>
        <v>8</v>
      </c>
      <c r="E36">
        <f>[1]driest!O56</f>
        <v>130000</v>
      </c>
      <c r="F36">
        <f>[1]drier!O56</f>
        <v>140000</v>
      </c>
      <c r="G36">
        <f>[1]base!O56</f>
        <v>150000</v>
      </c>
    </row>
    <row r="37" spans="1:7" x14ac:dyDescent="0.35">
      <c r="A37">
        <v>6</v>
      </c>
      <c r="B37">
        <f>[1]driest!O42</f>
        <v>8</v>
      </c>
      <c r="C37">
        <f>[1]drier!O42</f>
        <v>8</v>
      </c>
      <c r="D37">
        <f>[1]base!O42</f>
        <v>8</v>
      </c>
      <c r="E37">
        <f>[1]driest!O57</f>
        <v>130000</v>
      </c>
      <c r="F37">
        <f>[1]drier!O57</f>
        <v>140000</v>
      </c>
      <c r="G37">
        <f>[1]base!O57</f>
        <v>150000</v>
      </c>
    </row>
    <row r="38" spans="1:7" x14ac:dyDescent="0.35">
      <c r="A38">
        <v>7</v>
      </c>
      <c r="B38">
        <f>[1]driest!O43</f>
        <v>8</v>
      </c>
      <c r="C38">
        <f>[1]drier!O43</f>
        <v>8</v>
      </c>
      <c r="D38">
        <f>[1]base!O43</f>
        <v>8</v>
      </c>
      <c r="E38">
        <f>[1]driest!O58</f>
        <v>130000</v>
      </c>
      <c r="F38">
        <f>[1]drier!O58</f>
        <v>140000</v>
      </c>
      <c r="G38">
        <f>[1]base!O58</f>
        <v>150000</v>
      </c>
    </row>
    <row r="39" spans="1:7" x14ac:dyDescent="0.35">
      <c r="A39">
        <v>8</v>
      </c>
      <c r="B39">
        <f>[1]driest!O44</f>
        <v>8</v>
      </c>
      <c r="C39">
        <f>[1]drier!O44</f>
        <v>8</v>
      </c>
      <c r="D39">
        <f>[1]base!O44</f>
        <v>8</v>
      </c>
      <c r="E39">
        <f>[1]driest!O59</f>
        <v>130000</v>
      </c>
      <c r="F39">
        <f>[1]drier!O59</f>
        <v>140000</v>
      </c>
      <c r="G39">
        <f>[1]base!O59</f>
        <v>150000</v>
      </c>
    </row>
    <row r="40" spans="1:7" x14ac:dyDescent="0.35">
      <c r="A40">
        <v>9</v>
      </c>
      <c r="B40">
        <f>[1]driest!O45</f>
        <v>8</v>
      </c>
      <c r="C40">
        <f>[1]drier!O45</f>
        <v>8</v>
      </c>
      <c r="D40">
        <f>[1]base!O45</f>
        <v>8</v>
      </c>
      <c r="E40">
        <f>[1]driest!O60</f>
        <v>130000</v>
      </c>
      <c r="F40">
        <f>[1]drier!O60</f>
        <v>140000</v>
      </c>
      <c r="G40">
        <f>[1]base!O60</f>
        <v>150000</v>
      </c>
    </row>
    <row r="41" spans="1:7" x14ac:dyDescent="0.35">
      <c r="A41">
        <v>10</v>
      </c>
      <c r="B41">
        <f>[1]driest!O46</f>
        <v>10</v>
      </c>
      <c r="C41">
        <f>[1]drier!O46</f>
        <v>10</v>
      </c>
      <c r="D41">
        <f>[1]base!O46</f>
        <v>10</v>
      </c>
      <c r="E41">
        <f>[1]driest!O61</f>
        <v>80000</v>
      </c>
      <c r="F41">
        <f>[1]drier!O61</f>
        <v>90000</v>
      </c>
      <c r="G41">
        <f>[1]base!O61</f>
        <v>100000</v>
      </c>
    </row>
    <row r="43" spans="1:7" x14ac:dyDescent="0.35">
      <c r="A43">
        <v>11</v>
      </c>
      <c r="B43" s="47" t="s">
        <v>11</v>
      </c>
      <c r="C43" s="47"/>
      <c r="D43" s="47"/>
      <c r="E43" s="47" t="s">
        <v>0</v>
      </c>
      <c r="F43" s="47"/>
      <c r="G43" s="47"/>
    </row>
    <row r="44" spans="1:7" x14ac:dyDescent="0.35">
      <c r="A44" t="s">
        <v>26</v>
      </c>
      <c r="B44" t="s">
        <v>27</v>
      </c>
      <c r="C44" t="s">
        <v>9</v>
      </c>
      <c r="D44" t="s">
        <v>10</v>
      </c>
      <c r="E44" t="s">
        <v>27</v>
      </c>
      <c r="F44" t="s">
        <v>9</v>
      </c>
      <c r="G44" t="s">
        <v>10</v>
      </c>
    </row>
    <row r="45" spans="1:7" x14ac:dyDescent="0.35">
      <c r="A45">
        <v>0</v>
      </c>
      <c r="B45">
        <f>[1]driest!P36</f>
        <v>11</v>
      </c>
      <c r="C45">
        <f>[1]drier!P36</f>
        <v>11</v>
      </c>
      <c r="D45">
        <f>[1]base!P36</f>
        <v>11</v>
      </c>
    </row>
    <row r="46" spans="1:7" x14ac:dyDescent="0.35">
      <c r="A46">
        <v>1</v>
      </c>
      <c r="B46">
        <f>[1]driest!P37</f>
        <v>9.5</v>
      </c>
      <c r="C46">
        <f>[1]drier!P37</f>
        <v>9.5</v>
      </c>
      <c r="D46">
        <f>[1]base!P37</f>
        <v>9.5</v>
      </c>
      <c r="E46">
        <f>[1]driest!P52</f>
        <v>150000</v>
      </c>
      <c r="F46">
        <f>[1]drier!P52</f>
        <v>150000</v>
      </c>
      <c r="G46">
        <f>[1]base!P52</f>
        <v>150000</v>
      </c>
    </row>
    <row r="47" spans="1:7" x14ac:dyDescent="0.35">
      <c r="A47">
        <v>2</v>
      </c>
      <c r="B47">
        <f>[1]driest!P38</f>
        <v>8.5</v>
      </c>
      <c r="C47">
        <f>[1]drier!P38</f>
        <v>9</v>
      </c>
      <c r="D47">
        <f>[1]base!P38</f>
        <v>8.5</v>
      </c>
      <c r="E47">
        <f>[1]driest!P53</f>
        <v>150000</v>
      </c>
      <c r="F47">
        <f>[1]drier!P53</f>
        <v>150000</v>
      </c>
      <c r="G47">
        <f>[1]base!P53</f>
        <v>150000</v>
      </c>
    </row>
    <row r="48" spans="1:7" x14ac:dyDescent="0.35">
      <c r="A48">
        <v>3</v>
      </c>
      <c r="B48">
        <f>[1]driest!P39</f>
        <v>8</v>
      </c>
      <c r="C48">
        <f>[1]drier!P39</f>
        <v>8.5</v>
      </c>
      <c r="D48">
        <f>[1]base!P39</f>
        <v>8</v>
      </c>
      <c r="E48">
        <f>[1]driest!P54</f>
        <v>140000</v>
      </c>
      <c r="F48">
        <f>[1]drier!P54</f>
        <v>150000</v>
      </c>
      <c r="G48">
        <f>[1]base!P54</f>
        <v>150000</v>
      </c>
    </row>
    <row r="49" spans="1:7" x14ac:dyDescent="0.35">
      <c r="A49">
        <v>4</v>
      </c>
      <c r="B49">
        <f>[1]driest!P40</f>
        <v>8</v>
      </c>
      <c r="C49">
        <f>[1]drier!P40</f>
        <v>8</v>
      </c>
      <c r="D49">
        <f>[1]base!P40</f>
        <v>8</v>
      </c>
      <c r="E49">
        <f>[1]driest!P55</f>
        <v>130000</v>
      </c>
      <c r="F49">
        <f>[1]drier!P55</f>
        <v>150000</v>
      </c>
      <c r="G49">
        <f>[1]base!P55</f>
        <v>150000</v>
      </c>
    </row>
    <row r="50" spans="1:7" x14ac:dyDescent="0.35">
      <c r="A50">
        <v>5</v>
      </c>
      <c r="B50">
        <f>[1]driest!P41</f>
        <v>8</v>
      </c>
      <c r="C50">
        <f>[1]drier!P41</f>
        <v>8</v>
      </c>
      <c r="D50">
        <f>[1]base!P41</f>
        <v>8</v>
      </c>
      <c r="E50">
        <f>[1]driest!P56</f>
        <v>130000</v>
      </c>
      <c r="F50">
        <f>[1]drier!P56</f>
        <v>140000</v>
      </c>
      <c r="G50">
        <f>[1]base!P56</f>
        <v>150000</v>
      </c>
    </row>
    <row r="51" spans="1:7" x14ac:dyDescent="0.35">
      <c r="A51">
        <v>6</v>
      </c>
      <c r="B51">
        <f>[1]driest!P42</f>
        <v>8</v>
      </c>
      <c r="C51">
        <f>[1]drier!P42</f>
        <v>8</v>
      </c>
      <c r="D51">
        <f>[1]base!P42</f>
        <v>8</v>
      </c>
      <c r="E51">
        <f>[1]driest!P57</f>
        <v>130000</v>
      </c>
      <c r="F51">
        <f>[1]drier!P57</f>
        <v>140000</v>
      </c>
      <c r="G51">
        <f>[1]base!P57</f>
        <v>150000</v>
      </c>
    </row>
    <row r="52" spans="1:7" x14ac:dyDescent="0.35">
      <c r="A52">
        <v>7</v>
      </c>
      <c r="B52">
        <f>[1]driest!P43</f>
        <v>8</v>
      </c>
      <c r="C52">
        <f>[1]drier!P43</f>
        <v>8</v>
      </c>
      <c r="D52">
        <f>[1]base!P43</f>
        <v>8</v>
      </c>
      <c r="E52">
        <f>[1]driest!P58</f>
        <v>130000</v>
      </c>
      <c r="F52">
        <f>[1]drier!P58</f>
        <v>140000</v>
      </c>
      <c r="G52">
        <f>[1]base!P58</f>
        <v>150000</v>
      </c>
    </row>
    <row r="53" spans="1:7" x14ac:dyDescent="0.35">
      <c r="A53">
        <v>8</v>
      </c>
      <c r="B53">
        <f>[1]driest!P44</f>
        <v>8</v>
      </c>
      <c r="C53">
        <f>[1]drier!P44</f>
        <v>8</v>
      </c>
      <c r="D53">
        <f>[1]base!P44</f>
        <v>8</v>
      </c>
      <c r="E53">
        <f>[1]driest!P59</f>
        <v>130000</v>
      </c>
      <c r="F53">
        <f>[1]drier!P59</f>
        <v>140000</v>
      </c>
      <c r="G53">
        <f>[1]base!P59</f>
        <v>150000</v>
      </c>
    </row>
    <row r="54" spans="1:7" x14ac:dyDescent="0.35">
      <c r="A54">
        <v>9</v>
      </c>
      <c r="B54">
        <f>[1]driest!P45</f>
        <v>8</v>
      </c>
      <c r="C54">
        <f>[1]drier!P45</f>
        <v>8</v>
      </c>
      <c r="D54">
        <f>[1]base!P45</f>
        <v>8</v>
      </c>
      <c r="E54">
        <f>[1]driest!P60</f>
        <v>130000</v>
      </c>
      <c r="F54">
        <f>[1]drier!P60</f>
        <v>140000</v>
      </c>
      <c r="G54">
        <f>[1]base!P60</f>
        <v>150000</v>
      </c>
    </row>
    <row r="55" spans="1:7" x14ac:dyDescent="0.35">
      <c r="A55">
        <v>10</v>
      </c>
      <c r="B55">
        <f>[1]driest!P46</f>
        <v>10</v>
      </c>
      <c r="C55">
        <f>[1]drier!P46</f>
        <v>10</v>
      </c>
      <c r="D55">
        <f>[1]base!P46</f>
        <v>10</v>
      </c>
      <c r="E55">
        <f>[1]driest!P61</f>
        <v>80000</v>
      </c>
      <c r="F55">
        <f>[1]drier!P61</f>
        <v>90000</v>
      </c>
      <c r="G55">
        <f>[1]base!P61</f>
        <v>100000</v>
      </c>
    </row>
    <row r="57" spans="1:7" x14ac:dyDescent="0.35">
      <c r="A57">
        <v>12</v>
      </c>
      <c r="B57" s="47" t="s">
        <v>11</v>
      </c>
      <c r="C57" s="47"/>
      <c r="D57" s="47"/>
      <c r="E57" s="47" t="s">
        <v>0</v>
      </c>
      <c r="F57" s="47"/>
      <c r="G57" s="47"/>
    </row>
    <row r="58" spans="1:7" x14ac:dyDescent="0.35">
      <c r="A58" t="s">
        <v>26</v>
      </c>
      <c r="B58" t="s">
        <v>27</v>
      </c>
      <c r="C58" t="s">
        <v>9</v>
      </c>
      <c r="D58" t="s">
        <v>28</v>
      </c>
      <c r="E58" t="s">
        <v>27</v>
      </c>
      <c r="F58" t="s">
        <v>9</v>
      </c>
      <c r="G58" t="s">
        <v>28</v>
      </c>
    </row>
    <row r="59" spans="1:7" x14ac:dyDescent="0.35">
      <c r="A59">
        <v>0</v>
      </c>
      <c r="B59">
        <f>[1]driest!Q36</f>
        <v>12</v>
      </c>
      <c r="C59">
        <f>[1]drier!Q36</f>
        <v>12</v>
      </c>
      <c r="D59">
        <f>[1]base!Q36</f>
        <v>12</v>
      </c>
    </row>
    <row r="60" spans="1:7" x14ac:dyDescent="0.35">
      <c r="A60">
        <v>1</v>
      </c>
      <c r="B60">
        <f>[1]driest!Q37</f>
        <v>10.5</v>
      </c>
      <c r="C60">
        <f>[1]drier!Q37</f>
        <v>10</v>
      </c>
      <c r="D60">
        <f>[1]base!Q37</f>
        <v>10</v>
      </c>
      <c r="E60">
        <f>[1]driest!Q52</f>
        <v>150000</v>
      </c>
      <c r="F60">
        <f>[1]drier!Q52</f>
        <v>150000</v>
      </c>
      <c r="G60">
        <f>[1]base!Q52</f>
        <v>150000</v>
      </c>
    </row>
    <row r="61" spans="1:7" x14ac:dyDescent="0.35">
      <c r="A61">
        <v>2</v>
      </c>
      <c r="B61">
        <f>[1]driest!Q38</f>
        <v>9.5</v>
      </c>
      <c r="C61">
        <f>[1]drier!Q38</f>
        <v>9</v>
      </c>
      <c r="D61">
        <f>[1]base!Q38</f>
        <v>9</v>
      </c>
      <c r="E61">
        <f>[1]driest!Q53</f>
        <v>150000</v>
      </c>
      <c r="F61">
        <f>[1]drier!Q53</f>
        <v>150000</v>
      </c>
      <c r="G61">
        <f>[1]base!Q53</f>
        <v>150000</v>
      </c>
    </row>
    <row r="62" spans="1:7" x14ac:dyDescent="0.35">
      <c r="A62">
        <v>3</v>
      </c>
      <c r="B62">
        <f>[1]driest!Q39</f>
        <v>8.5</v>
      </c>
      <c r="C62">
        <f>[1]drier!Q39</f>
        <v>8.5</v>
      </c>
      <c r="D62">
        <f>[1]base!Q39</f>
        <v>8.5</v>
      </c>
      <c r="E62">
        <f>[1]driest!Q54</f>
        <v>150000</v>
      </c>
      <c r="F62">
        <f>[1]drier!Q54</f>
        <v>150000</v>
      </c>
      <c r="G62">
        <f>[1]base!Q54</f>
        <v>150000</v>
      </c>
    </row>
    <row r="63" spans="1:7" x14ac:dyDescent="0.35">
      <c r="A63">
        <v>4</v>
      </c>
      <c r="B63">
        <f>[1]driest!Q40</f>
        <v>8</v>
      </c>
      <c r="C63">
        <f>[1]drier!Q40</f>
        <v>8</v>
      </c>
      <c r="D63">
        <f>[1]base!Q40</f>
        <v>8</v>
      </c>
      <c r="E63">
        <f>[1]driest!Q55</f>
        <v>140000</v>
      </c>
      <c r="F63">
        <f>[1]drier!Q55</f>
        <v>150000</v>
      </c>
      <c r="G63">
        <f>[1]base!Q55</f>
        <v>150000</v>
      </c>
    </row>
    <row r="64" spans="1:7" x14ac:dyDescent="0.35">
      <c r="A64">
        <v>5</v>
      </c>
      <c r="B64">
        <f>[1]driest!Q41</f>
        <v>8</v>
      </c>
      <c r="C64">
        <f>[1]drier!Q41</f>
        <v>8</v>
      </c>
      <c r="D64">
        <f>[1]base!Q41</f>
        <v>8</v>
      </c>
      <c r="E64">
        <f>[1]driest!Q56</f>
        <v>130000</v>
      </c>
      <c r="F64">
        <f>[1]drier!Q56</f>
        <v>140000</v>
      </c>
      <c r="G64">
        <f>[1]base!Q56</f>
        <v>150000</v>
      </c>
    </row>
    <row r="65" spans="1:8" x14ac:dyDescent="0.35">
      <c r="A65">
        <v>6</v>
      </c>
      <c r="B65">
        <f>[1]driest!Q42</f>
        <v>8</v>
      </c>
      <c r="C65">
        <f>[1]drier!Q42</f>
        <v>8</v>
      </c>
      <c r="D65">
        <f>[1]base!Q42</f>
        <v>8</v>
      </c>
      <c r="E65">
        <f>[1]driest!Q57</f>
        <v>130000</v>
      </c>
      <c r="F65">
        <f>[1]drier!Q57</f>
        <v>140000</v>
      </c>
      <c r="G65">
        <f>[1]base!Q57</f>
        <v>150000</v>
      </c>
    </row>
    <row r="66" spans="1:8" x14ac:dyDescent="0.35">
      <c r="A66">
        <v>7</v>
      </c>
      <c r="B66">
        <f>[1]driest!Q43</f>
        <v>8</v>
      </c>
      <c r="C66">
        <f>[1]drier!Q43</f>
        <v>8</v>
      </c>
      <c r="D66">
        <f>[1]base!Q43</f>
        <v>8</v>
      </c>
      <c r="E66">
        <f>[1]driest!Q58</f>
        <v>130000</v>
      </c>
      <c r="F66">
        <f>[1]drier!Q58</f>
        <v>140000</v>
      </c>
      <c r="G66">
        <f>[1]base!Q58</f>
        <v>150000</v>
      </c>
    </row>
    <row r="67" spans="1:8" x14ac:dyDescent="0.35">
      <c r="A67">
        <v>8</v>
      </c>
      <c r="B67">
        <f>[1]driest!Q44</f>
        <v>8</v>
      </c>
      <c r="C67">
        <f>[1]drier!Q44</f>
        <v>8</v>
      </c>
      <c r="D67">
        <f>[1]base!Q44</f>
        <v>8</v>
      </c>
      <c r="E67">
        <f>[1]driest!Q59</f>
        <v>130000</v>
      </c>
      <c r="F67">
        <f>[1]drier!Q59</f>
        <v>140000</v>
      </c>
      <c r="G67">
        <f>[1]base!Q59</f>
        <v>150000</v>
      </c>
    </row>
    <row r="68" spans="1:8" x14ac:dyDescent="0.35">
      <c r="A68">
        <v>9</v>
      </c>
      <c r="B68">
        <f>[1]driest!Q45</f>
        <v>8</v>
      </c>
      <c r="C68">
        <f>[1]drier!Q45</f>
        <v>8</v>
      </c>
      <c r="D68">
        <f>[1]base!Q45</f>
        <v>8</v>
      </c>
      <c r="E68">
        <f>[1]driest!Q60</f>
        <v>130000</v>
      </c>
      <c r="F68">
        <f>[1]drier!Q60</f>
        <v>140000</v>
      </c>
      <c r="G68">
        <f>[1]base!Q60</f>
        <v>150000</v>
      </c>
    </row>
    <row r="69" spans="1:8" x14ac:dyDescent="0.35">
      <c r="A69">
        <v>10</v>
      </c>
      <c r="B69">
        <f>[1]driest!Q46</f>
        <v>10</v>
      </c>
      <c r="C69">
        <f>[1]drier!Q46</f>
        <v>10</v>
      </c>
      <c r="D69">
        <f>[1]base!Q46</f>
        <v>10</v>
      </c>
      <c r="E69">
        <f>[1]driest!Q61</f>
        <v>80000</v>
      </c>
      <c r="F69">
        <f>[1]drier!Q61</f>
        <v>90000</v>
      </c>
      <c r="G69">
        <f>[1]base!Q61</f>
        <v>100000</v>
      </c>
    </row>
    <row r="73" spans="1:8" x14ac:dyDescent="0.35">
      <c r="A73" t="s">
        <v>8</v>
      </c>
    </row>
    <row r="74" spans="1:8" x14ac:dyDescent="0.35">
      <c r="A74" t="s">
        <v>29</v>
      </c>
      <c r="B74" t="s">
        <v>27</v>
      </c>
      <c r="C74" t="s">
        <v>9</v>
      </c>
      <c r="D74" t="s">
        <v>10</v>
      </c>
      <c r="F74">
        <v>479</v>
      </c>
      <c r="G74">
        <v>519</v>
      </c>
      <c r="H74">
        <v>599</v>
      </c>
    </row>
    <row r="75" spans="1:8" x14ac:dyDescent="0.35">
      <c r="A75">
        <v>8</v>
      </c>
      <c r="B75" s="1">
        <f>[1]driest!Y3</f>
        <v>4573.7838140000003</v>
      </c>
      <c r="C75" s="1">
        <f>[1]drier!Y3</f>
        <v>4750.8257780000004</v>
      </c>
      <c r="D75" s="6">
        <f>[1]base!Y3</f>
        <v>5022.4489179354741</v>
      </c>
      <c r="F75" s="1"/>
      <c r="G75" s="7">
        <f>(G74-F74)*10/1000</f>
        <v>0.4</v>
      </c>
      <c r="H75" s="7">
        <f>(H74-G74)*10/1000</f>
        <v>0.8</v>
      </c>
    </row>
    <row r="76" spans="1:8" x14ac:dyDescent="0.35">
      <c r="A76">
        <v>9</v>
      </c>
      <c r="B76" s="1">
        <f>[1]driest!Y4</f>
        <v>4690.3678170000003</v>
      </c>
      <c r="C76" s="1">
        <f>[1]drier!Y4</f>
        <v>4858.2705850000002</v>
      </c>
      <c r="D76" s="6">
        <f>[1]base!Y4</f>
        <v>5092.7948182992759</v>
      </c>
      <c r="F76" s="1"/>
      <c r="G76" s="1">
        <f>C75-B75</f>
        <v>177.04196400000001</v>
      </c>
      <c r="H76" s="1">
        <f>D75-C75</f>
        <v>271.62313993547377</v>
      </c>
    </row>
    <row r="77" spans="1:8" x14ac:dyDescent="0.35">
      <c r="A77">
        <v>10</v>
      </c>
      <c r="B77" s="1">
        <f>[1]driest!Y5</f>
        <v>4782.31927</v>
      </c>
      <c r="C77" s="1">
        <f>[1]drier!Y5</f>
        <v>4932.3640820000001</v>
      </c>
      <c r="D77" s="6">
        <f>[1]base!Y5</f>
        <v>5149.2303926860641</v>
      </c>
      <c r="F77" s="1"/>
      <c r="G77" s="1">
        <f t="shared" ref="G77:H80" si="0">C76-B76</f>
        <v>167.90276799999992</v>
      </c>
      <c r="H77" s="1">
        <f t="shared" si="0"/>
        <v>234.52423329927569</v>
      </c>
    </row>
    <row r="78" spans="1:8" x14ac:dyDescent="0.35">
      <c r="A78">
        <v>11</v>
      </c>
      <c r="B78" s="1">
        <f>[1]driest!Y6</f>
        <v>4858.495304</v>
      </c>
      <c r="C78" s="1">
        <f>[1]drier!Y6</f>
        <v>4995.7948120000001</v>
      </c>
      <c r="D78" s="6">
        <f>[1]base!Y6</f>
        <v>5203.2797116860638</v>
      </c>
      <c r="F78" s="1"/>
      <c r="G78" s="1">
        <f t="shared" si="0"/>
        <v>150.04481200000009</v>
      </c>
      <c r="H78" s="1">
        <f t="shared" si="0"/>
        <v>216.86631068606403</v>
      </c>
    </row>
    <row r="79" spans="1:8" x14ac:dyDescent="0.35">
      <c r="A79">
        <v>12</v>
      </c>
      <c r="B79" s="1">
        <f>[1]driest!Y7</f>
        <v>4928.5966330000001</v>
      </c>
      <c r="C79" s="1">
        <f>[1]drier!Y7</f>
        <v>5059.3402429999996</v>
      </c>
      <c r="D79" s="6">
        <f>[1]base!Y7</f>
        <v>5255.7293701856697</v>
      </c>
      <c r="F79" s="1"/>
      <c r="G79" s="1">
        <f t="shared" si="0"/>
        <v>137.29950800000006</v>
      </c>
      <c r="H79" s="1">
        <f t="shared" si="0"/>
        <v>207.48489968606373</v>
      </c>
    </row>
    <row r="80" spans="1:8" x14ac:dyDescent="0.35">
      <c r="B80" s="1"/>
      <c r="C80" s="1"/>
      <c r="D80" s="1"/>
      <c r="G80" s="1">
        <f t="shared" si="0"/>
        <v>130.74360999999953</v>
      </c>
      <c r="H80" s="1">
        <f t="shared" si="0"/>
        <v>196.38912718567008</v>
      </c>
    </row>
    <row r="81" spans="1:8" x14ac:dyDescent="0.35">
      <c r="A81" t="s">
        <v>30</v>
      </c>
      <c r="B81" s="1"/>
      <c r="C81" s="1"/>
      <c r="D81" s="1"/>
      <c r="F81" t="s">
        <v>31</v>
      </c>
    </row>
    <row r="82" spans="1:8" x14ac:dyDescent="0.35">
      <c r="A82" t="s">
        <v>29</v>
      </c>
      <c r="B82" t="s">
        <v>27</v>
      </c>
      <c r="C82" t="s">
        <v>9</v>
      </c>
      <c r="D82" t="s">
        <v>10</v>
      </c>
      <c r="G82" t="s">
        <v>32</v>
      </c>
      <c r="H82" t="s">
        <v>33</v>
      </c>
    </row>
    <row r="83" spans="1:8" x14ac:dyDescent="0.35">
      <c r="A83">
        <v>8</v>
      </c>
      <c r="B83" s="1">
        <f>B76-B75</f>
        <v>116.58400299999994</v>
      </c>
      <c r="C83" s="1">
        <f t="shared" ref="C83:D83" si="1">C76-C75</f>
        <v>107.44480699999986</v>
      </c>
      <c r="D83" s="1">
        <f t="shared" si="1"/>
        <v>70.345900363801775</v>
      </c>
      <c r="G83" s="1">
        <f>G76/$G$75</f>
        <v>442.60491000000002</v>
      </c>
      <c r="H83" s="1">
        <f>H76/$H$75</f>
        <v>339.52892491934222</v>
      </c>
    </row>
    <row r="84" spans="1:8" x14ac:dyDescent="0.35">
      <c r="A84">
        <v>9</v>
      </c>
      <c r="B84" s="1">
        <f t="shared" ref="B84:D86" si="2">B77-B76</f>
        <v>91.951452999999674</v>
      </c>
      <c r="C84" s="1">
        <f t="shared" si="2"/>
        <v>74.093496999999843</v>
      </c>
      <c r="D84" s="1">
        <f t="shared" si="2"/>
        <v>56.435574386788176</v>
      </c>
      <c r="G84" s="1">
        <f t="shared" ref="G84:G87" si="3">G77/$G$75</f>
        <v>419.75691999999981</v>
      </c>
      <c r="H84" s="1">
        <f t="shared" ref="H84:H87" si="4">H77/$H$75</f>
        <v>293.15529162409462</v>
      </c>
    </row>
    <row r="85" spans="1:8" x14ac:dyDescent="0.35">
      <c r="A85">
        <v>10</v>
      </c>
      <c r="B85" s="1">
        <f t="shared" si="2"/>
        <v>76.176034000000072</v>
      </c>
      <c r="C85" s="1">
        <f t="shared" si="2"/>
        <v>63.43073000000004</v>
      </c>
      <c r="D85" s="1">
        <f t="shared" si="2"/>
        <v>54.049318999999741</v>
      </c>
      <c r="G85" s="1">
        <f t="shared" si="3"/>
        <v>375.11203000000023</v>
      </c>
      <c r="H85" s="1">
        <f t="shared" si="4"/>
        <v>271.08288835758003</v>
      </c>
    </row>
    <row r="86" spans="1:8" x14ac:dyDescent="0.35">
      <c r="A86">
        <v>11</v>
      </c>
      <c r="B86" s="1">
        <f t="shared" si="2"/>
        <v>70.101329000000078</v>
      </c>
      <c r="C86" s="1">
        <f t="shared" si="2"/>
        <v>63.545430999999553</v>
      </c>
      <c r="D86" s="1">
        <f t="shared" si="2"/>
        <v>52.449658499605903</v>
      </c>
      <c r="G86" s="1">
        <f t="shared" si="3"/>
        <v>343.24877000000015</v>
      </c>
      <c r="H86" s="1">
        <f t="shared" si="4"/>
        <v>259.35612460757966</v>
      </c>
    </row>
    <row r="87" spans="1:8" x14ac:dyDescent="0.35">
      <c r="G87" s="1">
        <f t="shared" si="3"/>
        <v>326.85902499999884</v>
      </c>
      <c r="H87" s="1">
        <f t="shared" si="4"/>
        <v>245.4864089820876</v>
      </c>
    </row>
  </sheetData>
  <mergeCells count="10">
    <mergeCell ref="B43:D43"/>
    <mergeCell ref="E43:G43"/>
    <mergeCell ref="B57:D57"/>
    <mergeCell ref="E57:G57"/>
    <mergeCell ref="B1:D1"/>
    <mergeCell ref="E1:G1"/>
    <mergeCell ref="B15:D15"/>
    <mergeCell ref="E15:G15"/>
    <mergeCell ref="B29:D29"/>
    <mergeCell ref="E29:G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77A8-F3FD-45E3-932E-6DBD5DA50F33}">
  <dimension ref="A1:P71"/>
  <sheetViews>
    <sheetView tabSelected="1" workbookViewId="0">
      <selection activeCell="P31" sqref="P31"/>
    </sheetView>
  </sheetViews>
  <sheetFormatPr defaultRowHeight="14.5" x14ac:dyDescent="0.35"/>
  <cols>
    <col min="1" max="1" width="21.90625" bestFit="1" customWidth="1"/>
    <col min="2" max="2" width="10.81640625" style="1" bestFit="1" customWidth="1"/>
    <col min="3" max="3" width="12.453125" customWidth="1"/>
    <col min="4" max="4" width="11.81640625" customWidth="1"/>
    <col min="5" max="5" width="10.1796875" customWidth="1"/>
    <col min="6" max="6" width="16.453125" customWidth="1"/>
    <col min="7" max="7" width="15.81640625" bestFit="1" customWidth="1"/>
    <col min="8" max="9" width="11.81640625" bestFit="1" customWidth="1"/>
    <col min="10" max="10" width="12.54296875" bestFit="1" customWidth="1"/>
    <col min="11" max="11" width="12.453125" bestFit="1" customWidth="1"/>
    <col min="12" max="12" width="11.26953125" bestFit="1" customWidth="1"/>
    <col min="15" max="16" width="12.90625" bestFit="1" customWidth="1"/>
  </cols>
  <sheetData>
    <row r="1" spans="1:16" x14ac:dyDescent="0.35">
      <c r="A1" s="9" t="s">
        <v>46</v>
      </c>
      <c r="B1" s="10">
        <v>10000000</v>
      </c>
      <c r="C1" t="s">
        <v>37</v>
      </c>
      <c r="D1" t="s">
        <v>47</v>
      </c>
      <c r="E1" t="s">
        <v>48</v>
      </c>
      <c r="G1" s="11" t="s">
        <v>49</v>
      </c>
      <c r="H1" s="12" t="s">
        <v>0</v>
      </c>
      <c r="I1" s="12">
        <v>116282.64547241412</v>
      </c>
      <c r="J1" s="12"/>
    </row>
    <row r="2" spans="1:16" x14ac:dyDescent="0.35">
      <c r="A2" s="9" t="s">
        <v>50</v>
      </c>
      <c r="B2" s="10">
        <v>10000000</v>
      </c>
      <c r="C2" t="s">
        <v>51</v>
      </c>
      <c r="D2" s="13">
        <f>19875.329623648*2.5*5</f>
        <v>248441.62029559998</v>
      </c>
      <c r="E2" s="8">
        <v>0.2</v>
      </c>
      <c r="G2" s="11" t="s">
        <v>37</v>
      </c>
      <c r="H2" s="12" t="s">
        <v>1</v>
      </c>
      <c r="I2" s="12" t="s">
        <v>2</v>
      </c>
      <c r="J2" s="12" t="s">
        <v>5</v>
      </c>
    </row>
    <row r="3" spans="1:16" x14ac:dyDescent="0.35">
      <c r="A3" t="s">
        <v>52</v>
      </c>
      <c r="B3" s="14">
        <v>3.5000000000000003E-2</v>
      </c>
      <c r="C3" t="s">
        <v>53</v>
      </c>
      <c r="D3" s="13">
        <f>30972.868135964*2.5*5</f>
        <v>387160.85169954994</v>
      </c>
      <c r="E3" s="8">
        <v>0.2</v>
      </c>
      <c r="G3" s="11" t="s">
        <v>51</v>
      </c>
      <c r="H3" s="15">
        <v>18624.33095085992</v>
      </c>
      <c r="I3" s="15">
        <v>0</v>
      </c>
      <c r="J3" s="15">
        <v>314970.50857928797</v>
      </c>
      <c r="K3">
        <f>I3*J3</f>
        <v>0</v>
      </c>
      <c r="O3" s="1"/>
      <c r="P3" s="1"/>
    </row>
    <row r="4" spans="1:16" x14ac:dyDescent="0.35">
      <c r="A4" t="s">
        <v>54</v>
      </c>
      <c r="B4" s="13">
        <v>4226.68</v>
      </c>
      <c r="C4" t="s">
        <v>55</v>
      </c>
      <c r="D4" s="13">
        <f>42113.570033076*2.5*5</f>
        <v>526419.62541344995</v>
      </c>
      <c r="E4" s="8">
        <v>0.2</v>
      </c>
      <c r="G4" s="11" t="s">
        <v>53</v>
      </c>
      <c r="H4" s="15">
        <v>18624.33095085992</v>
      </c>
      <c r="I4" s="15">
        <v>0</v>
      </c>
      <c r="J4" s="15">
        <v>176251.27717533804</v>
      </c>
      <c r="K4">
        <f t="shared" ref="K4:K7" si="0">I4*J4</f>
        <v>0</v>
      </c>
      <c r="O4" s="1"/>
    </row>
    <row r="5" spans="1:16" x14ac:dyDescent="0.35">
      <c r="A5" t="s">
        <v>56</v>
      </c>
      <c r="B5" s="1">
        <v>1</v>
      </c>
      <c r="C5" t="s">
        <v>57</v>
      </c>
      <c r="D5" s="13">
        <f>57261.496518348*2.5*5</f>
        <v>715768.7064793501</v>
      </c>
      <c r="E5" s="8">
        <v>0.2</v>
      </c>
      <c r="G5" s="11" t="s">
        <v>55</v>
      </c>
      <c r="H5" s="15">
        <v>18624.33095085992</v>
      </c>
      <c r="I5" s="15">
        <v>0</v>
      </c>
      <c r="J5" s="15">
        <v>36992.503461438027</v>
      </c>
      <c r="K5">
        <f t="shared" si="0"/>
        <v>0</v>
      </c>
      <c r="O5" s="1"/>
    </row>
    <row r="6" spans="1:16" x14ac:dyDescent="0.35">
      <c r="A6" t="s">
        <v>58</v>
      </c>
      <c r="B6" s="13">
        <v>1502.85</v>
      </c>
      <c r="C6" t="s">
        <v>59</v>
      </c>
      <c r="D6" s="13">
        <f>89233.88013358*2.5*5</f>
        <v>1115423.5016697501</v>
      </c>
      <c r="E6" s="8">
        <v>0.2</v>
      </c>
      <c r="G6" s="11" t="s">
        <v>57</v>
      </c>
      <c r="H6" s="15">
        <v>50102.962687319028</v>
      </c>
      <c r="I6" s="15">
        <v>0</v>
      </c>
      <c r="J6" s="15">
        <v>0</v>
      </c>
      <c r="K6">
        <f t="shared" si="0"/>
        <v>0</v>
      </c>
      <c r="O6" s="1"/>
    </row>
    <row r="7" spans="1:16" x14ac:dyDescent="0.35">
      <c r="A7" t="s">
        <v>60</v>
      </c>
      <c r="B7" s="16">
        <v>7.9500000000000005E-3</v>
      </c>
      <c r="C7" t="s">
        <v>61</v>
      </c>
      <c r="D7">
        <f>SUMPRODUCT(D2:D6,E2:E6)/1000</f>
        <v>598.64286111154001</v>
      </c>
      <c r="G7" s="11" t="s">
        <v>59</v>
      </c>
      <c r="H7" s="15">
        <v>132676.26747872395</v>
      </c>
      <c r="I7" s="15">
        <v>0</v>
      </c>
      <c r="J7" s="15">
        <v>0</v>
      </c>
      <c r="K7">
        <f t="shared" si="0"/>
        <v>0</v>
      </c>
    </row>
    <row r="8" spans="1:16" x14ac:dyDescent="0.35">
      <c r="A8" t="s">
        <v>62</v>
      </c>
      <c r="B8" s="13">
        <v>4.07</v>
      </c>
      <c r="H8" s="1">
        <f>SUMPRODUCT($E$2:$E$6,H3:H7)*5</f>
        <v>238652.22301862275</v>
      </c>
      <c r="I8" s="1">
        <f t="shared" ref="I8:J8" si="1">SUMPRODUCT($E$2:$E$6,I3:I7)*5</f>
        <v>0</v>
      </c>
      <c r="J8" s="1">
        <f t="shared" si="1"/>
        <v>528214.28921606403</v>
      </c>
      <c r="O8" s="17"/>
    </row>
    <row r="9" spans="1:16" x14ac:dyDescent="0.35">
      <c r="A9" t="s">
        <v>63</v>
      </c>
      <c r="B9" s="1">
        <v>12000</v>
      </c>
      <c r="F9" s="18" t="s">
        <v>64</v>
      </c>
      <c r="G9" s="19">
        <f>-J21+G22-H29+K36</f>
        <v>-1663211430.130738</v>
      </c>
    </row>
    <row r="10" spans="1:16" ht="14.5" customHeight="1" x14ac:dyDescent="0.35">
      <c r="A10" t="s">
        <v>65</v>
      </c>
      <c r="B10" s="13">
        <v>157.28</v>
      </c>
      <c r="F10" s="48" t="s">
        <v>66</v>
      </c>
      <c r="G10" s="20" t="s">
        <v>67</v>
      </c>
      <c r="H10" s="20" t="s">
        <v>68</v>
      </c>
      <c r="I10" s="20" t="s">
        <v>69</v>
      </c>
      <c r="J10" s="20" t="s">
        <v>70</v>
      </c>
    </row>
    <row r="11" spans="1:16" x14ac:dyDescent="0.35">
      <c r="A11" t="s">
        <v>71</v>
      </c>
      <c r="B11" s="1">
        <v>8</v>
      </c>
      <c r="F11" s="48"/>
      <c r="G11" s="20">
        <v>1</v>
      </c>
      <c r="H11" s="20">
        <f>1/(1+$B$3)^($B$23*$B$24+G11)</f>
        <v>0.96618357487922713</v>
      </c>
      <c r="I11" s="21">
        <f>$I$1</f>
        <v>116282.64547241412</v>
      </c>
      <c r="J11" s="22">
        <f>H11*($B$4*$B$5*I11-($B$6+0.5*$B$7*I11)*I11)</f>
        <v>254092352.66263264</v>
      </c>
      <c r="O11" s="17"/>
    </row>
    <row r="12" spans="1:16" x14ac:dyDescent="0.35">
      <c r="A12" t="s">
        <v>72</v>
      </c>
      <c r="B12" s="1">
        <v>635.91</v>
      </c>
      <c r="F12" s="48"/>
      <c r="G12" s="20">
        <v>2</v>
      </c>
      <c r="H12" s="20">
        <f t="shared" ref="H12:H20" si="2">1/(1+$B$3)^($B$23*$B$24+G12)</f>
        <v>0.93351070036640305</v>
      </c>
      <c r="I12" s="21">
        <f t="shared" ref="I12:I19" si="3">$I$1</f>
        <v>116282.64547241412</v>
      </c>
      <c r="J12" s="22">
        <f t="shared" ref="J12:J20" si="4">H12*($B$4*$B$5*I12-($B$6+0.5*$B$7*I12)*I12)</f>
        <v>245499857.64505571</v>
      </c>
    </row>
    <row r="13" spans="1:16" x14ac:dyDescent="0.35">
      <c r="A13" t="s">
        <v>73</v>
      </c>
      <c r="B13" s="16">
        <v>2.941E-3</v>
      </c>
      <c r="F13" s="48"/>
      <c r="G13" s="20">
        <v>3</v>
      </c>
      <c r="H13" s="20">
        <f t="shared" si="2"/>
        <v>0.90194270566802237</v>
      </c>
      <c r="I13" s="21">
        <f t="shared" si="3"/>
        <v>116282.64547241412</v>
      </c>
      <c r="J13" s="22">
        <f t="shared" si="4"/>
        <v>237197930.09184128</v>
      </c>
      <c r="O13" s="1"/>
      <c r="P13" s="1"/>
    </row>
    <row r="14" spans="1:16" x14ac:dyDescent="0.35">
      <c r="A14" t="s">
        <v>74</v>
      </c>
      <c r="B14" s="13">
        <v>4.84</v>
      </c>
      <c r="F14" s="48"/>
      <c r="G14" s="20">
        <v>4</v>
      </c>
      <c r="H14" s="20">
        <f t="shared" si="2"/>
        <v>0.87144222769857238</v>
      </c>
      <c r="I14" s="21">
        <f t="shared" si="3"/>
        <v>116282.64547241412</v>
      </c>
      <c r="J14" s="22">
        <f t="shared" si="4"/>
        <v>229176744.05008823</v>
      </c>
    </row>
    <row r="15" spans="1:16" x14ac:dyDescent="0.35">
      <c r="A15" s="23" t="s">
        <v>75</v>
      </c>
      <c r="B15" s="24">
        <v>50</v>
      </c>
      <c r="F15" s="48"/>
      <c r="G15" s="20">
        <v>5</v>
      </c>
      <c r="H15" s="20">
        <f t="shared" si="2"/>
        <v>0.84197316685852419</v>
      </c>
      <c r="I15" s="21">
        <f t="shared" si="3"/>
        <v>116282.64547241412</v>
      </c>
      <c r="J15" s="22">
        <f t="shared" si="4"/>
        <v>221426805.84549591</v>
      </c>
    </row>
    <row r="16" spans="1:16" x14ac:dyDescent="0.35">
      <c r="A16" t="s">
        <v>76</v>
      </c>
      <c r="B16" s="1">
        <v>300</v>
      </c>
      <c r="F16" s="48"/>
      <c r="G16" s="20">
        <v>6</v>
      </c>
      <c r="H16" s="20">
        <f t="shared" si="2"/>
        <v>0.81350064430775282</v>
      </c>
      <c r="I16" s="21">
        <f t="shared" si="3"/>
        <v>116282.64547241412</v>
      </c>
      <c r="J16" s="22">
        <f t="shared" si="4"/>
        <v>213938942.84588975</v>
      </c>
    </row>
    <row r="17" spans="1:12" x14ac:dyDescent="0.35">
      <c r="A17" t="s">
        <v>77</v>
      </c>
      <c r="B17" s="1">
        <v>42</v>
      </c>
      <c r="F17" s="48"/>
      <c r="G17" s="20">
        <v>7</v>
      </c>
      <c r="H17" s="20">
        <f t="shared" si="2"/>
        <v>0.78599096068381913</v>
      </c>
      <c r="I17" s="21">
        <f t="shared" si="3"/>
        <v>116282.64547241412</v>
      </c>
      <c r="J17" s="22">
        <f t="shared" si="4"/>
        <v>206704292.60472441</v>
      </c>
    </row>
    <row r="18" spans="1:12" x14ac:dyDescent="0.35">
      <c r="A18" t="s">
        <v>78</v>
      </c>
      <c r="B18" s="1">
        <v>30</v>
      </c>
      <c r="F18" s="48"/>
      <c r="G18" s="20">
        <v>8</v>
      </c>
      <c r="H18" s="20">
        <f t="shared" si="2"/>
        <v>0.75941155621625056</v>
      </c>
      <c r="I18" s="21">
        <f t="shared" si="3"/>
        <v>116282.64547241412</v>
      </c>
      <c r="J18" s="22">
        <f t="shared" si="4"/>
        <v>199714292.37171444</v>
      </c>
    </row>
    <row r="19" spans="1:12" x14ac:dyDescent="0.35">
      <c r="A19" t="s">
        <v>79</v>
      </c>
      <c r="B19" s="25">
        <v>500000</v>
      </c>
      <c r="F19" s="48"/>
      <c r="G19" s="20">
        <v>9</v>
      </c>
      <c r="H19" s="20">
        <f t="shared" si="2"/>
        <v>0.73373097218961414</v>
      </c>
      <c r="I19" s="21">
        <f t="shared" si="3"/>
        <v>116282.64547241412</v>
      </c>
      <c r="J19" s="22">
        <f t="shared" si="4"/>
        <v>192960668.95817822</v>
      </c>
    </row>
    <row r="20" spans="1:12" x14ac:dyDescent="0.35">
      <c r="A20" t="s">
        <v>80</v>
      </c>
      <c r="B20" s="1">
        <v>15</v>
      </c>
      <c r="F20" s="48"/>
      <c r="G20" s="20">
        <v>10</v>
      </c>
      <c r="H20" s="20">
        <f t="shared" si="2"/>
        <v>0.70891881370977217</v>
      </c>
      <c r="I20" s="21">
        <f>$I$1</f>
        <v>116282.64547241412</v>
      </c>
      <c r="J20" s="22">
        <f t="shared" si="4"/>
        <v>186435428.94509974</v>
      </c>
    </row>
    <row r="21" spans="1:12" x14ac:dyDescent="0.35">
      <c r="A21" t="s">
        <v>81</v>
      </c>
      <c r="B21" s="13">
        <v>0.15</v>
      </c>
      <c r="F21" s="48"/>
      <c r="G21" s="20"/>
      <c r="H21" s="26"/>
      <c r="I21" s="27" t="s">
        <v>82</v>
      </c>
      <c r="J21" s="28">
        <f>SUM(J11:J20)</f>
        <v>2187147316.0207205</v>
      </c>
      <c r="K21">
        <f>B39*($B$4*$B$5*I1-($B$6+0.5*$B$7*I1)*I1)</f>
        <v>2187147316.0207148</v>
      </c>
      <c r="L21" s="1">
        <f>J21-K21</f>
        <v>5.7220458984375E-6</v>
      </c>
    </row>
    <row r="22" spans="1:12" x14ac:dyDescent="0.35">
      <c r="A22" t="s">
        <v>83</v>
      </c>
      <c r="B22" s="25">
        <f>40000*2.5*5</f>
        <v>500000</v>
      </c>
      <c r="F22" s="29" t="s">
        <v>84</v>
      </c>
      <c r="G22" s="30">
        <f>MAX(I1-$B$25,0)*$B$9/(1+$B$3)^(B23*B24+1)</f>
        <v>478639367.7961058</v>
      </c>
    </row>
    <row r="23" spans="1:12" x14ac:dyDescent="0.35">
      <c r="A23" s="9" t="s">
        <v>85</v>
      </c>
      <c r="B23" s="31">
        <v>0</v>
      </c>
      <c r="F23" s="48" t="s">
        <v>86</v>
      </c>
      <c r="G23" s="20" t="s">
        <v>37</v>
      </c>
      <c r="H23" s="20" t="s">
        <v>70</v>
      </c>
    </row>
    <row r="24" spans="1:12" x14ac:dyDescent="0.35">
      <c r="A24" t="s">
        <v>87</v>
      </c>
      <c r="B24" s="1">
        <v>10</v>
      </c>
      <c r="F24" s="48"/>
      <c r="G24" s="20" t="s">
        <v>51</v>
      </c>
      <c r="H24" s="32">
        <f>$B$10*$B$11*H3-($B$12+0.5*$B$13*H3)*H3</f>
        <v>11080413.863847245</v>
      </c>
    </row>
    <row r="25" spans="1:12" x14ac:dyDescent="0.35">
      <c r="A25" s="9" t="s">
        <v>88</v>
      </c>
      <c r="B25" s="31">
        <v>75000</v>
      </c>
      <c r="F25" s="48"/>
      <c r="G25" s="20" t="s">
        <v>53</v>
      </c>
      <c r="H25" s="32">
        <f>$B$10*$B$11*H4-($B$12+0.5*$B$13*H4)*H4</f>
        <v>11080413.863847245</v>
      </c>
    </row>
    <row r="26" spans="1:12" x14ac:dyDescent="0.35">
      <c r="A26" t="s">
        <v>89</v>
      </c>
      <c r="B26" s="13">
        <v>0.05</v>
      </c>
      <c r="F26" s="48"/>
      <c r="G26" s="20" t="s">
        <v>55</v>
      </c>
      <c r="H26" s="32">
        <f t="shared" ref="H26:H28" si="5">$B$10*$B$11*H5-($B$12+0.5*$B$13*H5)*H5</f>
        <v>11080413.863847245</v>
      </c>
    </row>
    <row r="27" spans="1:12" x14ac:dyDescent="0.35">
      <c r="A27" s="23" t="s">
        <v>90</v>
      </c>
      <c r="B27" s="33">
        <v>2.5</v>
      </c>
      <c r="F27" s="48"/>
      <c r="G27" s="20" t="s">
        <v>57</v>
      </c>
      <c r="H27" s="32">
        <f t="shared" si="5"/>
        <v>27489170.516795307</v>
      </c>
      <c r="K27" s="34"/>
    </row>
    <row r="28" spans="1:12" x14ac:dyDescent="0.35">
      <c r="A28" s="35" t="s">
        <v>91</v>
      </c>
      <c r="B28" s="36">
        <v>200</v>
      </c>
      <c r="F28" s="48"/>
      <c r="G28" s="20" t="s">
        <v>59</v>
      </c>
      <c r="H28" s="32">
        <f t="shared" si="5"/>
        <v>56683221.87449196</v>
      </c>
    </row>
    <row r="29" spans="1:12" x14ac:dyDescent="0.35">
      <c r="A29" s="35" t="s">
        <v>92</v>
      </c>
      <c r="B29" s="37">
        <f>0.1</f>
        <v>0.1</v>
      </c>
      <c r="F29" s="48"/>
      <c r="G29" s="27" t="s">
        <v>82</v>
      </c>
      <c r="H29" s="38">
        <f>SUMPRODUCT($E$2:$E$6,$H$24:$H$28)*$B$39</f>
        <v>195296570.66496268</v>
      </c>
    </row>
    <row r="30" spans="1:12" x14ac:dyDescent="0.35">
      <c r="A30" s="35" t="s">
        <v>93</v>
      </c>
      <c r="B30" s="36">
        <f>B19*B28*B29</f>
        <v>10000000</v>
      </c>
      <c r="F30" s="49" t="s">
        <v>94</v>
      </c>
      <c r="G30" s="39" t="s">
        <v>37</v>
      </c>
      <c r="H30" s="40" t="s">
        <v>95</v>
      </c>
      <c r="I30" s="39" t="s">
        <v>96</v>
      </c>
      <c r="J30" s="39" t="s">
        <v>97</v>
      </c>
      <c r="K30" s="39" t="s">
        <v>98</v>
      </c>
    </row>
    <row r="31" spans="1:12" x14ac:dyDescent="0.35">
      <c r="A31" t="s">
        <v>99</v>
      </c>
      <c r="B31" s="1">
        <v>200</v>
      </c>
      <c r="F31" s="49"/>
      <c r="G31" s="39" t="s">
        <v>51</v>
      </c>
      <c r="H31" s="41">
        <f>$B$34*J3*$B$35*($B$31+$B$32-0.5*($B$1+$B$2)/($B$19*$B$29))*$B$38*$B$36*$B$37/(3.6*10^6*$B$33)</f>
        <v>17425204.384426259</v>
      </c>
      <c r="I31" s="41">
        <f>I3*$B$16</f>
        <v>0</v>
      </c>
      <c r="J31" s="41">
        <f>$B$17*MIN(D2,$B$22)+$B$18*MAX(D2-$B$22,0)</f>
        <v>10434548.0524152</v>
      </c>
      <c r="K31" s="41">
        <f>SUM(H31:J31)</f>
        <v>27859752.436841458</v>
      </c>
    </row>
    <row r="32" spans="1:12" x14ac:dyDescent="0.35">
      <c r="A32" t="s">
        <v>100</v>
      </c>
      <c r="B32" s="1">
        <v>200</v>
      </c>
      <c r="F32" s="49"/>
      <c r="G32" s="39" t="s">
        <v>53</v>
      </c>
      <c r="H32" s="41">
        <f t="shared" ref="H32:H35" si="6">$B$34*J4*$B$35*($B$31+$B$32-0.5*($B$1+$B$2)/($B$19*$B$29))*$B$38*$B$36*$B$37/(3.6*10^6*$B$33)</f>
        <v>9750800.294445049</v>
      </c>
      <c r="I32" s="41">
        <f t="shared" ref="I32:I35" si="7">I4*$B$16</f>
        <v>0</v>
      </c>
      <c r="J32" s="41">
        <f t="shared" ref="J32:J35" si="8">$B$17*MIN(D3,$B$22)+$B$18*MAX(D3-$B$22,0)</f>
        <v>16260755.771381097</v>
      </c>
      <c r="K32" s="41">
        <f t="shared" ref="K32:K35" si="9">SUM(H32:J32)</f>
        <v>26011556.065826148</v>
      </c>
    </row>
    <row r="33" spans="1:11" x14ac:dyDescent="0.35">
      <c r="A33" t="s">
        <v>101</v>
      </c>
      <c r="B33" s="7">
        <v>0.7</v>
      </c>
      <c r="F33" s="49"/>
      <c r="G33" s="39" t="s">
        <v>55</v>
      </c>
      <c r="H33" s="41">
        <f t="shared" si="6"/>
        <v>2046546.9494738011</v>
      </c>
      <c r="I33" s="41">
        <f t="shared" si="7"/>
        <v>0</v>
      </c>
      <c r="J33" s="41">
        <f t="shared" si="8"/>
        <v>21792588.762403499</v>
      </c>
      <c r="K33" s="41">
        <f t="shared" si="9"/>
        <v>23839135.711877301</v>
      </c>
    </row>
    <row r="34" spans="1:11" x14ac:dyDescent="0.35">
      <c r="A34" t="s">
        <v>102</v>
      </c>
      <c r="B34" s="14">
        <v>0.189</v>
      </c>
      <c r="F34" s="49"/>
      <c r="G34" s="39" t="s">
        <v>57</v>
      </c>
      <c r="H34" s="41">
        <f t="shared" si="6"/>
        <v>0</v>
      </c>
      <c r="I34" s="41">
        <f t="shared" si="7"/>
        <v>0</v>
      </c>
      <c r="J34" s="41">
        <f t="shared" si="8"/>
        <v>27473061.194380503</v>
      </c>
      <c r="K34" s="41">
        <f t="shared" si="9"/>
        <v>27473061.194380503</v>
      </c>
    </row>
    <row r="35" spans="1:11" x14ac:dyDescent="0.35">
      <c r="A35" t="s">
        <v>103</v>
      </c>
      <c r="B35" s="1">
        <v>1233.4818399999999</v>
      </c>
      <c r="F35" s="49"/>
      <c r="G35" s="39" t="s">
        <v>59</v>
      </c>
      <c r="H35" s="41">
        <f t="shared" si="6"/>
        <v>0</v>
      </c>
      <c r="I35" s="41">
        <f t="shared" si="7"/>
        <v>0</v>
      </c>
      <c r="J35" s="41">
        <f t="shared" si="8"/>
        <v>39462705.050092503</v>
      </c>
      <c r="K35" s="41">
        <f t="shared" si="9"/>
        <v>39462705.050092503</v>
      </c>
    </row>
    <row r="36" spans="1:11" x14ac:dyDescent="0.35">
      <c r="A36" t="s">
        <v>104</v>
      </c>
      <c r="B36" s="1">
        <v>1000</v>
      </c>
      <c r="F36" s="49"/>
      <c r="G36" s="30" t="s">
        <v>82</v>
      </c>
      <c r="H36" s="41">
        <f>SUM(H31:H35)</f>
        <v>29222551.62834511</v>
      </c>
      <c r="I36" s="41">
        <f>SUM(I31:I35)</f>
        <v>0</v>
      </c>
      <c r="J36" s="41">
        <f>SUM(J31:J35)</f>
        <v>115423658.8306728</v>
      </c>
      <c r="K36" s="30">
        <f>SUMPRODUCT($E$2:$E$6,$K$31:$K$35)*$B$39</f>
        <v>240593088.75883937</v>
      </c>
    </row>
    <row r="37" spans="1:11" x14ac:dyDescent="0.35">
      <c r="A37" t="s">
        <v>105</v>
      </c>
      <c r="B37" s="13">
        <v>9.81</v>
      </c>
    </row>
    <row r="38" spans="1:11" x14ac:dyDescent="0.35">
      <c r="A38" t="s">
        <v>106</v>
      </c>
      <c r="B38" s="16">
        <v>0.30480000000000002</v>
      </c>
      <c r="F38" t="s">
        <v>107</v>
      </c>
    </row>
    <row r="39" spans="1:11" x14ac:dyDescent="0.35">
      <c r="A39" t="s">
        <v>108</v>
      </c>
      <c r="B39" s="14">
        <f>(1-(1+B3)^(-B24))/(B3*(1+B3)^(B23*B24))</f>
        <v>8.3166053225779368</v>
      </c>
      <c r="F39" t="s">
        <v>109</v>
      </c>
      <c r="G39" t="s">
        <v>37</v>
      </c>
      <c r="H39" s="42" t="s">
        <v>110</v>
      </c>
      <c r="I39" t="s">
        <v>111</v>
      </c>
    </row>
    <row r="40" spans="1:11" x14ac:dyDescent="0.35">
      <c r="G40" t="s">
        <v>51</v>
      </c>
      <c r="H40" s="43">
        <f>$B$19-$I$1-H3-I3</f>
        <v>365093.02357672597</v>
      </c>
      <c r="I40">
        <v>0</v>
      </c>
    </row>
    <row r="41" spans="1:11" x14ac:dyDescent="0.35">
      <c r="G41" t="s">
        <v>53</v>
      </c>
      <c r="H41" s="43">
        <f t="shared" ref="H41:H44" si="10">$B$19-$I$1-H4-I4</f>
        <v>365093.02357672597</v>
      </c>
      <c r="I41">
        <v>0</v>
      </c>
    </row>
    <row r="42" spans="1:11" x14ac:dyDescent="0.35">
      <c r="G42" t="s">
        <v>55</v>
      </c>
      <c r="H42" s="43">
        <f t="shared" si="10"/>
        <v>365093.02357672597</v>
      </c>
      <c r="I42">
        <v>0</v>
      </c>
    </row>
    <row r="43" spans="1:11" x14ac:dyDescent="0.35">
      <c r="G43" t="s">
        <v>57</v>
      </c>
      <c r="H43" s="43">
        <f t="shared" si="10"/>
        <v>333614.39184026688</v>
      </c>
      <c r="I43">
        <v>0</v>
      </c>
    </row>
    <row r="44" spans="1:11" x14ac:dyDescent="0.35">
      <c r="G44" t="s">
        <v>59</v>
      </c>
      <c r="H44" s="43">
        <f t="shared" si="10"/>
        <v>251041.08704886195</v>
      </c>
      <c r="I44">
        <v>0</v>
      </c>
    </row>
    <row r="45" spans="1:11" x14ac:dyDescent="0.35">
      <c r="F45" t="s">
        <v>112</v>
      </c>
      <c r="G45" t="s">
        <v>37</v>
      </c>
      <c r="H45" s="42" t="s">
        <v>113</v>
      </c>
      <c r="I45" t="s">
        <v>111</v>
      </c>
    </row>
    <row r="46" spans="1:11" x14ac:dyDescent="0.35">
      <c r="G46" t="s">
        <v>51</v>
      </c>
      <c r="H46" s="43">
        <f>D2+J3-$B$20*I3-$B$8*$I$1-$B$14*H3</f>
        <v>4.3655745685100555E-10</v>
      </c>
      <c r="I46">
        <v>0</v>
      </c>
    </row>
    <row r="47" spans="1:11" x14ac:dyDescent="0.35">
      <c r="G47" t="s">
        <v>53</v>
      </c>
      <c r="H47" s="43">
        <f>D3+J4-$B$20*I4-$B$8*$I$1-$B$14*H4</f>
        <v>4.3655745685100555E-10</v>
      </c>
      <c r="I47">
        <v>0</v>
      </c>
    </row>
    <row r="48" spans="1:11" x14ac:dyDescent="0.35">
      <c r="G48" t="s">
        <v>55</v>
      </c>
      <c r="H48" s="43">
        <f t="shared" ref="H48:H50" si="11">D4+J5-$B$20*I5-$B$8*$I$1-$B$14*H5</f>
        <v>4.3655745685100555E-10</v>
      </c>
      <c r="I48">
        <v>0</v>
      </c>
    </row>
    <row r="49" spans="6:13" x14ac:dyDescent="0.35">
      <c r="G49" t="s">
        <v>57</v>
      </c>
      <c r="H49" s="43">
        <f t="shared" si="11"/>
        <v>5.2386894822120667E-10</v>
      </c>
      <c r="I49">
        <v>0</v>
      </c>
    </row>
    <row r="50" spans="6:13" x14ac:dyDescent="0.35">
      <c r="G50" t="s">
        <v>59</v>
      </c>
      <c r="H50" s="43">
        <f t="shared" si="11"/>
        <v>0</v>
      </c>
      <c r="I50">
        <v>0</v>
      </c>
    </row>
    <row r="51" spans="6:13" x14ac:dyDescent="0.35">
      <c r="F51" t="s">
        <v>114</v>
      </c>
      <c r="G51" t="s">
        <v>37</v>
      </c>
      <c r="H51" t="s">
        <v>0</v>
      </c>
      <c r="I51" t="s">
        <v>115</v>
      </c>
      <c r="J51" t="s">
        <v>96</v>
      </c>
      <c r="K51" t="s">
        <v>1</v>
      </c>
    </row>
    <row r="52" spans="6:13" x14ac:dyDescent="0.35">
      <c r="G52" t="s">
        <v>51</v>
      </c>
      <c r="H52" s="1">
        <f>$B$24*$B$21*$B$8*$I$1</f>
        <v>709905.55060908827</v>
      </c>
      <c r="I52" s="1">
        <f>J3*$B$24*E2</f>
        <v>629941.01715857594</v>
      </c>
      <c r="J52" s="1">
        <f>$B$20*I3*$B$24*E2</f>
        <v>0</v>
      </c>
      <c r="K52" s="1">
        <f>$B$21*$B$14*H3*$B$24*E2</f>
        <v>27042.528540648604</v>
      </c>
    </row>
    <row r="53" spans="6:13" x14ac:dyDescent="0.35">
      <c r="G53" t="s">
        <v>53</v>
      </c>
      <c r="H53" s="1">
        <f t="shared" ref="H53:H56" si="12">$B$24*$B$21*$B$8*$I$1</f>
        <v>709905.55060908827</v>
      </c>
      <c r="I53" s="1">
        <f t="shared" ref="I53:I56" si="13">J4*$B$24*E3</f>
        <v>352502.55435067607</v>
      </c>
      <c r="J53" s="1">
        <f t="shared" ref="J53:J56" si="14">$B$20*I4*$B$24*E3</f>
        <v>0</v>
      </c>
      <c r="K53" s="1">
        <f t="shared" ref="K53:K56" si="15">$B$21*$B$14*H4*$B$24*E3</f>
        <v>27042.528540648604</v>
      </c>
    </row>
    <row r="54" spans="6:13" x14ac:dyDescent="0.35">
      <c r="G54" t="s">
        <v>55</v>
      </c>
      <c r="H54" s="1">
        <f t="shared" si="12"/>
        <v>709905.55060908827</v>
      </c>
      <c r="I54" s="1">
        <f t="shared" si="13"/>
        <v>73985.006922876055</v>
      </c>
      <c r="J54" s="1">
        <f t="shared" si="14"/>
        <v>0</v>
      </c>
      <c r="K54" s="1">
        <f t="shared" si="15"/>
        <v>27042.528540648604</v>
      </c>
    </row>
    <row r="55" spans="6:13" x14ac:dyDescent="0.35">
      <c r="G55" t="s">
        <v>57</v>
      </c>
      <c r="H55" s="1">
        <f t="shared" si="12"/>
        <v>709905.55060908827</v>
      </c>
      <c r="I55" s="1">
        <f t="shared" si="13"/>
        <v>0</v>
      </c>
      <c r="J55" s="1">
        <f t="shared" si="14"/>
        <v>0</v>
      </c>
      <c r="K55" s="1">
        <f t="shared" si="15"/>
        <v>72749.501821987229</v>
      </c>
    </row>
    <row r="56" spans="6:13" x14ac:dyDescent="0.35">
      <c r="G56" t="s">
        <v>59</v>
      </c>
      <c r="H56" s="1">
        <f t="shared" si="12"/>
        <v>709905.55060908827</v>
      </c>
      <c r="I56" s="1">
        <f t="shared" si="13"/>
        <v>0</v>
      </c>
      <c r="J56" s="1">
        <f t="shared" si="14"/>
        <v>0</v>
      </c>
      <c r="K56" s="1">
        <f t="shared" si="15"/>
        <v>192645.94037910717</v>
      </c>
    </row>
    <row r="57" spans="6:13" x14ac:dyDescent="0.35">
      <c r="G57" s="42" t="s">
        <v>82</v>
      </c>
      <c r="L57" s="43">
        <f>$B$1-$B$2+H52+SUM(K52:K56)+SUM(J52:J56)-SUM(I52:I56)</f>
        <v>0</v>
      </c>
    </row>
    <row r="58" spans="6:13" x14ac:dyDescent="0.35">
      <c r="H58" s="7">
        <f>H52/1000</f>
        <v>709.90555060908832</v>
      </c>
      <c r="J58" s="7">
        <f>J52/1000/E2</f>
        <v>0</v>
      </c>
      <c r="K58" s="7">
        <f>K52/1000/E2</f>
        <v>135.21264270324301</v>
      </c>
    </row>
    <row r="59" spans="6:13" x14ac:dyDescent="0.35">
      <c r="J59" s="7">
        <f t="shared" ref="J59:J62" si="16">J53/1000/E3</f>
        <v>0</v>
      </c>
      <c r="K59" s="7">
        <f t="shared" ref="K59:K62" si="17">K53/1000/E3</f>
        <v>135.21264270324301</v>
      </c>
    </row>
    <row r="60" spans="6:13" x14ac:dyDescent="0.35">
      <c r="J60" s="7">
        <f t="shared" si="16"/>
        <v>0</v>
      </c>
      <c r="K60" s="7">
        <f t="shared" si="17"/>
        <v>135.21264270324301</v>
      </c>
    </row>
    <row r="61" spans="6:13" x14ac:dyDescent="0.35">
      <c r="J61" s="7">
        <f t="shared" si="16"/>
        <v>0</v>
      </c>
      <c r="K61" s="7">
        <f t="shared" si="17"/>
        <v>363.74750910993612</v>
      </c>
    </row>
    <row r="62" spans="6:13" x14ac:dyDescent="0.35">
      <c r="J62" s="7">
        <f t="shared" si="16"/>
        <v>0</v>
      </c>
      <c r="K62" s="7">
        <f t="shared" si="17"/>
        <v>963.22970189553587</v>
      </c>
    </row>
    <row r="64" spans="6:13" x14ac:dyDescent="0.35">
      <c r="H64" s="13">
        <f t="shared" ref="H64:H68" si="18">D2</f>
        <v>248441.62029559998</v>
      </c>
      <c r="I64" s="1">
        <f>I3</f>
        <v>0</v>
      </c>
      <c r="J64" s="7">
        <f>I64*$B$20</f>
        <v>0</v>
      </c>
      <c r="K64" s="1">
        <f t="shared" ref="K64:K68" si="19">J3</f>
        <v>314970.50857928797</v>
      </c>
      <c r="L64" s="13">
        <f>(H64-J64+K64)*$B$21*$B$24</f>
        <v>845118.1933123318</v>
      </c>
      <c r="M64">
        <f t="shared" ref="M64:M68" si="20">E2</f>
        <v>0.2</v>
      </c>
    </row>
    <row r="65" spans="8:13" x14ac:dyDescent="0.35">
      <c r="H65" s="13">
        <f t="shared" si="18"/>
        <v>387160.85169954994</v>
      </c>
      <c r="I65" s="1">
        <f t="shared" ref="I65:I68" si="21">I4</f>
        <v>0</v>
      </c>
      <c r="J65" s="7">
        <f t="shared" ref="J65:J68" si="22">I65*$B$20</f>
        <v>0</v>
      </c>
      <c r="K65" s="1">
        <f t="shared" si="19"/>
        <v>176251.27717533804</v>
      </c>
      <c r="L65" s="13">
        <f t="shared" ref="L65:L68" si="23">(H65-J65+K65)*$B$21*$B$24</f>
        <v>845118.1933123318</v>
      </c>
      <c r="M65">
        <f t="shared" si="20"/>
        <v>0.2</v>
      </c>
    </row>
    <row r="66" spans="8:13" x14ac:dyDescent="0.35">
      <c r="H66" s="13">
        <f t="shared" si="18"/>
        <v>526419.62541344995</v>
      </c>
      <c r="I66" s="1">
        <f t="shared" si="21"/>
        <v>0</v>
      </c>
      <c r="J66" s="7">
        <f t="shared" si="22"/>
        <v>0</v>
      </c>
      <c r="K66" s="1">
        <f t="shared" si="19"/>
        <v>36992.503461438027</v>
      </c>
      <c r="L66" s="13">
        <f t="shared" si="23"/>
        <v>845118.1933123318</v>
      </c>
      <c r="M66">
        <f t="shared" si="20"/>
        <v>0.2</v>
      </c>
    </row>
    <row r="67" spans="8:13" x14ac:dyDescent="0.35">
      <c r="H67" s="13">
        <f t="shared" si="18"/>
        <v>715768.7064793501</v>
      </c>
      <c r="I67" s="1">
        <f t="shared" si="21"/>
        <v>0</v>
      </c>
      <c r="J67" s="7">
        <f t="shared" si="22"/>
        <v>0</v>
      </c>
      <c r="K67" s="1">
        <f t="shared" si="19"/>
        <v>0</v>
      </c>
      <c r="L67" s="13">
        <f>(H67-J67+K67)*$B$21*$B$24</f>
        <v>1073653.0597190252</v>
      </c>
      <c r="M67">
        <f t="shared" si="20"/>
        <v>0.2</v>
      </c>
    </row>
    <row r="68" spans="8:13" x14ac:dyDescent="0.35">
      <c r="H68" s="13">
        <f t="shared" si="18"/>
        <v>1115423.5016697501</v>
      </c>
      <c r="I68" s="1">
        <f t="shared" si="21"/>
        <v>0</v>
      </c>
      <c r="J68" s="7">
        <f t="shared" si="22"/>
        <v>0</v>
      </c>
      <c r="K68" s="1">
        <f t="shared" si="19"/>
        <v>0</v>
      </c>
      <c r="L68" s="13">
        <f t="shared" si="23"/>
        <v>1673135.2525046249</v>
      </c>
      <c r="M68">
        <f t="shared" si="20"/>
        <v>0.2</v>
      </c>
    </row>
    <row r="69" spans="8:13" x14ac:dyDescent="0.35">
      <c r="L69" s="13">
        <f>SUMPRODUCT(L64:L68,M64:M68)</f>
        <v>1056428.5784321292</v>
      </c>
    </row>
    <row r="70" spans="8:13" x14ac:dyDescent="0.35">
      <c r="K70" s="13">
        <f>$B$24*$B$21*$B$8*$I$1</f>
        <v>709905.55060908827</v>
      </c>
      <c r="L70" s="1">
        <f>K70+SUM(K52:K56)</f>
        <v>1056428.5784321285</v>
      </c>
    </row>
    <row r="71" spans="8:13" x14ac:dyDescent="0.35">
      <c r="L71" s="44">
        <f>L69-L70</f>
        <v>0</v>
      </c>
    </row>
  </sheetData>
  <mergeCells count="3">
    <mergeCell ref="F10:F21"/>
    <mergeCell ref="F23:F29"/>
    <mergeCell ref="F30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</vt:lpstr>
      <vt:lpstr>Figure 4</vt:lpstr>
      <vt:lpstr>Figure 5</vt:lpstr>
      <vt:lpstr>Figure 6a</vt:lpstr>
      <vt:lpstr>Figure 6b</vt:lpstr>
      <vt:lpstr>Figure 7</vt:lpstr>
      <vt:lpstr>Figure 8</vt:lpstr>
      <vt:lpstr>Figure 9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2019-08-13T20:21:43Z</dcterms:created>
  <dcterms:modified xsi:type="dcterms:W3CDTF">2022-01-22T00:36:20Z</dcterms:modified>
</cp:coreProperties>
</file>